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7350"/>
  </bookViews>
  <sheets>
    <sheet name="Marmota-VADER" sheetId="465" r:id="rId1"/>
    <sheet name="MARMOTA" sheetId="466" r:id="rId2"/>
    <sheet name="Future-VADER" sheetId="467" r:id="rId3"/>
    <sheet name="OBIWAN-Orinteers" sheetId="468" r:id="rId4"/>
    <sheet name="SIMULADOR" sheetId="285" r:id="rId5"/>
    <sheet name="SIMULADOR&gt;22-12-17" sheetId="435" r:id="rId6"/>
    <sheet name="SIMULADOR_sinJC" sheetId="273" r:id="rId7"/>
  </sheets>
  <calcPr calcId="152511"/>
  <fileRecoveryPr autoRecover="0"/>
</workbook>
</file>

<file path=xl/calcChain.xml><?xml version="1.0" encoding="utf-8"?>
<calcChain xmlns="http://schemas.openxmlformats.org/spreadsheetml/2006/main">
  <c r="BF48" i="468" l="1"/>
  <c r="BF47" i="468"/>
  <c r="BF46" i="468"/>
  <c r="BE45" i="468"/>
  <c r="BE44" i="468"/>
  <c r="BF45" i="468" s="1"/>
  <c r="BD44" i="468"/>
  <c r="BE43" i="468"/>
  <c r="BF44" i="468" s="1"/>
  <c r="BD43" i="468"/>
  <c r="BC43" i="468"/>
  <c r="BF42" i="468"/>
  <c r="BE42" i="468"/>
  <c r="BF43" i="468" s="1"/>
  <c r="BD42" i="468"/>
  <c r="BC42" i="468"/>
  <c r="BF41" i="468"/>
  <c r="BE41" i="468"/>
  <c r="BD41" i="468"/>
  <c r="BC41" i="468"/>
  <c r="BH40" i="468"/>
  <c r="BH45" i="468" s="1"/>
  <c r="BH50" i="468" s="1"/>
  <c r="BF40" i="468"/>
  <c r="BE40" i="468"/>
  <c r="BD40" i="468"/>
  <c r="BC40" i="468"/>
  <c r="BC39" i="468"/>
  <c r="AS38" i="468"/>
  <c r="AR38" i="468"/>
  <c r="AQ38" i="468"/>
  <c r="AP38" i="468"/>
  <c r="AO38" i="468"/>
  <c r="AN38" i="468"/>
  <c r="AM38" i="468"/>
  <c r="AL38" i="468"/>
  <c r="AK38" i="468"/>
  <c r="AJ38" i="468"/>
  <c r="AI38" i="468"/>
  <c r="AH38" i="468"/>
  <c r="AG38" i="468"/>
  <c r="AF38" i="468"/>
  <c r="AE38" i="468"/>
  <c r="AD38" i="468"/>
  <c r="AC38" i="468"/>
  <c r="AB38" i="468"/>
  <c r="AA38" i="468"/>
  <c r="Z38" i="468"/>
  <c r="Y38" i="468"/>
  <c r="X38" i="468"/>
  <c r="W38" i="468"/>
  <c r="V38" i="468"/>
  <c r="U38" i="468"/>
  <c r="T38" i="468"/>
  <c r="S38" i="468"/>
  <c r="R38" i="468"/>
  <c r="Q38" i="468"/>
  <c r="P38" i="468"/>
  <c r="O38" i="468"/>
  <c r="N38" i="468"/>
  <c r="M38" i="468"/>
  <c r="L38" i="468"/>
  <c r="K38" i="468"/>
  <c r="J38" i="468"/>
  <c r="I38" i="468"/>
  <c r="H38" i="468"/>
  <c r="G38" i="468"/>
  <c r="BH36" i="468"/>
  <c r="BH42" i="468" s="1"/>
  <c r="BH47" i="468" s="1"/>
  <c r="BH52" i="468" s="1"/>
  <c r="BH55" i="468" s="1"/>
  <c r="BH57" i="468" s="1"/>
  <c r="BL13" i="468" s="1"/>
  <c r="BF34" i="468"/>
  <c r="BF33" i="468"/>
  <c r="C33" i="468"/>
  <c r="B33" i="468"/>
  <c r="BH32" i="468"/>
  <c r="BH38" i="468" s="1"/>
  <c r="BL9" i="468" s="1"/>
  <c r="BP23" i="468" s="1"/>
  <c r="BP29" i="468" s="1"/>
  <c r="BP36" i="468" s="1"/>
  <c r="BP44" i="468" s="1"/>
  <c r="C32" i="468"/>
  <c r="B32" i="468"/>
  <c r="BH31" i="468"/>
  <c r="BL8" i="468" s="1"/>
  <c r="BP18" i="468" s="1"/>
  <c r="BP22" i="468" s="1"/>
  <c r="BP28" i="468" s="1"/>
  <c r="BP35" i="468" s="1"/>
  <c r="BP43" i="468" s="1"/>
  <c r="BE31" i="468"/>
  <c r="BF32" i="468" s="1"/>
  <c r="BP30" i="468"/>
  <c r="BP37" i="468" s="1"/>
  <c r="BP45" i="468" s="1"/>
  <c r="BH30" i="468"/>
  <c r="BH37" i="468" s="1"/>
  <c r="BH43" i="468" s="1"/>
  <c r="BH48" i="468" s="1"/>
  <c r="BH53" i="468" s="1"/>
  <c r="BH56" i="468" s="1"/>
  <c r="BH58" i="468" s="1"/>
  <c r="BH59" i="468" s="1"/>
  <c r="BE30" i="468"/>
  <c r="BD30" i="468"/>
  <c r="E30" i="468"/>
  <c r="D30" i="468"/>
  <c r="BH29" i="468"/>
  <c r="BE29" i="468"/>
  <c r="BF30" i="468" s="1"/>
  <c r="BD29" i="468"/>
  <c r="BC29" i="468"/>
  <c r="C29" i="468"/>
  <c r="B29" i="468"/>
  <c r="BH28" i="468"/>
  <c r="BH35" i="468" s="1"/>
  <c r="BH41" i="468" s="1"/>
  <c r="BH46" i="468" s="1"/>
  <c r="BH51" i="468" s="1"/>
  <c r="BH54" i="468" s="1"/>
  <c r="BF28" i="468"/>
  <c r="BE28" i="468"/>
  <c r="BD28" i="468"/>
  <c r="BC28" i="468"/>
  <c r="BH27" i="468"/>
  <c r="BH34" i="468" s="1"/>
  <c r="BF27" i="468"/>
  <c r="BE27" i="468"/>
  <c r="BD27" i="468"/>
  <c r="BC27" i="468"/>
  <c r="C27" i="468"/>
  <c r="B27" i="468"/>
  <c r="BH26" i="468"/>
  <c r="BH33" i="468" s="1"/>
  <c r="BH39" i="468" s="1"/>
  <c r="BH44" i="468" s="1"/>
  <c r="BF26" i="468"/>
  <c r="BE26" i="468"/>
  <c r="BD26" i="468"/>
  <c r="BC26" i="468"/>
  <c r="E26" i="468"/>
  <c r="E27" i="468" s="1"/>
  <c r="D26" i="468"/>
  <c r="D27" i="468" s="1"/>
  <c r="C26" i="468"/>
  <c r="B26" i="468"/>
  <c r="BH25" i="468"/>
  <c r="BC25" i="468"/>
  <c r="E25" i="468"/>
  <c r="E23" i="468" s="1"/>
  <c r="D25" i="468"/>
  <c r="C25" i="468"/>
  <c r="B25" i="468"/>
  <c r="BH24" i="468"/>
  <c r="BH23" i="468"/>
  <c r="B22" i="468"/>
  <c r="C22" i="468" s="1"/>
  <c r="B20" i="468"/>
  <c r="B21" i="468" s="1"/>
  <c r="Z19" i="468"/>
  <c r="Y19" i="468"/>
  <c r="AA19" i="468" s="1"/>
  <c r="P19" i="468"/>
  <c r="O19" i="468"/>
  <c r="Q19" i="468" s="1"/>
  <c r="AA18" i="468"/>
  <c r="Q18" i="468"/>
  <c r="Z17" i="468"/>
  <c r="Y17" i="468"/>
  <c r="Q17" i="468"/>
  <c r="P17" i="468"/>
  <c r="O17" i="468"/>
  <c r="AA16" i="468"/>
  <c r="Y16" i="468"/>
  <c r="Q16" i="468"/>
  <c r="O16" i="468"/>
  <c r="C16" i="468"/>
  <c r="B16" i="468"/>
  <c r="AA15" i="468"/>
  <c r="Q15" i="468"/>
  <c r="Y14" i="468"/>
  <c r="AA14" i="468" s="1"/>
  <c r="O14" i="468"/>
  <c r="Q14" i="468" s="1"/>
  <c r="Z13" i="468"/>
  <c r="AA13" i="468" s="1"/>
  <c r="P13" i="468"/>
  <c r="Q13" i="468" s="1"/>
  <c r="BL12" i="468"/>
  <c r="BP47" i="468" s="1"/>
  <c r="AA12" i="468"/>
  <c r="Q12" i="468"/>
  <c r="BL11" i="468"/>
  <c r="BP38" i="468" s="1"/>
  <c r="BP46" i="468" s="1"/>
  <c r="Z11" i="468"/>
  <c r="Y11" i="468"/>
  <c r="P11" i="468"/>
  <c r="O11" i="468"/>
  <c r="Q11" i="468" s="1"/>
  <c r="BL10" i="468"/>
  <c r="Z10" i="468"/>
  <c r="Y10" i="468"/>
  <c r="AA10" i="468" s="1"/>
  <c r="P10" i="468"/>
  <c r="O10" i="468"/>
  <c r="Q10" i="468" s="1"/>
  <c r="BP9" i="468"/>
  <c r="BP12" i="468" s="1"/>
  <c r="BP16" i="468" s="1"/>
  <c r="BP20" i="468" s="1"/>
  <c r="BP26" i="468" s="1"/>
  <c r="BP33" i="468" s="1"/>
  <c r="BP41" i="468" s="1"/>
  <c r="Y9" i="468"/>
  <c r="AA9" i="468" s="1"/>
  <c r="O9" i="468"/>
  <c r="Q9" i="468" s="1"/>
  <c r="BP8" i="468"/>
  <c r="BP11" i="468" s="1"/>
  <c r="BP15" i="468" s="1"/>
  <c r="BP19" i="468" s="1"/>
  <c r="BP25" i="468" s="1"/>
  <c r="BP32" i="468" s="1"/>
  <c r="BP40" i="468" s="1"/>
  <c r="Z8" i="468"/>
  <c r="Y8" i="468"/>
  <c r="AA8" i="468" s="1"/>
  <c r="P8" i="468"/>
  <c r="O8" i="468"/>
  <c r="Q8" i="468" s="1"/>
  <c r="BP7" i="468"/>
  <c r="BP10" i="468" s="1"/>
  <c r="BP14" i="468" s="1"/>
  <c r="BH49" i="468" s="1"/>
  <c r="BP24" i="468" s="1"/>
  <c r="BP31" i="468" s="1"/>
  <c r="BP39" i="468" s="1"/>
  <c r="BL14" i="468" s="1"/>
  <c r="BL7" i="468"/>
  <c r="BP13" i="468" s="1"/>
  <c r="BP17" i="468" s="1"/>
  <c r="BP21" i="468" s="1"/>
  <c r="BP27" i="468" s="1"/>
  <c r="BP34" i="468" s="1"/>
  <c r="BP42" i="468" s="1"/>
  <c r="AA7" i="468"/>
  <c r="Q7" i="468"/>
  <c r="BP6" i="468"/>
  <c r="BL6" i="468"/>
  <c r="Z6" i="468"/>
  <c r="Y6" i="468"/>
  <c r="P6" i="468"/>
  <c r="O6" i="468"/>
  <c r="BP5" i="468"/>
  <c r="Z5" i="468"/>
  <c r="Y5" i="468"/>
  <c r="AA5" i="468" s="1"/>
  <c r="P5" i="468"/>
  <c r="O5" i="468"/>
  <c r="Q5" i="468" s="1"/>
  <c r="D3" i="468"/>
  <c r="G2" i="468" s="1"/>
  <c r="S2" i="468"/>
  <c r="AF1" i="468"/>
  <c r="V1" i="468"/>
  <c r="S1" i="468"/>
  <c r="Q6" i="468" l="1"/>
  <c r="D23" i="468"/>
  <c r="AA6" i="468"/>
  <c r="AA11" i="468"/>
  <c r="AA17" i="468"/>
  <c r="B31" i="468"/>
  <c r="W25" i="468" s="1"/>
  <c r="C31" i="468"/>
  <c r="W39" i="468" s="1"/>
  <c r="G1" i="468"/>
  <c r="K3" i="468"/>
  <c r="K1" i="468"/>
  <c r="G3" i="468"/>
  <c r="K2" i="468"/>
  <c r="B23" i="468"/>
  <c r="C23" i="468" s="1"/>
  <c r="BF29" i="468"/>
  <c r="BF31" i="468"/>
  <c r="BF48" i="467"/>
  <c r="BF47" i="467"/>
  <c r="BF46" i="467"/>
  <c r="BE45" i="467"/>
  <c r="BE44" i="467"/>
  <c r="BF45" i="467" s="1"/>
  <c r="BD44" i="467"/>
  <c r="BE43" i="467"/>
  <c r="BF44" i="467" s="1"/>
  <c r="BD43" i="467"/>
  <c r="BC43" i="467"/>
  <c r="BF42" i="467"/>
  <c r="BE42" i="467"/>
  <c r="BF43" i="467" s="1"/>
  <c r="BD42" i="467"/>
  <c r="BC42" i="467"/>
  <c r="BF41" i="467"/>
  <c r="BE41" i="467"/>
  <c r="BD41" i="467"/>
  <c r="BC41" i="467"/>
  <c r="BH40" i="467"/>
  <c r="BH45" i="467" s="1"/>
  <c r="BH50" i="467" s="1"/>
  <c r="BF40" i="467"/>
  <c r="BE40" i="467"/>
  <c r="BD40" i="467"/>
  <c r="BC40" i="467"/>
  <c r="BC39" i="467"/>
  <c r="AS38" i="467"/>
  <c r="AR38" i="467"/>
  <c r="AQ38" i="467"/>
  <c r="AP38" i="467"/>
  <c r="AO38" i="467"/>
  <c r="AN38" i="467"/>
  <c r="AM38" i="467"/>
  <c r="AL38" i="467"/>
  <c r="AK38" i="467"/>
  <c r="AJ38" i="467"/>
  <c r="AI38" i="467"/>
  <c r="AH38" i="467"/>
  <c r="AG38" i="467"/>
  <c r="AF38" i="467"/>
  <c r="AE38" i="467"/>
  <c r="AD38" i="467"/>
  <c r="AC38" i="467"/>
  <c r="AB38" i="467"/>
  <c r="AA38" i="467"/>
  <c r="Z38" i="467"/>
  <c r="Y38" i="467"/>
  <c r="X38" i="467"/>
  <c r="W38" i="467"/>
  <c r="V38" i="467"/>
  <c r="U38" i="467"/>
  <c r="T38" i="467"/>
  <c r="S38" i="467"/>
  <c r="R38" i="467"/>
  <c r="Q38" i="467"/>
  <c r="P38" i="467"/>
  <c r="O38" i="467"/>
  <c r="N38" i="467"/>
  <c r="M38" i="467"/>
  <c r="L38" i="467"/>
  <c r="K38" i="467"/>
  <c r="J38" i="467"/>
  <c r="I38" i="467"/>
  <c r="H38" i="467"/>
  <c r="G38" i="467"/>
  <c r="BH36" i="467"/>
  <c r="BH42" i="467" s="1"/>
  <c r="BH47" i="467" s="1"/>
  <c r="BH52" i="467" s="1"/>
  <c r="BH55" i="467" s="1"/>
  <c r="BH57" i="467" s="1"/>
  <c r="BL13" i="467" s="1"/>
  <c r="BF34" i="467"/>
  <c r="BF33" i="467"/>
  <c r="C33" i="467"/>
  <c r="B33" i="467"/>
  <c r="BH32" i="467"/>
  <c r="BH38" i="467" s="1"/>
  <c r="BL9" i="467" s="1"/>
  <c r="BP23" i="467" s="1"/>
  <c r="BP29" i="467" s="1"/>
  <c r="BP36" i="467" s="1"/>
  <c r="BP44" i="467" s="1"/>
  <c r="C32" i="467"/>
  <c r="B32" i="467"/>
  <c r="D25" i="467" s="1"/>
  <c r="BH31" i="467"/>
  <c r="BL8" i="467" s="1"/>
  <c r="BP18" i="467" s="1"/>
  <c r="BP22" i="467" s="1"/>
  <c r="BP28" i="467" s="1"/>
  <c r="BP35" i="467" s="1"/>
  <c r="BP43" i="467" s="1"/>
  <c r="BE31" i="467"/>
  <c r="BF32" i="467" s="1"/>
  <c r="BP30" i="467"/>
  <c r="BP37" i="467" s="1"/>
  <c r="BP45" i="467" s="1"/>
  <c r="BH30" i="467"/>
  <c r="BH37" i="467" s="1"/>
  <c r="BH43" i="467" s="1"/>
  <c r="BH48" i="467" s="1"/>
  <c r="BH53" i="467" s="1"/>
  <c r="BH56" i="467" s="1"/>
  <c r="BH58" i="467" s="1"/>
  <c r="BH59" i="467" s="1"/>
  <c r="BE30" i="467"/>
  <c r="BD30" i="467"/>
  <c r="E30" i="467"/>
  <c r="D30" i="467"/>
  <c r="BH29" i="467"/>
  <c r="BE29" i="467"/>
  <c r="BF30" i="467" s="1"/>
  <c r="BD29" i="467"/>
  <c r="BC29" i="467"/>
  <c r="C29" i="467"/>
  <c r="B29" i="467"/>
  <c r="BH28" i="467"/>
  <c r="BH35" i="467" s="1"/>
  <c r="BH41" i="467" s="1"/>
  <c r="BH46" i="467" s="1"/>
  <c r="BH51" i="467" s="1"/>
  <c r="BH54" i="467" s="1"/>
  <c r="BE28" i="467"/>
  <c r="BD28" i="467"/>
  <c r="BC28" i="467"/>
  <c r="BH27" i="467"/>
  <c r="BH34" i="467" s="1"/>
  <c r="BF27" i="467"/>
  <c r="BE27" i="467"/>
  <c r="BF28" i="467" s="1"/>
  <c r="BD27" i="467"/>
  <c r="BC27" i="467"/>
  <c r="C27" i="467"/>
  <c r="B27" i="467"/>
  <c r="BH26" i="467"/>
  <c r="BH33" i="467" s="1"/>
  <c r="BH39" i="467" s="1"/>
  <c r="BH44" i="467" s="1"/>
  <c r="BF26" i="467"/>
  <c r="BE26" i="467"/>
  <c r="BD26" i="467"/>
  <c r="BC26" i="467"/>
  <c r="E26" i="467"/>
  <c r="E27" i="467" s="1"/>
  <c r="E23" i="467" s="1"/>
  <c r="D26" i="467"/>
  <c r="D27" i="467" s="1"/>
  <c r="D23" i="467" s="1"/>
  <c r="C26" i="467"/>
  <c r="B26" i="467"/>
  <c r="BH25" i="467"/>
  <c r="BC25" i="467"/>
  <c r="E25" i="467"/>
  <c r="C25" i="467"/>
  <c r="B25" i="467"/>
  <c r="BH24" i="467"/>
  <c r="BH23" i="467"/>
  <c r="B22" i="467"/>
  <c r="C22" i="467" s="1"/>
  <c r="B20" i="467"/>
  <c r="B21" i="467" s="1"/>
  <c r="Z19" i="467"/>
  <c r="Y19" i="467"/>
  <c r="AA19" i="467" s="1"/>
  <c r="P19" i="467"/>
  <c r="O19" i="467"/>
  <c r="Q19" i="467" s="1"/>
  <c r="AA18" i="467"/>
  <c r="Q18" i="467"/>
  <c r="Z17" i="467"/>
  <c r="AA17" i="467" s="1"/>
  <c r="Y17" i="467"/>
  <c r="P17" i="467"/>
  <c r="O17" i="467"/>
  <c r="Q17" i="467" s="1"/>
  <c r="AA16" i="467"/>
  <c r="Y16" i="467"/>
  <c r="Q16" i="467"/>
  <c r="O16" i="467"/>
  <c r="C16" i="467"/>
  <c r="B16" i="467"/>
  <c r="AA15" i="467"/>
  <c r="Q15" i="467"/>
  <c r="Y14" i="467"/>
  <c r="AA14" i="467" s="1"/>
  <c r="O14" i="467"/>
  <c r="Q14" i="467" s="1"/>
  <c r="Z13" i="467"/>
  <c r="AA13" i="467" s="1"/>
  <c r="P13" i="467"/>
  <c r="Q13" i="467" s="1"/>
  <c r="BL12" i="467"/>
  <c r="BP47" i="467" s="1"/>
  <c r="AA12" i="467"/>
  <c r="Q12" i="467"/>
  <c r="BL11" i="467"/>
  <c r="BP38" i="467" s="1"/>
  <c r="BP46" i="467" s="1"/>
  <c r="Z11" i="467"/>
  <c r="Y11" i="467"/>
  <c r="AA11" i="467" s="1"/>
  <c r="P11" i="467"/>
  <c r="O11" i="467"/>
  <c r="BL10" i="467"/>
  <c r="Z10" i="467"/>
  <c r="Y10" i="467"/>
  <c r="Q10" i="467"/>
  <c r="P10" i="467"/>
  <c r="O10" i="467"/>
  <c r="BP9" i="467"/>
  <c r="BP12" i="467" s="1"/>
  <c r="BP16" i="467" s="1"/>
  <c r="BP20" i="467" s="1"/>
  <c r="BP26" i="467" s="1"/>
  <c r="BP33" i="467" s="1"/>
  <c r="BP41" i="467" s="1"/>
  <c r="Y9" i="467"/>
  <c r="AA9" i="467" s="1"/>
  <c r="O9" i="467"/>
  <c r="Q9" i="467" s="1"/>
  <c r="Z8" i="467"/>
  <c r="Y8" i="467"/>
  <c r="P8" i="467"/>
  <c r="O8" i="467"/>
  <c r="Q8" i="467" s="1"/>
  <c r="BP7" i="467"/>
  <c r="BP10" i="467" s="1"/>
  <c r="BP14" i="467" s="1"/>
  <c r="BH49" i="467" s="1"/>
  <c r="BP24" i="467" s="1"/>
  <c r="BP31" i="467" s="1"/>
  <c r="BP39" i="467" s="1"/>
  <c r="BL14" i="467" s="1"/>
  <c r="BL7" i="467"/>
  <c r="BP13" i="467" s="1"/>
  <c r="BP17" i="467" s="1"/>
  <c r="BP21" i="467" s="1"/>
  <c r="BP27" i="467" s="1"/>
  <c r="BP34" i="467" s="1"/>
  <c r="BP42" i="467" s="1"/>
  <c r="AA7" i="467"/>
  <c r="Q7" i="467"/>
  <c r="BP6" i="467"/>
  <c r="BP8" i="467" s="1"/>
  <c r="BP11" i="467" s="1"/>
  <c r="BP15" i="467" s="1"/>
  <c r="BP19" i="467" s="1"/>
  <c r="BP25" i="467" s="1"/>
  <c r="BP32" i="467" s="1"/>
  <c r="BP40" i="467" s="1"/>
  <c r="BL6" i="467"/>
  <c r="Z6" i="467"/>
  <c r="Y6" i="467"/>
  <c r="P6" i="467"/>
  <c r="O6" i="467"/>
  <c r="BP5" i="467"/>
  <c r="Z5" i="467"/>
  <c r="Y5" i="467"/>
  <c r="P5" i="467"/>
  <c r="O5" i="467"/>
  <c r="Q5" i="467" s="1"/>
  <c r="D3" i="467"/>
  <c r="G3" i="467" s="1"/>
  <c r="S2" i="467"/>
  <c r="AF1" i="467"/>
  <c r="V1" i="467"/>
  <c r="S1" i="467"/>
  <c r="G1" i="467"/>
  <c r="L1" i="468" l="1"/>
  <c r="T42" i="468"/>
  <c r="T41" i="468"/>
  <c r="T39" i="468"/>
  <c r="T48" i="468"/>
  <c r="T46" i="468"/>
  <c r="T43" i="468"/>
  <c r="T49" i="468"/>
  <c r="T45" i="468"/>
  <c r="C34" i="468"/>
  <c r="T32" i="468"/>
  <c r="T26" i="468"/>
  <c r="C24" i="468"/>
  <c r="T28" i="468"/>
  <c r="T25" i="468"/>
  <c r="T27" i="468"/>
  <c r="T33" i="468"/>
  <c r="T29" i="468"/>
  <c r="T34" i="468"/>
  <c r="T31" i="468"/>
  <c r="T30" i="468"/>
  <c r="T35" i="468"/>
  <c r="B34" i="468"/>
  <c r="T47" i="468"/>
  <c r="T40" i="468"/>
  <c r="B24" i="468"/>
  <c r="T44" i="468"/>
  <c r="H1" i="468"/>
  <c r="M1" i="468" s="1"/>
  <c r="M2" i="468" s="1"/>
  <c r="AA6" i="467"/>
  <c r="AA10" i="467"/>
  <c r="AA8" i="467"/>
  <c r="AA5" i="467"/>
  <c r="Q11" i="467"/>
  <c r="Q6" i="467"/>
  <c r="B31" i="467"/>
  <c r="W25" i="467" s="1"/>
  <c r="C31" i="467"/>
  <c r="W39" i="467" s="1"/>
  <c r="G2" i="467"/>
  <c r="H1" i="467" s="1"/>
  <c r="K2" i="467"/>
  <c r="K1" i="467"/>
  <c r="K3" i="467"/>
  <c r="B23" i="467"/>
  <c r="BF29" i="467"/>
  <c r="BF31" i="467"/>
  <c r="B6" i="465"/>
  <c r="BF48" i="465"/>
  <c r="BF47" i="465"/>
  <c r="BF46" i="465"/>
  <c r="BE45" i="465"/>
  <c r="BE44" i="465"/>
  <c r="BF45" i="465" s="1"/>
  <c r="BD44" i="465"/>
  <c r="BE43" i="465"/>
  <c r="BF44" i="465" s="1"/>
  <c r="BD43" i="465"/>
  <c r="BC43" i="465"/>
  <c r="BF42" i="465"/>
  <c r="BE42" i="465"/>
  <c r="BF43" i="465" s="1"/>
  <c r="BD42" i="465"/>
  <c r="BC42" i="465"/>
  <c r="BF41" i="465"/>
  <c r="BE41" i="465"/>
  <c r="BD41" i="465"/>
  <c r="BC41" i="465"/>
  <c r="BH40" i="465"/>
  <c r="BH45" i="465" s="1"/>
  <c r="BH50" i="465" s="1"/>
  <c r="BL11" i="465" s="1"/>
  <c r="BP38" i="465" s="1"/>
  <c r="BP46" i="465" s="1"/>
  <c r="BF40" i="465"/>
  <c r="BE40" i="465"/>
  <c r="BD40" i="465"/>
  <c r="BC40" i="465"/>
  <c r="BC39" i="465"/>
  <c r="AS38" i="465"/>
  <c r="AR38" i="465"/>
  <c r="AQ38" i="465"/>
  <c r="AP38" i="465"/>
  <c r="AO38" i="465"/>
  <c r="AN38" i="465"/>
  <c r="AM38" i="465"/>
  <c r="AL38" i="465"/>
  <c r="AK38" i="465"/>
  <c r="AJ38" i="465"/>
  <c r="AI38" i="465"/>
  <c r="AH38" i="465"/>
  <c r="AG38" i="465"/>
  <c r="AF38" i="465"/>
  <c r="AE38" i="465"/>
  <c r="AD38" i="465"/>
  <c r="AC38" i="465"/>
  <c r="AB38" i="465"/>
  <c r="AA38" i="465"/>
  <c r="Z38" i="465"/>
  <c r="Y38" i="465"/>
  <c r="X38" i="465"/>
  <c r="W38" i="465"/>
  <c r="V38" i="465"/>
  <c r="U38" i="465"/>
  <c r="T38" i="465"/>
  <c r="S38" i="465"/>
  <c r="R38" i="465"/>
  <c r="Q38" i="465"/>
  <c r="P38" i="465"/>
  <c r="O38" i="465"/>
  <c r="N38" i="465"/>
  <c r="M38" i="465"/>
  <c r="L38" i="465"/>
  <c r="K38" i="465"/>
  <c r="J38" i="465"/>
  <c r="I38" i="465"/>
  <c r="H38" i="465"/>
  <c r="G38" i="465"/>
  <c r="BH36" i="465"/>
  <c r="BH42" i="465" s="1"/>
  <c r="BH47" i="465" s="1"/>
  <c r="BH52" i="465" s="1"/>
  <c r="BH55" i="465" s="1"/>
  <c r="BH57" i="465" s="1"/>
  <c r="BL13" i="465" s="1"/>
  <c r="BF34" i="465"/>
  <c r="BF33" i="465"/>
  <c r="C33" i="465"/>
  <c r="B33" i="465"/>
  <c r="BH32" i="465"/>
  <c r="BH38" i="465" s="1"/>
  <c r="BL9" i="465" s="1"/>
  <c r="BP23" i="465" s="1"/>
  <c r="BP29" i="465" s="1"/>
  <c r="BP36" i="465" s="1"/>
  <c r="BP44" i="465" s="1"/>
  <c r="C32" i="465"/>
  <c r="B32" i="465"/>
  <c r="BH31" i="465"/>
  <c r="BE31" i="465"/>
  <c r="BF32" i="465" s="1"/>
  <c r="BH30" i="465"/>
  <c r="BH37" i="465" s="1"/>
  <c r="BH43" i="465" s="1"/>
  <c r="BH48" i="465" s="1"/>
  <c r="BH53" i="465" s="1"/>
  <c r="BH56" i="465" s="1"/>
  <c r="BH58" i="465" s="1"/>
  <c r="BH59" i="465" s="1"/>
  <c r="BE30" i="465"/>
  <c r="BD30" i="465"/>
  <c r="E30" i="465"/>
  <c r="D30" i="465"/>
  <c r="BH29" i="465"/>
  <c r="BE29" i="465"/>
  <c r="BF30" i="465" s="1"/>
  <c r="BD29" i="465"/>
  <c r="BC29" i="465"/>
  <c r="C29" i="465"/>
  <c r="B29" i="465"/>
  <c r="BH28" i="465"/>
  <c r="BH35" i="465" s="1"/>
  <c r="BH41" i="465" s="1"/>
  <c r="BH46" i="465" s="1"/>
  <c r="BH51" i="465" s="1"/>
  <c r="BH54" i="465" s="1"/>
  <c r="BE28" i="465"/>
  <c r="BD28" i="465"/>
  <c r="BC28" i="465"/>
  <c r="BH27" i="465"/>
  <c r="BH34" i="465" s="1"/>
  <c r="BF27" i="465"/>
  <c r="BE27" i="465"/>
  <c r="BF28" i="465" s="1"/>
  <c r="BD27" i="465"/>
  <c r="BC27" i="465"/>
  <c r="D27" i="465"/>
  <c r="D23" i="465" s="1"/>
  <c r="C27" i="465"/>
  <c r="B27" i="465"/>
  <c r="BH26" i="465"/>
  <c r="BH33" i="465" s="1"/>
  <c r="BH39" i="465" s="1"/>
  <c r="BH44" i="465" s="1"/>
  <c r="BF26" i="465"/>
  <c r="BE26" i="465"/>
  <c r="BD26" i="465"/>
  <c r="BC26" i="465"/>
  <c r="E26" i="465"/>
  <c r="E27" i="465" s="1"/>
  <c r="D26" i="465"/>
  <c r="C26" i="465"/>
  <c r="B26" i="465"/>
  <c r="BH25" i="465"/>
  <c r="BC25" i="465"/>
  <c r="E25" i="465"/>
  <c r="E23" i="465" s="1"/>
  <c r="D25" i="465"/>
  <c r="C25" i="465"/>
  <c r="B25" i="465"/>
  <c r="BH24" i="465"/>
  <c r="BH23" i="465"/>
  <c r="B22" i="465"/>
  <c r="C22" i="465" s="1"/>
  <c r="B23" i="465" s="1"/>
  <c r="B20" i="465"/>
  <c r="B21" i="465" s="1"/>
  <c r="AA19" i="465"/>
  <c r="Z19" i="465"/>
  <c r="Y19" i="465"/>
  <c r="P19" i="465"/>
  <c r="O19" i="465"/>
  <c r="Q19" i="465" s="1"/>
  <c r="AA18" i="465"/>
  <c r="Q18" i="465"/>
  <c r="Z17" i="465"/>
  <c r="Y17" i="465"/>
  <c r="P17" i="465"/>
  <c r="O17" i="465"/>
  <c r="Q17" i="465" s="1"/>
  <c r="AA16" i="465"/>
  <c r="Y16" i="465"/>
  <c r="Q16" i="465"/>
  <c r="O16" i="465"/>
  <c r="C16" i="465"/>
  <c r="B16" i="465"/>
  <c r="AA15" i="465"/>
  <c r="Q15" i="465"/>
  <c r="Y14" i="465"/>
  <c r="AA14" i="465" s="1"/>
  <c r="O14" i="465"/>
  <c r="Q14" i="465" s="1"/>
  <c r="AA13" i="465"/>
  <c r="Z13" i="465"/>
  <c r="P13" i="465"/>
  <c r="Q13" i="465" s="1"/>
  <c r="BL12" i="465"/>
  <c r="BP47" i="465" s="1"/>
  <c r="AA12" i="465"/>
  <c r="Q12" i="465"/>
  <c r="Z11" i="465"/>
  <c r="Y11" i="465"/>
  <c r="P11" i="465"/>
  <c r="O11" i="465"/>
  <c r="Q11" i="465" s="1"/>
  <c r="BL10" i="465"/>
  <c r="BP30" i="465" s="1"/>
  <c r="BP37" i="465" s="1"/>
  <c r="BP45" i="465" s="1"/>
  <c r="Z10" i="465"/>
  <c r="Y10" i="465"/>
  <c r="AA10" i="465" s="1"/>
  <c r="P10" i="465"/>
  <c r="O10" i="465"/>
  <c r="Y9" i="465"/>
  <c r="AA9" i="465" s="1"/>
  <c r="O9" i="465"/>
  <c r="Q9" i="465" s="1"/>
  <c r="BL8" i="465"/>
  <c r="BP18" i="465" s="1"/>
  <c r="BP22" i="465" s="1"/>
  <c r="BP28" i="465" s="1"/>
  <c r="BP35" i="465" s="1"/>
  <c r="BP43" i="465" s="1"/>
  <c r="Z8" i="465"/>
  <c r="Y8" i="465"/>
  <c r="AA8" i="465" s="1"/>
  <c r="P8" i="465"/>
  <c r="O8" i="465"/>
  <c r="BL7" i="465"/>
  <c r="BP13" i="465" s="1"/>
  <c r="BP17" i="465" s="1"/>
  <c r="BP21" i="465" s="1"/>
  <c r="BP27" i="465" s="1"/>
  <c r="BP34" i="465" s="1"/>
  <c r="BP42" i="465" s="1"/>
  <c r="AA7" i="465"/>
  <c r="Q7" i="465"/>
  <c r="BP6" i="465"/>
  <c r="BP8" i="465" s="1"/>
  <c r="BP11" i="465" s="1"/>
  <c r="BP15" i="465" s="1"/>
  <c r="BP19" i="465" s="1"/>
  <c r="BP25" i="465" s="1"/>
  <c r="BP32" i="465" s="1"/>
  <c r="BP40" i="465" s="1"/>
  <c r="BL6" i="465"/>
  <c r="BP9" i="465" s="1"/>
  <c r="BP12" i="465" s="1"/>
  <c r="BP16" i="465" s="1"/>
  <c r="BP20" i="465" s="1"/>
  <c r="BP26" i="465" s="1"/>
  <c r="BP33" i="465" s="1"/>
  <c r="BP41" i="465" s="1"/>
  <c r="AA6" i="465"/>
  <c r="Z6" i="465"/>
  <c r="Y6" i="465"/>
  <c r="P6" i="465"/>
  <c r="O6" i="465"/>
  <c r="BP5" i="465"/>
  <c r="BP7" i="465" s="1"/>
  <c r="BP10" i="465" s="1"/>
  <c r="BP14" i="465" s="1"/>
  <c r="BH49" i="465" s="1"/>
  <c r="BP24" i="465" s="1"/>
  <c r="BP31" i="465" s="1"/>
  <c r="BP39" i="465" s="1"/>
  <c r="BL14" i="465" s="1"/>
  <c r="Z5" i="465"/>
  <c r="Y5" i="465"/>
  <c r="AA5" i="465" s="1"/>
  <c r="P5" i="465"/>
  <c r="O5" i="465"/>
  <c r="K3" i="465"/>
  <c r="G3" i="465"/>
  <c r="D3" i="465"/>
  <c r="S2" i="465"/>
  <c r="K2" i="465"/>
  <c r="G2" i="465"/>
  <c r="AF1" i="465"/>
  <c r="V1" i="465"/>
  <c r="S1" i="465"/>
  <c r="K1" i="465"/>
  <c r="L1" i="465" s="1"/>
  <c r="G1" i="465"/>
  <c r="T37" i="468" l="1"/>
  <c r="T23" i="468"/>
  <c r="R19" i="468"/>
  <c r="AB16" i="468"/>
  <c r="AB14" i="468"/>
  <c r="AB19" i="468"/>
  <c r="AB18" i="468"/>
  <c r="R17" i="468"/>
  <c r="R16" i="468"/>
  <c r="R15" i="468"/>
  <c r="R14" i="468"/>
  <c r="AB12" i="468"/>
  <c r="AB13" i="468"/>
  <c r="AB11" i="468"/>
  <c r="R9" i="468"/>
  <c r="R6" i="468"/>
  <c r="AB15" i="468"/>
  <c r="AB6" i="468"/>
  <c r="R5" i="468"/>
  <c r="AB17" i="468"/>
  <c r="R13" i="468"/>
  <c r="R12" i="468"/>
  <c r="R11" i="468"/>
  <c r="AB10" i="468"/>
  <c r="R18" i="468"/>
  <c r="R10" i="468"/>
  <c r="AB9" i="468"/>
  <c r="R8" i="468"/>
  <c r="AB7" i="468"/>
  <c r="R7" i="468"/>
  <c r="AB5" i="468"/>
  <c r="AB8" i="468"/>
  <c r="N43" i="468"/>
  <c r="P43" i="468" s="1"/>
  <c r="N41" i="468"/>
  <c r="P41" i="468" s="1"/>
  <c r="N44" i="468"/>
  <c r="P44" i="468" s="1"/>
  <c r="N40" i="468"/>
  <c r="P40" i="468" s="1"/>
  <c r="N42" i="468"/>
  <c r="P42" i="468" s="1"/>
  <c r="N39" i="468"/>
  <c r="N30" i="468"/>
  <c r="P30" i="468" s="1"/>
  <c r="R35" i="468" s="1"/>
  <c r="N26" i="468"/>
  <c r="N28" i="468"/>
  <c r="P28" i="468" s="1"/>
  <c r="N25" i="468"/>
  <c r="N29" i="468"/>
  <c r="P29" i="468" s="1"/>
  <c r="R34" i="468" s="1"/>
  <c r="N27" i="468"/>
  <c r="P27" i="468" s="1"/>
  <c r="L1" i="467"/>
  <c r="M1" i="467" s="1"/>
  <c r="M2" i="467" s="1"/>
  <c r="T42" i="467"/>
  <c r="T39" i="467"/>
  <c r="T46" i="467"/>
  <c r="T43" i="467"/>
  <c r="T41" i="467"/>
  <c r="T48" i="467"/>
  <c r="C23" i="467"/>
  <c r="T31" i="467" s="1"/>
  <c r="B34" i="467"/>
  <c r="T47" i="467"/>
  <c r="T40" i="467"/>
  <c r="B24" i="467"/>
  <c r="T44" i="467"/>
  <c r="T45" i="467"/>
  <c r="T49" i="467"/>
  <c r="AA11" i="465"/>
  <c r="AA17" i="465"/>
  <c r="Q8" i="465"/>
  <c r="H1" i="465"/>
  <c r="Q6" i="465"/>
  <c r="Q10" i="465"/>
  <c r="Q5" i="465"/>
  <c r="M1" i="465"/>
  <c r="M2" i="465" s="1"/>
  <c r="R19" i="465" s="1"/>
  <c r="B31" i="465"/>
  <c r="W25" i="465" s="1"/>
  <c r="C31" i="465"/>
  <c r="W39" i="465" s="1"/>
  <c r="C23" i="465"/>
  <c r="B34" i="465"/>
  <c r="T40" i="465"/>
  <c r="B24" i="465"/>
  <c r="BF29" i="465"/>
  <c r="BF31" i="465"/>
  <c r="T45" i="465"/>
  <c r="O10" i="285"/>
  <c r="Y10" i="285"/>
  <c r="Y19" i="285"/>
  <c r="Y17" i="285"/>
  <c r="Y16" i="285"/>
  <c r="Y14" i="285"/>
  <c r="Y11" i="285"/>
  <c r="Y9" i="285"/>
  <c r="Y8" i="285"/>
  <c r="Y6" i="285"/>
  <c r="Y5" i="285"/>
  <c r="O19" i="285"/>
  <c r="O17" i="285"/>
  <c r="O16" i="285"/>
  <c r="O14" i="285"/>
  <c r="O11" i="285"/>
  <c r="O9" i="285"/>
  <c r="O8" i="285"/>
  <c r="O6" i="285"/>
  <c r="O5" i="285"/>
  <c r="S7" i="468" l="1"/>
  <c r="S12" i="468"/>
  <c r="AC19" i="468"/>
  <c r="P25" i="468"/>
  <c r="R26" i="468" s="1"/>
  <c r="N23" i="468"/>
  <c r="AC7" i="468"/>
  <c r="S18" i="468"/>
  <c r="S13" i="468"/>
  <c r="AC15" i="468"/>
  <c r="AC13" i="468"/>
  <c r="S16" i="468"/>
  <c r="AC14" i="468"/>
  <c r="P39" i="468"/>
  <c r="R43" i="468" s="1"/>
  <c r="N37" i="468"/>
  <c r="S10" i="468"/>
  <c r="AC11" i="468"/>
  <c r="R33" i="468"/>
  <c r="AC8" i="468"/>
  <c r="S8" i="468"/>
  <c r="AC10" i="468"/>
  <c r="AC17" i="468"/>
  <c r="S6" i="468"/>
  <c r="AC12" i="468"/>
  <c r="S17" i="468"/>
  <c r="AC16" i="468"/>
  <c r="AC6" i="468"/>
  <c r="S15" i="468"/>
  <c r="R32" i="468"/>
  <c r="P26" i="468"/>
  <c r="R31" i="468" s="1"/>
  <c r="R47" i="468"/>
  <c r="R49" i="468"/>
  <c r="R46" i="468"/>
  <c r="R45" i="468"/>
  <c r="R48" i="468"/>
  <c r="AC5" i="468"/>
  <c r="AC9" i="468"/>
  <c r="S11" i="468"/>
  <c r="S5" i="468"/>
  <c r="S9" i="468"/>
  <c r="S14" i="468"/>
  <c r="AC18" i="468"/>
  <c r="S19" i="468"/>
  <c r="T33" i="467"/>
  <c r="T35" i="467"/>
  <c r="T34" i="467"/>
  <c r="T28" i="467"/>
  <c r="T32" i="467"/>
  <c r="T25" i="467"/>
  <c r="C34" i="467"/>
  <c r="T29" i="467"/>
  <c r="T30" i="467"/>
  <c r="C24" i="467"/>
  <c r="N41" i="467" s="1"/>
  <c r="P41" i="467" s="1"/>
  <c r="T27" i="467"/>
  <c r="T26" i="467"/>
  <c r="T37" i="467"/>
  <c r="N43" i="467"/>
  <c r="P43" i="467" s="1"/>
  <c r="N40" i="467"/>
  <c r="P40" i="467" s="1"/>
  <c r="N42" i="467"/>
  <c r="P42" i="467" s="1"/>
  <c r="N30" i="467"/>
  <c r="P30" i="467" s="1"/>
  <c r="R35" i="467" s="1"/>
  <c r="N26" i="467"/>
  <c r="N28" i="467"/>
  <c r="P28" i="467" s="1"/>
  <c r="N25" i="467"/>
  <c r="N29" i="467"/>
  <c r="P29" i="467" s="1"/>
  <c r="R34" i="467" s="1"/>
  <c r="N27" i="467"/>
  <c r="P27" i="467" s="1"/>
  <c r="R19" i="467"/>
  <c r="AB16" i="467"/>
  <c r="AB14" i="467"/>
  <c r="AB19" i="467"/>
  <c r="AB18" i="467"/>
  <c r="R17" i="467"/>
  <c r="R16" i="467"/>
  <c r="R15" i="467"/>
  <c r="R14" i="467"/>
  <c r="AB15" i="467"/>
  <c r="AB11" i="467"/>
  <c r="R9" i="467"/>
  <c r="R6" i="467"/>
  <c r="AB13" i="467"/>
  <c r="R11" i="467"/>
  <c r="AB10" i="467"/>
  <c r="R18" i="467"/>
  <c r="AB6" i="467"/>
  <c r="AB8" i="467"/>
  <c r="AB5" i="467"/>
  <c r="AB17" i="467"/>
  <c r="R13" i="467"/>
  <c r="AB12" i="467"/>
  <c r="R12" i="467"/>
  <c r="R10" i="467"/>
  <c r="AB9" i="467"/>
  <c r="R8" i="467"/>
  <c r="AB7" i="467"/>
  <c r="R5" i="467"/>
  <c r="R7" i="467"/>
  <c r="T30" i="465"/>
  <c r="T35" i="465"/>
  <c r="T43" i="465"/>
  <c r="T47" i="465"/>
  <c r="T42" i="465"/>
  <c r="T41" i="465"/>
  <c r="T39" i="465"/>
  <c r="T46" i="465"/>
  <c r="T48" i="465"/>
  <c r="AB13" i="465"/>
  <c r="AB5" i="465"/>
  <c r="AC5" i="465" s="1"/>
  <c r="AB19" i="465"/>
  <c r="AC19" i="465" s="1"/>
  <c r="R12" i="465"/>
  <c r="S12" i="465" s="1"/>
  <c r="R17" i="465"/>
  <c r="S17" i="465" s="1"/>
  <c r="AB9" i="465"/>
  <c r="AB8" i="465"/>
  <c r="AC8" i="465" s="1"/>
  <c r="R18" i="465"/>
  <c r="S18" i="465" s="1"/>
  <c r="AB7" i="465"/>
  <c r="AC7" i="465" s="1"/>
  <c r="R9" i="465"/>
  <c r="S9" i="465" s="1"/>
  <c r="AB15" i="465"/>
  <c r="AC15" i="465" s="1"/>
  <c r="AB6" i="465"/>
  <c r="AC6" i="465" s="1"/>
  <c r="R10" i="465"/>
  <c r="S10" i="465" s="1"/>
  <c r="R13" i="465"/>
  <c r="S13" i="465" s="1"/>
  <c r="R11" i="465"/>
  <c r="S11" i="465" s="1"/>
  <c r="AB18" i="465"/>
  <c r="AC18" i="465" s="1"/>
  <c r="R8" i="465"/>
  <c r="S8" i="465" s="1"/>
  <c r="AB17" i="465"/>
  <c r="AC17" i="465" s="1"/>
  <c r="R14" i="465"/>
  <c r="S14" i="465" s="1"/>
  <c r="R7" i="465"/>
  <c r="S7" i="465" s="1"/>
  <c r="R15" i="465"/>
  <c r="S15" i="465" s="1"/>
  <c r="AB16" i="465"/>
  <c r="AC16" i="465" s="1"/>
  <c r="AB12" i="465"/>
  <c r="AC12" i="465" s="1"/>
  <c r="R5" i="465"/>
  <c r="S5" i="465" s="1"/>
  <c r="AB11" i="465"/>
  <c r="AC11" i="465" s="1"/>
  <c r="R6" i="465"/>
  <c r="S6" i="465" s="1"/>
  <c r="AB10" i="465"/>
  <c r="AC10" i="465" s="1"/>
  <c r="R16" i="465"/>
  <c r="S16" i="465" s="1"/>
  <c r="AB14" i="465"/>
  <c r="AC14" i="465" s="1"/>
  <c r="T44" i="465"/>
  <c r="T49" i="465"/>
  <c r="C34" i="465"/>
  <c r="T32" i="465"/>
  <c r="T26" i="465"/>
  <c r="C24" i="465"/>
  <c r="T28" i="465"/>
  <c r="T25" i="465"/>
  <c r="T27" i="465"/>
  <c r="T34" i="465"/>
  <c r="T29" i="465"/>
  <c r="AC9" i="465"/>
  <c r="T33" i="465"/>
  <c r="N30" i="465"/>
  <c r="P30" i="465" s="1"/>
  <c r="R35" i="465" s="1"/>
  <c r="N26" i="465"/>
  <c r="N28" i="465"/>
  <c r="P28" i="465" s="1"/>
  <c r="N25" i="465"/>
  <c r="N29" i="465"/>
  <c r="P29" i="465" s="1"/>
  <c r="R34" i="465" s="1"/>
  <c r="N27" i="465"/>
  <c r="P27" i="465" s="1"/>
  <c r="AC13" i="465"/>
  <c r="S19" i="465"/>
  <c r="T31" i="465"/>
  <c r="Y19" i="435"/>
  <c r="Y18" i="435"/>
  <c r="Y17" i="435"/>
  <c r="O16" i="435"/>
  <c r="Y16" i="435"/>
  <c r="Y14" i="435"/>
  <c r="Y13" i="435"/>
  <c r="O13" i="435"/>
  <c r="Y11" i="435"/>
  <c r="Y10" i="435"/>
  <c r="Y9" i="435"/>
  <c r="Y8" i="435"/>
  <c r="Y6" i="435"/>
  <c r="Y5" i="435"/>
  <c r="O19" i="435"/>
  <c r="O18" i="435"/>
  <c r="O17" i="435"/>
  <c r="O14" i="435"/>
  <c r="O11" i="435"/>
  <c r="O10" i="435"/>
  <c r="O9" i="435"/>
  <c r="O6" i="435"/>
  <c r="O8" i="435"/>
  <c r="O5" i="435"/>
  <c r="P18" i="435"/>
  <c r="P13" i="285"/>
  <c r="Z13" i="285"/>
  <c r="P13" i="435"/>
  <c r="R44" i="468" l="1"/>
  <c r="R41" i="468"/>
  <c r="R40" i="468"/>
  <c r="AD5" i="468"/>
  <c r="T11" i="468"/>
  <c r="U5" i="468"/>
  <c r="U10" i="468"/>
  <c r="U14" i="468"/>
  <c r="T19" i="468"/>
  <c r="T9" i="468"/>
  <c r="S20" i="468"/>
  <c r="T14" i="468"/>
  <c r="U16" i="468"/>
  <c r="R42" i="468"/>
  <c r="U13" i="468"/>
  <c r="T5" i="468"/>
  <c r="AC20" i="468"/>
  <c r="AE18" i="468"/>
  <c r="AD6" i="468"/>
  <c r="AE17" i="468"/>
  <c r="AE7" i="468"/>
  <c r="AD12" i="468"/>
  <c r="AD10" i="468"/>
  <c r="U17" i="468"/>
  <c r="AD18" i="468"/>
  <c r="U7" i="468"/>
  <c r="AD9" i="468"/>
  <c r="AE15" i="468"/>
  <c r="AE10" i="468"/>
  <c r="AE13" i="468"/>
  <c r="U12" i="468"/>
  <c r="U9" i="468"/>
  <c r="AE5" i="468"/>
  <c r="T15" i="468"/>
  <c r="U6" i="468"/>
  <c r="AE8" i="468"/>
  <c r="T10" i="468"/>
  <c r="AE14" i="468"/>
  <c r="T16" i="468"/>
  <c r="AD15" i="468"/>
  <c r="U18" i="468"/>
  <c r="AD17" i="468"/>
  <c r="T8" i="468"/>
  <c r="AE11" i="468"/>
  <c r="AD14" i="468"/>
  <c r="AD13" i="468"/>
  <c r="AD19" i="468"/>
  <c r="U11" i="468"/>
  <c r="U15" i="468"/>
  <c r="AE6" i="468"/>
  <c r="AE16" i="468"/>
  <c r="T17" i="468"/>
  <c r="R39" i="468"/>
  <c r="P37" i="468"/>
  <c r="T18" i="468"/>
  <c r="T12" i="468"/>
  <c r="T7" i="468"/>
  <c r="AE9" i="468"/>
  <c r="AD16" i="468"/>
  <c r="AE12" i="468"/>
  <c r="T6" i="468"/>
  <c r="U8" i="468"/>
  <c r="AD8" i="468"/>
  <c r="AD11" i="468"/>
  <c r="T13" i="468"/>
  <c r="AD7" i="468"/>
  <c r="R29" i="468"/>
  <c r="R27" i="468"/>
  <c r="P23" i="468"/>
  <c r="R30" i="468"/>
  <c r="R28" i="468"/>
  <c r="R25" i="468"/>
  <c r="N44" i="467"/>
  <c r="P44" i="467" s="1"/>
  <c r="R45" i="467" s="1"/>
  <c r="N39" i="467"/>
  <c r="P39" i="467" s="1"/>
  <c r="T23" i="467"/>
  <c r="R32" i="467"/>
  <c r="AC7" i="467"/>
  <c r="AC5" i="467"/>
  <c r="S15" i="467"/>
  <c r="R46" i="467"/>
  <c r="S8" i="467"/>
  <c r="AC12" i="467"/>
  <c r="AC8" i="467"/>
  <c r="S11" i="467"/>
  <c r="AC11" i="467"/>
  <c r="S16" i="467"/>
  <c r="AC14" i="467"/>
  <c r="R33" i="467"/>
  <c r="N37" i="467"/>
  <c r="S12" i="467"/>
  <c r="S9" i="467"/>
  <c r="AC19" i="467"/>
  <c r="P25" i="467"/>
  <c r="N23" i="467"/>
  <c r="S7" i="467"/>
  <c r="AC9" i="467"/>
  <c r="S13" i="467"/>
  <c r="AC6" i="467"/>
  <c r="AC13" i="467"/>
  <c r="AC15" i="467"/>
  <c r="S17" i="467"/>
  <c r="AC16" i="467"/>
  <c r="P26" i="467"/>
  <c r="R31" i="467" s="1"/>
  <c r="AC10" i="467"/>
  <c r="S5" i="467"/>
  <c r="S10" i="467"/>
  <c r="AC17" i="467"/>
  <c r="S18" i="467"/>
  <c r="S6" i="467"/>
  <c r="S14" i="467"/>
  <c r="AC18" i="467"/>
  <c r="S19" i="467"/>
  <c r="T5" i="465"/>
  <c r="AE12" i="465"/>
  <c r="S20" i="465"/>
  <c r="AD18" i="465"/>
  <c r="T13" i="465"/>
  <c r="U6" i="465"/>
  <c r="T37" i="465"/>
  <c r="T23" i="465"/>
  <c r="AD8" i="465"/>
  <c r="AE11" i="465"/>
  <c r="AE7" i="465"/>
  <c r="AD19" i="465"/>
  <c r="AD16" i="465"/>
  <c r="AE18" i="465"/>
  <c r="T7" i="465"/>
  <c r="AD13" i="465"/>
  <c r="U17" i="465"/>
  <c r="AC20" i="465"/>
  <c r="AD9" i="465"/>
  <c r="T15" i="465"/>
  <c r="AD17" i="465"/>
  <c r="T8" i="465"/>
  <c r="U16" i="465"/>
  <c r="AE5" i="465"/>
  <c r="U13" i="465"/>
  <c r="U15" i="465"/>
  <c r="T9" i="465"/>
  <c r="T6" i="465"/>
  <c r="AD15" i="465"/>
  <c r="AD12" i="465"/>
  <c r="AE16" i="465"/>
  <c r="U14" i="465"/>
  <c r="AD5" i="465"/>
  <c r="AE8" i="465"/>
  <c r="U12" i="465"/>
  <c r="U7" i="465"/>
  <c r="T12" i="465"/>
  <c r="T19" i="465"/>
  <c r="U18" i="465"/>
  <c r="U11" i="465"/>
  <c r="AD6" i="465"/>
  <c r="AE14" i="465"/>
  <c r="AE10" i="465"/>
  <c r="U5" i="465"/>
  <c r="AE15" i="465"/>
  <c r="AE13" i="465"/>
  <c r="U8" i="465"/>
  <c r="P25" i="465"/>
  <c r="N23" i="465"/>
  <c r="T17" i="465"/>
  <c r="AE9" i="465"/>
  <c r="T16" i="465"/>
  <c r="AD11" i="465"/>
  <c r="U9" i="465"/>
  <c r="AE17" i="465"/>
  <c r="T18" i="465"/>
  <c r="T10" i="465"/>
  <c r="R33" i="465"/>
  <c r="T14" i="465"/>
  <c r="AE6" i="465"/>
  <c r="AD7" i="465"/>
  <c r="AD14" i="465"/>
  <c r="U10" i="465"/>
  <c r="R32" i="465"/>
  <c r="P26" i="465"/>
  <c r="R31" i="465" s="1"/>
  <c r="T11" i="465"/>
  <c r="AD10" i="465"/>
  <c r="N43" i="465"/>
  <c r="P43" i="465" s="1"/>
  <c r="N41" i="465"/>
  <c r="P41" i="465" s="1"/>
  <c r="N44" i="465"/>
  <c r="P44" i="465" s="1"/>
  <c r="N40" i="465"/>
  <c r="P40" i="465" s="1"/>
  <c r="N42" i="465"/>
  <c r="P42" i="465" s="1"/>
  <c r="N39" i="465"/>
  <c r="Z13" i="435"/>
  <c r="AD20" i="468" l="1"/>
  <c r="AD21" i="468" s="1"/>
  <c r="L40" i="468" s="1"/>
  <c r="V28" i="468"/>
  <c r="AE25" i="468" s="1"/>
  <c r="T20" i="468"/>
  <c r="AE20" i="468"/>
  <c r="AE21" i="468" s="1"/>
  <c r="L41" i="468" s="1"/>
  <c r="U20" i="468"/>
  <c r="U21" i="468" s="1"/>
  <c r="L27" i="468" s="1"/>
  <c r="AE27" i="468"/>
  <c r="AE26" i="468"/>
  <c r="R37" i="468"/>
  <c r="V39" i="468"/>
  <c r="V48" i="468"/>
  <c r="V46" i="468"/>
  <c r="V43" i="468"/>
  <c r="V45" i="468"/>
  <c r="V47" i="468"/>
  <c r="V44" i="468"/>
  <c r="R23" i="468"/>
  <c r="V25" i="468"/>
  <c r="V34" i="468"/>
  <c r="V31" i="468"/>
  <c r="V32" i="468"/>
  <c r="V33" i="468"/>
  <c r="V30" i="468"/>
  <c r="V29" i="468"/>
  <c r="V27" i="468"/>
  <c r="V42" i="468"/>
  <c r="V40" i="468"/>
  <c r="V26" i="468"/>
  <c r="V41" i="468"/>
  <c r="R44" i="467"/>
  <c r="R48" i="467"/>
  <c r="R47" i="467"/>
  <c r="R42" i="467"/>
  <c r="R49" i="467"/>
  <c r="T19" i="467"/>
  <c r="AD19" i="467"/>
  <c r="U13" i="467"/>
  <c r="AE13" i="467"/>
  <c r="AE6" i="467"/>
  <c r="U18" i="467"/>
  <c r="S20" i="467"/>
  <c r="U16" i="467"/>
  <c r="U12" i="467"/>
  <c r="T7" i="467"/>
  <c r="U14" i="467"/>
  <c r="AD17" i="467"/>
  <c r="T5" i="467"/>
  <c r="AE8" i="467"/>
  <c r="AD15" i="467"/>
  <c r="AD12" i="467"/>
  <c r="AE7" i="467"/>
  <c r="R40" i="467"/>
  <c r="AE18" i="467"/>
  <c r="T6" i="467"/>
  <c r="AE17" i="467"/>
  <c r="AD10" i="467"/>
  <c r="AD14" i="467"/>
  <c r="AD6" i="467"/>
  <c r="AD9" i="467"/>
  <c r="U11" i="467"/>
  <c r="AD11" i="467"/>
  <c r="AC20" i="467"/>
  <c r="U17" i="467"/>
  <c r="AD18" i="467"/>
  <c r="U9" i="467"/>
  <c r="R43" i="467"/>
  <c r="AD16" i="467"/>
  <c r="AD13" i="467"/>
  <c r="AD5" i="467"/>
  <c r="AE14" i="467"/>
  <c r="R41" i="467"/>
  <c r="T8" i="467"/>
  <c r="U5" i="467"/>
  <c r="AE11" i="467"/>
  <c r="U15" i="467"/>
  <c r="AE10" i="467"/>
  <c r="R26" i="467"/>
  <c r="AE15" i="467"/>
  <c r="T13" i="467"/>
  <c r="AE9" i="467"/>
  <c r="U7" i="467"/>
  <c r="T16" i="467"/>
  <c r="AD8" i="467"/>
  <c r="T15" i="467"/>
  <c r="AE12" i="467"/>
  <c r="U10" i="467"/>
  <c r="AE16" i="467"/>
  <c r="T9" i="467"/>
  <c r="T12" i="467"/>
  <c r="R39" i="467"/>
  <c r="V40" i="467" s="1"/>
  <c r="P37" i="467"/>
  <c r="T11" i="467"/>
  <c r="U8" i="467"/>
  <c r="AE5" i="467"/>
  <c r="U6" i="467"/>
  <c r="T14" i="467"/>
  <c r="T18" i="467"/>
  <c r="T10" i="467"/>
  <c r="T17" i="467"/>
  <c r="R29" i="467"/>
  <c r="R27" i="467"/>
  <c r="V27" i="467" s="1"/>
  <c r="P23" i="467"/>
  <c r="R30" i="467"/>
  <c r="R25" i="467"/>
  <c r="R28" i="467"/>
  <c r="V28" i="467" s="1"/>
  <c r="AD7" i="467"/>
  <c r="T20" i="465"/>
  <c r="T21" i="465" s="1"/>
  <c r="L26" i="465" s="1"/>
  <c r="U20" i="465"/>
  <c r="U21" i="465" s="1"/>
  <c r="L27" i="465" s="1"/>
  <c r="AD20" i="465"/>
  <c r="AE20" i="465"/>
  <c r="AE21" i="465" s="1"/>
  <c r="L41" i="465" s="1"/>
  <c r="P39" i="465"/>
  <c r="R41" i="465" s="1"/>
  <c r="N37" i="465"/>
  <c r="R26" i="465"/>
  <c r="R47" i="465"/>
  <c r="R44" i="465"/>
  <c r="R49" i="465"/>
  <c r="R46" i="465"/>
  <c r="R45" i="465"/>
  <c r="R48" i="465"/>
  <c r="R29" i="465"/>
  <c r="R27" i="465"/>
  <c r="P23" i="465"/>
  <c r="R30" i="465"/>
  <c r="R25" i="465"/>
  <c r="R28" i="465"/>
  <c r="R42" i="465"/>
  <c r="Q9" i="435"/>
  <c r="BF48" i="435"/>
  <c r="BF47" i="435"/>
  <c r="BF46" i="435"/>
  <c r="BE45" i="435"/>
  <c r="BE44" i="435"/>
  <c r="BF45" i="435" s="1"/>
  <c r="BD44" i="435"/>
  <c r="BE43" i="435"/>
  <c r="BF44" i="435" s="1"/>
  <c r="BD43" i="435"/>
  <c r="BC43" i="435"/>
  <c r="BH42" i="435"/>
  <c r="BH47" i="435" s="1"/>
  <c r="BH52" i="435" s="1"/>
  <c r="BH55" i="435" s="1"/>
  <c r="BH57" i="435" s="1"/>
  <c r="BL13" i="435" s="1"/>
  <c r="BF42" i="435"/>
  <c r="BE42" i="435"/>
  <c r="BF43" i="435" s="1"/>
  <c r="BD42" i="435"/>
  <c r="BC42" i="435"/>
  <c r="BF41" i="435"/>
  <c r="BE41" i="435"/>
  <c r="BD41" i="435"/>
  <c r="BC41" i="435"/>
  <c r="BF40" i="435"/>
  <c r="BE40" i="435"/>
  <c r="BD40" i="435"/>
  <c r="BC40" i="435"/>
  <c r="BC39" i="435"/>
  <c r="AS38" i="435"/>
  <c r="AR38" i="435"/>
  <c r="AQ38" i="435"/>
  <c r="AP38" i="435"/>
  <c r="AO38" i="435"/>
  <c r="AN38" i="435"/>
  <c r="AM38" i="435"/>
  <c r="AL38" i="435"/>
  <c r="AK38" i="435"/>
  <c r="AJ38" i="435"/>
  <c r="AI38" i="435"/>
  <c r="AH38" i="435"/>
  <c r="AG38" i="435"/>
  <c r="AF38" i="435"/>
  <c r="AE38" i="435"/>
  <c r="AD38" i="435"/>
  <c r="AC38" i="435"/>
  <c r="AB38" i="435"/>
  <c r="AA38" i="435"/>
  <c r="Z38" i="435"/>
  <c r="Y38" i="435"/>
  <c r="X38" i="435"/>
  <c r="W38" i="435"/>
  <c r="V38" i="435"/>
  <c r="U38" i="435"/>
  <c r="T38" i="435"/>
  <c r="S38" i="435"/>
  <c r="R38" i="435"/>
  <c r="Q38" i="435"/>
  <c r="P38" i="435"/>
  <c r="O38" i="435"/>
  <c r="N38" i="435"/>
  <c r="M38" i="435"/>
  <c r="L38" i="435"/>
  <c r="K38" i="435"/>
  <c r="J38" i="435"/>
  <c r="I38" i="435"/>
  <c r="H38" i="435"/>
  <c r="G38" i="435"/>
  <c r="BH36" i="435"/>
  <c r="BF34" i="435"/>
  <c r="BF33" i="435"/>
  <c r="C33" i="435"/>
  <c r="B33" i="435"/>
  <c r="C32" i="435"/>
  <c r="B32" i="435"/>
  <c r="BE31" i="435"/>
  <c r="BH30" i="435"/>
  <c r="BH37" i="435" s="1"/>
  <c r="BH43" i="435" s="1"/>
  <c r="BH48" i="435" s="1"/>
  <c r="BH53" i="435" s="1"/>
  <c r="BH56" i="435" s="1"/>
  <c r="BH58" i="435" s="1"/>
  <c r="BH59" i="435" s="1"/>
  <c r="BE30" i="435"/>
  <c r="BD30" i="435"/>
  <c r="E30" i="435"/>
  <c r="D30" i="435"/>
  <c r="BH29" i="435"/>
  <c r="BE29" i="435"/>
  <c r="BF30" i="435" s="1"/>
  <c r="BD29" i="435"/>
  <c r="BC29" i="435"/>
  <c r="C29" i="435"/>
  <c r="B29" i="435"/>
  <c r="BH28" i="435"/>
  <c r="BH35" i="435" s="1"/>
  <c r="BH41" i="435" s="1"/>
  <c r="BH46" i="435" s="1"/>
  <c r="BH51" i="435" s="1"/>
  <c r="BH54" i="435" s="1"/>
  <c r="BE28" i="435"/>
  <c r="BD28" i="435"/>
  <c r="BC28" i="435"/>
  <c r="BH27" i="435"/>
  <c r="BH34" i="435" s="1"/>
  <c r="BH40" i="435" s="1"/>
  <c r="BH45" i="435" s="1"/>
  <c r="BH50" i="435" s="1"/>
  <c r="BF27" i="435"/>
  <c r="BE27" i="435"/>
  <c r="BF28" i="435" s="1"/>
  <c r="BD27" i="435"/>
  <c r="BC27" i="435"/>
  <c r="C27" i="435"/>
  <c r="B27" i="435"/>
  <c r="BH26" i="435"/>
  <c r="BH33" i="435" s="1"/>
  <c r="BH39" i="435" s="1"/>
  <c r="BH44" i="435" s="1"/>
  <c r="BF26" i="435"/>
  <c r="BE26" i="435"/>
  <c r="BD26" i="435"/>
  <c r="BC26" i="435"/>
  <c r="E26" i="435"/>
  <c r="E27" i="435" s="1"/>
  <c r="D26" i="435"/>
  <c r="D27" i="435" s="1"/>
  <c r="C26" i="435"/>
  <c r="B26" i="435"/>
  <c r="BH25" i="435"/>
  <c r="BH32" i="435" s="1"/>
  <c r="BH38" i="435" s="1"/>
  <c r="BC25" i="435"/>
  <c r="E25" i="435"/>
  <c r="E23" i="435" s="1"/>
  <c r="D25" i="435"/>
  <c r="C25" i="435"/>
  <c r="B25" i="435"/>
  <c r="BH24" i="435"/>
  <c r="BH31" i="435" s="1"/>
  <c r="BH23" i="435"/>
  <c r="B22" i="435"/>
  <c r="C22" i="435" s="1"/>
  <c r="B20" i="435"/>
  <c r="B21" i="435" s="1"/>
  <c r="Z19" i="435"/>
  <c r="AA19" i="435"/>
  <c r="P19" i="435"/>
  <c r="Q19" i="435" s="1"/>
  <c r="AA18" i="435"/>
  <c r="Q18" i="435"/>
  <c r="Z17" i="435"/>
  <c r="AA17" i="435"/>
  <c r="P17" i="435"/>
  <c r="AA16" i="435"/>
  <c r="Q16" i="435"/>
  <c r="C16" i="435"/>
  <c r="B16" i="435"/>
  <c r="AA15" i="435"/>
  <c r="Q15" i="435"/>
  <c r="AA14" i="435"/>
  <c r="Q14" i="435"/>
  <c r="AA13" i="435"/>
  <c r="Q13" i="435"/>
  <c r="BL12" i="435"/>
  <c r="BP47" i="435" s="1"/>
  <c r="AA12" i="435"/>
  <c r="Q12" i="435"/>
  <c r="BL11" i="435"/>
  <c r="BP38" i="435" s="1"/>
  <c r="BP46" i="435" s="1"/>
  <c r="Z11" i="435"/>
  <c r="AA11" i="435"/>
  <c r="P11" i="435"/>
  <c r="Q11" i="435" s="1"/>
  <c r="BL10" i="435"/>
  <c r="BP30" i="435" s="1"/>
  <c r="BP37" i="435" s="1"/>
  <c r="BP45" i="435" s="1"/>
  <c r="AA10" i="435"/>
  <c r="Z10" i="435"/>
  <c r="P10" i="435"/>
  <c r="Q10" i="435" s="1"/>
  <c r="BP9" i="435"/>
  <c r="BP12" i="435" s="1"/>
  <c r="BP16" i="435" s="1"/>
  <c r="BP20" i="435" s="1"/>
  <c r="BP26" i="435" s="1"/>
  <c r="BP33" i="435" s="1"/>
  <c r="BP41" i="435" s="1"/>
  <c r="BL9" i="435"/>
  <c r="BP23" i="435" s="1"/>
  <c r="BP29" i="435" s="1"/>
  <c r="BP36" i="435" s="1"/>
  <c r="BP44" i="435" s="1"/>
  <c r="AA9" i="435"/>
  <c r="BP8" i="435"/>
  <c r="BP11" i="435" s="1"/>
  <c r="BP15" i="435" s="1"/>
  <c r="BP19" i="435" s="1"/>
  <c r="BP25" i="435" s="1"/>
  <c r="BP32" i="435" s="1"/>
  <c r="BP40" i="435" s="1"/>
  <c r="BL8" i="435"/>
  <c r="BP18" i="435" s="1"/>
  <c r="BP22" i="435" s="1"/>
  <c r="BP28" i="435" s="1"/>
  <c r="BP35" i="435" s="1"/>
  <c r="BP43" i="435" s="1"/>
  <c r="Z8" i="435"/>
  <c r="AA8" i="435"/>
  <c r="P8" i="435"/>
  <c r="Q8" i="435" s="1"/>
  <c r="BP7" i="435"/>
  <c r="BP10" i="435" s="1"/>
  <c r="BP14" i="435" s="1"/>
  <c r="BH49" i="435" s="1"/>
  <c r="BP24" i="435" s="1"/>
  <c r="BP31" i="435" s="1"/>
  <c r="BP39" i="435" s="1"/>
  <c r="BL14" i="435" s="1"/>
  <c r="BL7" i="435"/>
  <c r="BP13" i="435" s="1"/>
  <c r="BP17" i="435" s="1"/>
  <c r="BP21" i="435" s="1"/>
  <c r="BP27" i="435" s="1"/>
  <c r="BP34" i="435" s="1"/>
  <c r="BP42" i="435" s="1"/>
  <c r="AA7" i="435"/>
  <c r="Q7" i="435"/>
  <c r="BP6" i="435"/>
  <c r="BL6" i="435"/>
  <c r="Z6" i="435"/>
  <c r="P6" i="435"/>
  <c r="Q6" i="435" s="1"/>
  <c r="BP5" i="435"/>
  <c r="Z5" i="435"/>
  <c r="AA5" i="435"/>
  <c r="P5" i="435"/>
  <c r="Q5" i="435" s="1"/>
  <c r="D3" i="435"/>
  <c r="S2" i="435"/>
  <c r="AF1" i="435"/>
  <c r="V1" i="435"/>
  <c r="S1" i="435"/>
  <c r="R40" i="465" l="1"/>
  <c r="AE28" i="468"/>
  <c r="AE23" i="468" s="1"/>
  <c r="AF20" i="468"/>
  <c r="AF21" i="468" s="1"/>
  <c r="L42" i="468" s="1"/>
  <c r="T21" i="468"/>
  <c r="V20" i="468"/>
  <c r="V21" i="468" s="1"/>
  <c r="L28" i="468" s="1"/>
  <c r="AC40" i="468"/>
  <c r="AC41" i="468"/>
  <c r="AC39" i="468"/>
  <c r="AC21" i="468"/>
  <c r="L39" i="468" s="1"/>
  <c r="AO29" i="468"/>
  <c r="AO31" i="468"/>
  <c r="AO25" i="468"/>
  <c r="AO30" i="468"/>
  <c r="AO26" i="468"/>
  <c r="AO32" i="468"/>
  <c r="AO27" i="468"/>
  <c r="AO28" i="468"/>
  <c r="AO33" i="468"/>
  <c r="AQ33" i="468"/>
  <c r="AQ29" i="468"/>
  <c r="AQ27" i="468"/>
  <c r="AQ30" i="468"/>
  <c r="AQ25" i="468"/>
  <c r="AQ26" i="468"/>
  <c r="AQ32" i="468"/>
  <c r="AQ34" i="468"/>
  <c r="AQ31" i="468"/>
  <c r="AQ28" i="468"/>
  <c r="AO41" i="468"/>
  <c r="AO46" i="468"/>
  <c r="AO45" i="468"/>
  <c r="AO39" i="468"/>
  <c r="AO40" i="468"/>
  <c r="AO43" i="468"/>
  <c r="AO42" i="468"/>
  <c r="AO44" i="468"/>
  <c r="AO47" i="468"/>
  <c r="AQ39" i="468"/>
  <c r="AQ46" i="468"/>
  <c r="AQ45" i="468"/>
  <c r="AQ42" i="468"/>
  <c r="AQ47" i="468"/>
  <c r="AQ41" i="468"/>
  <c r="AQ48" i="468"/>
  <c r="AQ44" i="468"/>
  <c r="AQ40" i="468"/>
  <c r="AQ43" i="468"/>
  <c r="AA26" i="468"/>
  <c r="AA25" i="468"/>
  <c r="AC25" i="468"/>
  <c r="AC26" i="468"/>
  <c r="AC27" i="468"/>
  <c r="V23" i="468"/>
  <c r="V35" i="468" s="1"/>
  <c r="V22" i="468" s="1"/>
  <c r="Y25" i="468"/>
  <c r="AK45" i="468"/>
  <c r="AK41" i="468"/>
  <c r="AK39" i="468"/>
  <c r="AK43" i="468"/>
  <c r="AK44" i="468"/>
  <c r="AK40" i="468"/>
  <c r="AK42" i="468"/>
  <c r="AA40" i="468"/>
  <c r="AA39" i="468"/>
  <c r="AG28" i="468"/>
  <c r="AG27" i="468"/>
  <c r="AG29" i="468"/>
  <c r="AG25" i="468"/>
  <c r="AG26" i="468"/>
  <c r="AM29" i="468"/>
  <c r="AM26" i="468"/>
  <c r="AM32" i="468"/>
  <c r="AM27" i="468"/>
  <c r="AM31" i="468"/>
  <c r="AM30" i="468"/>
  <c r="AM28" i="468"/>
  <c r="AM25" i="468"/>
  <c r="AG41" i="468"/>
  <c r="AG43" i="468"/>
  <c r="AG39" i="468"/>
  <c r="AG40" i="468"/>
  <c r="AG42" i="468"/>
  <c r="Y39" i="468"/>
  <c r="V37" i="468"/>
  <c r="V49" i="468" s="1"/>
  <c r="V36" i="468" s="1"/>
  <c r="AE41" i="468"/>
  <c r="AE39" i="468"/>
  <c r="AE42" i="468"/>
  <c r="AE40" i="468"/>
  <c r="AI26" i="468"/>
  <c r="AI27" i="468"/>
  <c r="AI29" i="468"/>
  <c r="AI25" i="468"/>
  <c r="AI30" i="468"/>
  <c r="AI28" i="468"/>
  <c r="AK30" i="468"/>
  <c r="AK28" i="468"/>
  <c r="AK31" i="468"/>
  <c r="AK29" i="468"/>
  <c r="AK25" i="468"/>
  <c r="AK26" i="468"/>
  <c r="AK27" i="468"/>
  <c r="AI41" i="468"/>
  <c r="AI43" i="468"/>
  <c r="AI39" i="468"/>
  <c r="AI44" i="468"/>
  <c r="AI40" i="468"/>
  <c r="AI42" i="468"/>
  <c r="AM43" i="468"/>
  <c r="AM44" i="468"/>
  <c r="AM46" i="468"/>
  <c r="AM45" i="468"/>
  <c r="AM42" i="468"/>
  <c r="AM41" i="468"/>
  <c r="AM40" i="468"/>
  <c r="AM39" i="468"/>
  <c r="V42" i="467"/>
  <c r="AE41" i="467" s="1"/>
  <c r="V41" i="467"/>
  <c r="AC39" i="467" s="1"/>
  <c r="U20" i="467"/>
  <c r="U21" i="467" s="1"/>
  <c r="L27" i="467" s="1"/>
  <c r="T20" i="467"/>
  <c r="AE20" i="467"/>
  <c r="AE21" i="467" s="1"/>
  <c r="L41" i="467" s="1"/>
  <c r="AD20" i="467"/>
  <c r="AD21" i="467" s="1"/>
  <c r="L40" i="467" s="1"/>
  <c r="AC27" i="467"/>
  <c r="AC25" i="467"/>
  <c r="AC26" i="467"/>
  <c r="AE40" i="467"/>
  <c r="AE42" i="467"/>
  <c r="AA40" i="467"/>
  <c r="AA39" i="467"/>
  <c r="R37" i="467"/>
  <c r="V39" i="467"/>
  <c r="V48" i="467"/>
  <c r="V46" i="467"/>
  <c r="V43" i="467"/>
  <c r="V45" i="467"/>
  <c r="V44" i="467"/>
  <c r="V47" i="467"/>
  <c r="AE28" i="467"/>
  <c r="AE26" i="467"/>
  <c r="AE27" i="467"/>
  <c r="AE25" i="467"/>
  <c r="R23" i="467"/>
  <c r="V25" i="467"/>
  <c r="V31" i="467"/>
  <c r="V29" i="467"/>
  <c r="V32" i="467"/>
  <c r="V33" i="467"/>
  <c r="V30" i="467"/>
  <c r="V34" i="467"/>
  <c r="AC41" i="467"/>
  <c r="V26" i="467"/>
  <c r="R43" i="465"/>
  <c r="AD21" i="465"/>
  <c r="AF20" i="465"/>
  <c r="AF21" i="465" s="1"/>
  <c r="L42" i="465" s="1"/>
  <c r="V20" i="465"/>
  <c r="V21" i="465" s="1"/>
  <c r="V26" i="465"/>
  <c r="AA25" i="465" s="1"/>
  <c r="V28" i="465"/>
  <c r="V27" i="465"/>
  <c r="R23" i="465"/>
  <c r="V25" i="465"/>
  <c r="V30" i="465"/>
  <c r="V33" i="465"/>
  <c r="V31" i="465"/>
  <c r="V34" i="465"/>
  <c r="V32" i="465"/>
  <c r="V29" i="465"/>
  <c r="R39" i="465"/>
  <c r="V41" i="465" s="1"/>
  <c r="P37" i="465"/>
  <c r="AA6" i="435"/>
  <c r="D23" i="435"/>
  <c r="Q17" i="435"/>
  <c r="B23" i="435"/>
  <c r="C23" i="435" s="1"/>
  <c r="K3" i="435"/>
  <c r="K1" i="435"/>
  <c r="G3" i="435"/>
  <c r="K2" i="435"/>
  <c r="G1" i="435"/>
  <c r="G2" i="435"/>
  <c r="B31" i="435"/>
  <c r="W25" i="435" s="1"/>
  <c r="C31" i="435"/>
  <c r="W39" i="435" s="1"/>
  <c r="BF29" i="435"/>
  <c r="BF32" i="435"/>
  <c r="BF31" i="435"/>
  <c r="AA23" i="468" l="1"/>
  <c r="AA37" i="468"/>
  <c r="AO37" i="468"/>
  <c r="AK37" i="468"/>
  <c r="AI37" i="468"/>
  <c r="AM37" i="468"/>
  <c r="AQ37" i="468"/>
  <c r="AI23" i="468"/>
  <c r="AM23" i="468"/>
  <c r="AK23" i="468"/>
  <c r="AG37" i="468"/>
  <c r="AG23" i="468"/>
  <c r="AO23" i="468"/>
  <c r="AE37" i="468"/>
  <c r="AQ23" i="468"/>
  <c r="AC37" i="468"/>
  <c r="AC23" i="468"/>
  <c r="L26" i="468"/>
  <c r="S21" i="468"/>
  <c r="L25" i="468" s="1"/>
  <c r="Y37" i="468"/>
  <c r="Y23" i="468"/>
  <c r="AS46" i="468"/>
  <c r="J46" i="468" s="1"/>
  <c r="AS43" i="468"/>
  <c r="J43" i="468" s="1"/>
  <c r="AS45" i="468"/>
  <c r="J45" i="468" s="1"/>
  <c r="AS39" i="468"/>
  <c r="AS49" i="468"/>
  <c r="J49" i="468" s="1"/>
  <c r="AS40" i="468"/>
  <c r="J40" i="468" s="1"/>
  <c r="AS48" i="468"/>
  <c r="J48" i="468" s="1"/>
  <c r="AS41" i="468"/>
  <c r="J41" i="468" s="1"/>
  <c r="AS44" i="468"/>
  <c r="J44" i="468" s="1"/>
  <c r="AS47" i="468"/>
  <c r="J47" i="468" s="1"/>
  <c r="AS42" i="468"/>
  <c r="J42" i="468" s="1"/>
  <c r="AS32" i="468"/>
  <c r="J32" i="468" s="1"/>
  <c r="AS31" i="468"/>
  <c r="J31" i="468" s="1"/>
  <c r="AS28" i="468"/>
  <c r="J28" i="468" s="1"/>
  <c r="AS34" i="468"/>
  <c r="J34" i="468" s="1"/>
  <c r="AS35" i="468"/>
  <c r="J35" i="468" s="1"/>
  <c r="AS27" i="468"/>
  <c r="AS29" i="468"/>
  <c r="J29" i="468" s="1"/>
  <c r="AS30" i="468"/>
  <c r="J30" i="468" s="1"/>
  <c r="AS25" i="468"/>
  <c r="AS26" i="468"/>
  <c r="J26" i="468" s="1"/>
  <c r="AS33" i="468"/>
  <c r="J33" i="468" s="1"/>
  <c r="J27" i="468"/>
  <c r="L37" i="468"/>
  <c r="AC40" i="467"/>
  <c r="AC37" i="467" s="1"/>
  <c r="AE39" i="467"/>
  <c r="AE37" i="467" s="1"/>
  <c r="AC23" i="467"/>
  <c r="AE23" i="467"/>
  <c r="AA37" i="467"/>
  <c r="AF20" i="467"/>
  <c r="AF21" i="467" s="1"/>
  <c r="L42" i="467" s="1"/>
  <c r="T21" i="467"/>
  <c r="V20" i="467"/>
  <c r="V21" i="467" s="1"/>
  <c r="L28" i="467" s="1"/>
  <c r="AO27" i="467"/>
  <c r="AO33" i="467"/>
  <c r="AO26" i="467"/>
  <c r="AO32" i="467"/>
  <c r="AO30" i="467"/>
  <c r="AO29" i="467"/>
  <c r="AO25" i="467"/>
  <c r="AO31" i="467"/>
  <c r="AO28" i="467"/>
  <c r="AK27" i="467"/>
  <c r="AK30" i="467"/>
  <c r="AK29" i="467"/>
  <c r="AK25" i="467"/>
  <c r="AK26" i="467"/>
  <c r="AK31" i="467"/>
  <c r="AK28" i="467"/>
  <c r="AG42" i="467"/>
  <c r="AG40" i="467"/>
  <c r="AG41" i="467"/>
  <c r="AG43" i="467"/>
  <c r="AG39" i="467"/>
  <c r="AM31" i="467"/>
  <c r="AM32" i="467"/>
  <c r="AM27" i="467"/>
  <c r="AM25" i="467"/>
  <c r="AM29" i="467"/>
  <c r="AM26" i="467"/>
  <c r="AM30" i="467"/>
  <c r="AM28" i="467"/>
  <c r="V23" i="467"/>
  <c r="V35" i="467" s="1"/>
  <c r="V22" i="467" s="1"/>
  <c r="Y25" i="467"/>
  <c r="AO47" i="467"/>
  <c r="AO41" i="467"/>
  <c r="AO46" i="467"/>
  <c r="AO45" i="467"/>
  <c r="AO39" i="467"/>
  <c r="AO40" i="467"/>
  <c r="AO43" i="467"/>
  <c r="AO42" i="467"/>
  <c r="AO44" i="467"/>
  <c r="AM41" i="467"/>
  <c r="AM39" i="467"/>
  <c r="AM46" i="467"/>
  <c r="AM43" i="467"/>
  <c r="AM44" i="467"/>
  <c r="AM45" i="467"/>
  <c r="AM42" i="467"/>
  <c r="AM40" i="467"/>
  <c r="AA25" i="467"/>
  <c r="AA26" i="467"/>
  <c r="AG26" i="467"/>
  <c r="AG27" i="467"/>
  <c r="AG28" i="467"/>
  <c r="AG29" i="467"/>
  <c r="AG25" i="467"/>
  <c r="AI44" i="467"/>
  <c r="AI40" i="467"/>
  <c r="AI41" i="467"/>
  <c r="AI43" i="467"/>
  <c r="AI42" i="467"/>
  <c r="AI39" i="467"/>
  <c r="AQ47" i="467"/>
  <c r="AQ41" i="467"/>
  <c r="AQ43" i="467"/>
  <c r="AQ39" i="467"/>
  <c r="AQ46" i="467"/>
  <c r="AQ48" i="467"/>
  <c r="AQ44" i="467"/>
  <c r="AQ40" i="467"/>
  <c r="AQ45" i="467"/>
  <c r="AQ42" i="467"/>
  <c r="AQ34" i="467"/>
  <c r="AQ31" i="467"/>
  <c r="AQ28" i="467"/>
  <c r="AQ26" i="467"/>
  <c r="AQ25" i="467"/>
  <c r="AQ32" i="467"/>
  <c r="AQ30" i="467"/>
  <c r="AQ33" i="467"/>
  <c r="AQ29" i="467"/>
  <c r="AQ27" i="467"/>
  <c r="AI29" i="467"/>
  <c r="AI25" i="467"/>
  <c r="AI30" i="467"/>
  <c r="AI28" i="467"/>
  <c r="AI27" i="467"/>
  <c r="AI26" i="467"/>
  <c r="AK44" i="467"/>
  <c r="AK39" i="467"/>
  <c r="AK45" i="467"/>
  <c r="AK41" i="467"/>
  <c r="AK42" i="467"/>
  <c r="AK43" i="467"/>
  <c r="AK40" i="467"/>
  <c r="Y39" i="467"/>
  <c r="V37" i="467"/>
  <c r="V49" i="467" s="1"/>
  <c r="V36" i="467" s="1"/>
  <c r="AA26" i="465"/>
  <c r="AA23" i="465" s="1"/>
  <c r="V40" i="465"/>
  <c r="L28" i="465"/>
  <c r="S21" i="465"/>
  <c r="L25" i="465" s="1"/>
  <c r="L40" i="465"/>
  <c r="AC21" i="465"/>
  <c r="L39" i="465" s="1"/>
  <c r="AC40" i="465"/>
  <c r="AC41" i="465"/>
  <c r="AC39" i="465"/>
  <c r="AA40" i="465"/>
  <c r="AA39" i="465"/>
  <c r="AA37" i="465" s="1"/>
  <c r="V23" i="465"/>
  <c r="V35" i="465" s="1"/>
  <c r="V22" i="465" s="1"/>
  <c r="Y25" i="465"/>
  <c r="V42" i="465"/>
  <c r="AG28" i="465"/>
  <c r="AG27" i="465"/>
  <c r="AG29" i="465"/>
  <c r="AG26" i="465"/>
  <c r="AG25" i="465"/>
  <c r="AO25" i="465"/>
  <c r="AO30" i="465"/>
  <c r="AO33" i="465"/>
  <c r="AO28" i="465"/>
  <c r="AO29" i="465"/>
  <c r="AO31" i="465"/>
  <c r="AO27" i="465"/>
  <c r="AO26" i="465"/>
  <c r="AO32" i="465"/>
  <c r="AK29" i="465"/>
  <c r="AK25" i="465"/>
  <c r="AK26" i="465"/>
  <c r="AK28" i="465"/>
  <c r="AK31" i="465"/>
  <c r="AK30" i="465"/>
  <c r="AK27" i="465"/>
  <c r="AM32" i="465"/>
  <c r="AM27" i="465"/>
  <c r="AM25" i="465"/>
  <c r="AM31" i="465"/>
  <c r="AM29" i="465"/>
  <c r="AM26" i="465"/>
  <c r="AM30" i="465"/>
  <c r="AM28" i="465"/>
  <c r="AC27" i="465"/>
  <c r="AC25" i="465"/>
  <c r="AC26" i="465"/>
  <c r="R37" i="465"/>
  <c r="V39" i="465"/>
  <c r="V45" i="465"/>
  <c r="V46" i="465"/>
  <c r="V43" i="465"/>
  <c r="V47" i="465"/>
  <c r="V48" i="465"/>
  <c r="V44" i="465"/>
  <c r="AQ32" i="465"/>
  <c r="AQ26" i="465"/>
  <c r="AQ34" i="465"/>
  <c r="AQ33" i="465"/>
  <c r="AQ29" i="465"/>
  <c r="AQ27" i="465"/>
  <c r="AQ31" i="465"/>
  <c r="AQ30" i="465"/>
  <c r="AQ25" i="465"/>
  <c r="AQ28" i="465"/>
  <c r="AI30" i="465"/>
  <c r="AI28" i="465"/>
  <c r="AI29" i="465"/>
  <c r="AI25" i="465"/>
  <c r="AI27" i="465"/>
  <c r="AI26" i="465"/>
  <c r="AE27" i="465"/>
  <c r="AE25" i="465"/>
  <c r="AE28" i="465"/>
  <c r="AE26" i="465"/>
  <c r="B34" i="435"/>
  <c r="B24" i="435"/>
  <c r="T39" i="435"/>
  <c r="T49" i="435"/>
  <c r="T42" i="435"/>
  <c r="T46" i="435"/>
  <c r="T43" i="435"/>
  <c r="T41" i="435"/>
  <c r="T47" i="435"/>
  <c r="T33" i="435"/>
  <c r="T35" i="435"/>
  <c r="T44" i="435"/>
  <c r="T48" i="435"/>
  <c r="N30" i="435"/>
  <c r="P30" i="435" s="1"/>
  <c r="R35" i="435" s="1"/>
  <c r="N29" i="435"/>
  <c r="P29" i="435" s="1"/>
  <c r="N26" i="435"/>
  <c r="N28" i="435"/>
  <c r="P28" i="435" s="1"/>
  <c r="N25" i="435"/>
  <c r="N27" i="435"/>
  <c r="P27" i="435" s="1"/>
  <c r="L1" i="435"/>
  <c r="T45" i="435"/>
  <c r="T34" i="435"/>
  <c r="T32" i="435"/>
  <c r="C34" i="435"/>
  <c r="T30" i="435"/>
  <c r="T26" i="435"/>
  <c r="C24" i="435"/>
  <c r="T31" i="435"/>
  <c r="T29" i="435"/>
  <c r="T28" i="435"/>
  <c r="T25" i="435"/>
  <c r="T27" i="435"/>
  <c r="T40" i="435"/>
  <c r="H1" i="435"/>
  <c r="L23" i="465" l="1"/>
  <c r="AS37" i="468"/>
  <c r="L23" i="468"/>
  <c r="AS23" i="468"/>
  <c r="H48" i="468"/>
  <c r="H33" i="468"/>
  <c r="H29" i="468"/>
  <c r="H44" i="468"/>
  <c r="H46" i="468"/>
  <c r="H43" i="468"/>
  <c r="BR35" i="468" s="1"/>
  <c r="H31" i="468"/>
  <c r="H30" i="468"/>
  <c r="H47" i="468"/>
  <c r="H32" i="468"/>
  <c r="H34" i="468"/>
  <c r="AS22" i="468"/>
  <c r="AS36" i="468"/>
  <c r="J39" i="468"/>
  <c r="H49" i="468"/>
  <c r="H45" i="468"/>
  <c r="H35" i="468"/>
  <c r="J25" i="468"/>
  <c r="H26" i="468" s="1"/>
  <c r="AC21" i="467"/>
  <c r="L39" i="467" s="1"/>
  <c r="AI23" i="467"/>
  <c r="AO23" i="467"/>
  <c r="AQ23" i="467"/>
  <c r="AM23" i="467"/>
  <c r="AK23" i="467"/>
  <c r="AA23" i="467"/>
  <c r="AG23" i="467"/>
  <c r="AM37" i="467"/>
  <c r="AQ37" i="467"/>
  <c r="AI37" i="467"/>
  <c r="AK37" i="467"/>
  <c r="AO37" i="467"/>
  <c r="AG37" i="467"/>
  <c r="L26" i="467"/>
  <c r="S21" i="467"/>
  <c r="L25" i="467" s="1"/>
  <c r="L37" i="467"/>
  <c r="Y37" i="467"/>
  <c r="AS29" i="467"/>
  <c r="J29" i="467" s="1"/>
  <c r="AS30" i="467"/>
  <c r="J30" i="467" s="1"/>
  <c r="AS25" i="467"/>
  <c r="AS26" i="467"/>
  <c r="J26" i="467" s="1"/>
  <c r="AS33" i="467"/>
  <c r="J33" i="467" s="1"/>
  <c r="AS28" i="467"/>
  <c r="J28" i="467" s="1"/>
  <c r="AS34" i="467"/>
  <c r="J34" i="467" s="1"/>
  <c r="AS32" i="467"/>
  <c r="J32" i="467" s="1"/>
  <c r="AS31" i="467"/>
  <c r="J31" i="467" s="1"/>
  <c r="AS35" i="467"/>
  <c r="J35" i="467" s="1"/>
  <c r="AS27" i="467"/>
  <c r="J27" i="467" s="1"/>
  <c r="AS49" i="467"/>
  <c r="J49" i="467" s="1"/>
  <c r="AS41" i="467"/>
  <c r="J41" i="467" s="1"/>
  <c r="AS46" i="467"/>
  <c r="J46" i="467" s="1"/>
  <c r="AS43" i="467"/>
  <c r="J43" i="467" s="1"/>
  <c r="AS45" i="467"/>
  <c r="J45" i="467" s="1"/>
  <c r="AS39" i="467"/>
  <c r="AS42" i="467"/>
  <c r="J42" i="467" s="1"/>
  <c r="AS40" i="467"/>
  <c r="J40" i="467" s="1"/>
  <c r="AS48" i="467"/>
  <c r="J48" i="467" s="1"/>
  <c r="AS44" i="467"/>
  <c r="J44" i="467" s="1"/>
  <c r="AS47" i="467"/>
  <c r="J47" i="467" s="1"/>
  <c r="Y23" i="467"/>
  <c r="AQ23" i="465"/>
  <c r="AM23" i="465"/>
  <c r="AK23" i="465"/>
  <c r="AI23" i="465"/>
  <c r="AO23" i="465"/>
  <c r="AC23" i="465"/>
  <c r="AE23" i="465"/>
  <c r="AC37" i="465"/>
  <c r="AG23" i="465"/>
  <c r="L37" i="465"/>
  <c r="AQ39" i="465"/>
  <c r="AQ46" i="465"/>
  <c r="AQ43" i="465"/>
  <c r="AQ45" i="465"/>
  <c r="AQ42" i="465"/>
  <c r="AQ48" i="465"/>
  <c r="AQ44" i="465"/>
  <c r="AQ40" i="465"/>
  <c r="AQ47" i="465"/>
  <c r="AQ41" i="465"/>
  <c r="AK45" i="465"/>
  <c r="AK44" i="465"/>
  <c r="AK43" i="465"/>
  <c r="AK41" i="465"/>
  <c r="AK40" i="465"/>
  <c r="AK42" i="465"/>
  <c r="AK39" i="465"/>
  <c r="Y23" i="465"/>
  <c r="AO41" i="465"/>
  <c r="AO46" i="465"/>
  <c r="AO45" i="465"/>
  <c r="AO39" i="465"/>
  <c r="AO40" i="465"/>
  <c r="AO43" i="465"/>
  <c r="AO42" i="465"/>
  <c r="AO44" i="465"/>
  <c r="AO47" i="465"/>
  <c r="Y39" i="465"/>
  <c r="V37" i="465"/>
  <c r="V49" i="465" s="1"/>
  <c r="V36" i="465" s="1"/>
  <c r="AI41" i="465"/>
  <c r="AI43" i="465"/>
  <c r="AI44" i="465"/>
  <c r="AI40" i="465"/>
  <c r="AI39" i="465"/>
  <c r="AI42" i="465"/>
  <c r="AG41" i="465"/>
  <c r="AG43" i="465"/>
  <c r="AG42" i="465"/>
  <c r="AG39" i="465"/>
  <c r="AG40" i="465"/>
  <c r="AS33" i="465"/>
  <c r="J33" i="465" s="1"/>
  <c r="AS28" i="465"/>
  <c r="J28" i="465" s="1"/>
  <c r="AS30" i="465"/>
  <c r="J30" i="465" s="1"/>
  <c r="AS25" i="465"/>
  <c r="AS26" i="465"/>
  <c r="J26" i="465" s="1"/>
  <c r="AS32" i="465"/>
  <c r="J32" i="465" s="1"/>
  <c r="AS31" i="465"/>
  <c r="J31" i="465" s="1"/>
  <c r="AS34" i="465"/>
  <c r="J34" i="465" s="1"/>
  <c r="AS35" i="465"/>
  <c r="J35" i="465" s="1"/>
  <c r="AS27" i="465"/>
  <c r="J27" i="465" s="1"/>
  <c r="AS29" i="465"/>
  <c r="J29" i="465" s="1"/>
  <c r="AM43" i="465"/>
  <c r="AM44" i="465"/>
  <c r="AM45" i="465"/>
  <c r="AM42" i="465"/>
  <c r="AM39" i="465"/>
  <c r="AM46" i="465"/>
  <c r="AM40" i="465"/>
  <c r="AM41" i="465"/>
  <c r="AE41" i="465"/>
  <c r="AE39" i="465"/>
  <c r="AE40" i="465"/>
  <c r="AE42" i="465"/>
  <c r="R34" i="435"/>
  <c r="T37" i="435"/>
  <c r="T23" i="435"/>
  <c r="R33" i="435"/>
  <c r="N43" i="435"/>
  <c r="P43" i="435" s="1"/>
  <c r="N41" i="435"/>
  <c r="P41" i="435" s="1"/>
  <c r="N44" i="435"/>
  <c r="P44" i="435" s="1"/>
  <c r="N39" i="435"/>
  <c r="N42" i="435"/>
  <c r="P42" i="435" s="1"/>
  <c r="N40" i="435"/>
  <c r="P40" i="435" s="1"/>
  <c r="M1" i="435"/>
  <c r="M2" i="435" s="1"/>
  <c r="R5" i="435" s="1"/>
  <c r="P26" i="435"/>
  <c r="R31" i="435" s="1"/>
  <c r="R32" i="435"/>
  <c r="P25" i="435"/>
  <c r="N23" i="435"/>
  <c r="BN12" i="468" l="1"/>
  <c r="BR38" i="468"/>
  <c r="BJ43" i="468"/>
  <c r="BJ57" i="468"/>
  <c r="BR36" i="468"/>
  <c r="BJ40" i="468"/>
  <c r="BJ38" i="468"/>
  <c r="BJ42" i="468"/>
  <c r="BJ39" i="468"/>
  <c r="BN14" i="468"/>
  <c r="BJ22" i="468"/>
  <c r="BJ16" i="468"/>
  <c r="BJ18" i="468"/>
  <c r="BJ20" i="468"/>
  <c r="BJ19" i="468"/>
  <c r="BJ17" i="468"/>
  <c r="BJ21" i="468"/>
  <c r="J37" i="468"/>
  <c r="H39" i="468"/>
  <c r="BR14" i="468" s="1"/>
  <c r="BJ48" i="468"/>
  <c r="BJ47" i="468"/>
  <c r="BJ46" i="468"/>
  <c r="BR18" i="468"/>
  <c r="BJ45" i="468"/>
  <c r="BN9" i="468"/>
  <c r="BJ44" i="468"/>
  <c r="BJ53" i="468"/>
  <c r="BJ51" i="468"/>
  <c r="BJ52" i="468"/>
  <c r="BJ50" i="468"/>
  <c r="BR22" i="468"/>
  <c r="BN10" i="468"/>
  <c r="BR23" i="468"/>
  <c r="H28" i="468"/>
  <c r="H42" i="468"/>
  <c r="BR21" i="468" s="1"/>
  <c r="BJ59" i="468"/>
  <c r="BR45" i="468"/>
  <c r="BR44" i="468"/>
  <c r="BR43" i="468"/>
  <c r="BR47" i="468"/>
  <c r="BR46" i="468"/>
  <c r="BN13" i="468"/>
  <c r="BR37" i="468"/>
  <c r="BJ41" i="468"/>
  <c r="BJ55" i="468"/>
  <c r="BJ56" i="468"/>
  <c r="BJ54" i="468"/>
  <c r="BR29" i="468"/>
  <c r="BR28" i="468"/>
  <c r="BR30" i="468"/>
  <c r="BN11" i="468"/>
  <c r="BJ58" i="468"/>
  <c r="H41" i="468"/>
  <c r="BR16" i="468" s="1"/>
  <c r="BN8" i="468"/>
  <c r="J23" i="468"/>
  <c r="H25" i="468"/>
  <c r="H27" i="468"/>
  <c r="H40" i="468"/>
  <c r="L23" i="467"/>
  <c r="AS23" i="467"/>
  <c r="AS22" i="467" s="1"/>
  <c r="AS37" i="467"/>
  <c r="AS36" i="467" s="1"/>
  <c r="J25" i="467"/>
  <c r="H27" i="467" s="1"/>
  <c r="H48" i="467"/>
  <c r="H32" i="467"/>
  <c r="H44" i="467"/>
  <c r="H31" i="467"/>
  <c r="H29" i="467"/>
  <c r="H45" i="467"/>
  <c r="H43" i="467"/>
  <c r="H34" i="467"/>
  <c r="H33" i="467"/>
  <c r="H35" i="467"/>
  <c r="H49" i="467"/>
  <c r="H47" i="467"/>
  <c r="H46" i="467"/>
  <c r="J39" i="467"/>
  <c r="H42" i="467" s="1"/>
  <c r="H30" i="467"/>
  <c r="AS23" i="465"/>
  <c r="AI37" i="465"/>
  <c r="AE37" i="465"/>
  <c r="AO37" i="465"/>
  <c r="AM37" i="465"/>
  <c r="AK37" i="465"/>
  <c r="AQ37" i="465"/>
  <c r="AG37" i="465"/>
  <c r="H29" i="465"/>
  <c r="H31" i="465"/>
  <c r="H30" i="465"/>
  <c r="H32" i="465"/>
  <c r="H34" i="465"/>
  <c r="H35" i="465"/>
  <c r="AS46" i="465"/>
  <c r="J46" i="465" s="1"/>
  <c r="AS43" i="465"/>
  <c r="J43" i="465" s="1"/>
  <c r="AS45" i="465"/>
  <c r="J45" i="465" s="1"/>
  <c r="AS39" i="465"/>
  <c r="J39" i="465" s="1"/>
  <c r="AS40" i="465"/>
  <c r="J40" i="465" s="1"/>
  <c r="AS48" i="465"/>
  <c r="J48" i="465" s="1"/>
  <c r="AS44" i="465"/>
  <c r="J44" i="465" s="1"/>
  <c r="AS47" i="465"/>
  <c r="J47" i="465" s="1"/>
  <c r="AS42" i="465"/>
  <c r="J42" i="465" s="1"/>
  <c r="AS49" i="465"/>
  <c r="J49" i="465" s="1"/>
  <c r="AS41" i="465"/>
  <c r="J41" i="465" s="1"/>
  <c r="H33" i="465"/>
  <c r="J25" i="465"/>
  <c r="Y37" i="465"/>
  <c r="AS22" i="465"/>
  <c r="R26" i="435"/>
  <c r="AB19" i="435"/>
  <c r="AB18" i="435"/>
  <c r="AB15" i="435"/>
  <c r="AB13" i="435"/>
  <c r="AB11" i="435"/>
  <c r="R9" i="435"/>
  <c r="R6" i="435"/>
  <c r="R11" i="435"/>
  <c r="AB10" i="435"/>
  <c r="R19" i="435"/>
  <c r="R17" i="435"/>
  <c r="R16" i="435"/>
  <c r="R15" i="435"/>
  <c r="R14" i="435"/>
  <c r="AB12" i="435"/>
  <c r="AB6" i="435"/>
  <c r="AB14" i="435"/>
  <c r="R18" i="435"/>
  <c r="AB17" i="435"/>
  <c r="R13" i="435"/>
  <c r="R12" i="435"/>
  <c r="R10" i="435"/>
  <c r="AB9" i="435"/>
  <c r="R8" i="435"/>
  <c r="AB7" i="435"/>
  <c r="AB16" i="435"/>
  <c r="AB8" i="435"/>
  <c r="R7" i="435"/>
  <c r="AB5" i="435"/>
  <c r="N37" i="435"/>
  <c r="P39" i="435"/>
  <c r="R40" i="435" s="1"/>
  <c r="R47" i="435"/>
  <c r="R49" i="435"/>
  <c r="R48" i="435"/>
  <c r="R46" i="435"/>
  <c r="R45" i="435"/>
  <c r="R27" i="435"/>
  <c r="P23" i="435"/>
  <c r="R30" i="435"/>
  <c r="R29" i="435"/>
  <c r="R25" i="435"/>
  <c r="R28" i="435"/>
  <c r="V1" i="285"/>
  <c r="BH52" i="285"/>
  <c r="BH55" i="285" s="1"/>
  <c r="BH57" i="285" s="1"/>
  <c r="BL13" i="285" s="1"/>
  <c r="BF48" i="285"/>
  <c r="BF47" i="285"/>
  <c r="BF46" i="285"/>
  <c r="BH45" i="285"/>
  <c r="BH50" i="285" s="1"/>
  <c r="BL11" i="285" s="1"/>
  <c r="BP38" i="285" s="1"/>
  <c r="BP46" i="285" s="1"/>
  <c r="BE45" i="285"/>
  <c r="BE44" i="285"/>
  <c r="BF45" i="285" s="1"/>
  <c r="BD44" i="285"/>
  <c r="BE43" i="285"/>
  <c r="BF44" i="285" s="1"/>
  <c r="BD43" i="285"/>
  <c r="BC43" i="285"/>
  <c r="BE42" i="285"/>
  <c r="BF43" i="285" s="1"/>
  <c r="BD42" i="285"/>
  <c r="BC42" i="285"/>
  <c r="BF41" i="285"/>
  <c r="BE41" i="285"/>
  <c r="BF42" i="285" s="1"/>
  <c r="BD41" i="285"/>
  <c r="BC41" i="285"/>
  <c r="BF40" i="285"/>
  <c r="BE40" i="285"/>
  <c r="BD40" i="285"/>
  <c r="BC40" i="285"/>
  <c r="BC39" i="285"/>
  <c r="AS38" i="285"/>
  <c r="AR38" i="285"/>
  <c r="AQ38" i="285"/>
  <c r="AP38" i="285"/>
  <c r="AO38" i="285"/>
  <c r="AN38" i="285"/>
  <c r="AM38" i="285"/>
  <c r="AL38" i="285"/>
  <c r="AK38" i="285"/>
  <c r="AJ38" i="285"/>
  <c r="AI38" i="285"/>
  <c r="AH38" i="285"/>
  <c r="AG38" i="285"/>
  <c r="AF38" i="285"/>
  <c r="AE38" i="285"/>
  <c r="AD38" i="285"/>
  <c r="AC38" i="285"/>
  <c r="AB38" i="285"/>
  <c r="AA38" i="285"/>
  <c r="Z38" i="285"/>
  <c r="Y38" i="285"/>
  <c r="X38" i="285"/>
  <c r="W38" i="285"/>
  <c r="V38" i="285"/>
  <c r="U38" i="285"/>
  <c r="T38" i="285"/>
  <c r="S38" i="285"/>
  <c r="R38" i="285"/>
  <c r="Q38" i="285"/>
  <c r="P38" i="285"/>
  <c r="O38" i="285"/>
  <c r="N38" i="285"/>
  <c r="M38" i="285"/>
  <c r="L38" i="285"/>
  <c r="K38" i="285"/>
  <c r="J38" i="285"/>
  <c r="I38" i="285"/>
  <c r="H38" i="285"/>
  <c r="G38" i="285"/>
  <c r="BF34" i="285"/>
  <c r="BF33" i="285"/>
  <c r="C33" i="285"/>
  <c r="B33" i="285"/>
  <c r="C32" i="285"/>
  <c r="B32" i="285"/>
  <c r="BE31" i="285"/>
  <c r="BF32" i="285" s="1"/>
  <c r="BH30" i="285"/>
  <c r="BH37" i="285" s="1"/>
  <c r="BH43" i="285" s="1"/>
  <c r="BH48" i="285" s="1"/>
  <c r="BH53" i="285" s="1"/>
  <c r="BH56" i="285" s="1"/>
  <c r="BH58" i="285" s="1"/>
  <c r="BH59" i="285" s="1"/>
  <c r="BE30" i="285"/>
  <c r="BD30" i="285"/>
  <c r="E30" i="285"/>
  <c r="D30" i="285"/>
  <c r="BH29" i="285"/>
  <c r="BH36" i="285" s="1"/>
  <c r="BH42" i="285" s="1"/>
  <c r="BH47" i="285" s="1"/>
  <c r="BE29" i="285"/>
  <c r="BF30" i="285" s="1"/>
  <c r="BD29" i="285"/>
  <c r="BC29" i="285"/>
  <c r="C29" i="285"/>
  <c r="B29" i="285"/>
  <c r="BH28" i="285"/>
  <c r="BH35" i="285" s="1"/>
  <c r="BH41" i="285" s="1"/>
  <c r="BH46" i="285" s="1"/>
  <c r="BH51" i="285" s="1"/>
  <c r="BH54" i="285" s="1"/>
  <c r="BL12" i="285" s="1"/>
  <c r="BP47" i="285" s="1"/>
  <c r="BE28" i="285"/>
  <c r="BF29" i="285" s="1"/>
  <c r="BD28" i="285"/>
  <c r="BC28" i="285"/>
  <c r="BH27" i="285"/>
  <c r="BH34" i="285" s="1"/>
  <c r="BH40" i="285" s="1"/>
  <c r="BF27" i="285"/>
  <c r="BE27" i="285"/>
  <c r="BD27" i="285"/>
  <c r="BC27" i="285"/>
  <c r="C27" i="285"/>
  <c r="B27" i="285"/>
  <c r="BH26" i="285"/>
  <c r="BH33" i="285" s="1"/>
  <c r="BH39" i="285" s="1"/>
  <c r="BH44" i="285" s="1"/>
  <c r="BL10" i="285" s="1"/>
  <c r="BP30" i="285" s="1"/>
  <c r="BP37" i="285" s="1"/>
  <c r="BP45" i="285" s="1"/>
  <c r="BF26" i="285"/>
  <c r="BE26" i="285"/>
  <c r="BD26" i="285"/>
  <c r="BC26" i="285"/>
  <c r="E26" i="285"/>
  <c r="E27" i="285" s="1"/>
  <c r="D26" i="285"/>
  <c r="D27" i="285" s="1"/>
  <c r="C26" i="285"/>
  <c r="B26" i="285"/>
  <c r="BH25" i="285"/>
  <c r="BH32" i="285" s="1"/>
  <c r="BH38" i="285" s="1"/>
  <c r="BC25" i="285"/>
  <c r="E25" i="285"/>
  <c r="D25" i="285"/>
  <c r="C25" i="285"/>
  <c r="B25" i="285"/>
  <c r="BH24" i="285"/>
  <c r="BH31" i="285" s="1"/>
  <c r="BH23" i="285"/>
  <c r="B22" i="285"/>
  <c r="C22" i="285" s="1"/>
  <c r="B20" i="285"/>
  <c r="B21" i="285" s="1"/>
  <c r="Z19" i="285"/>
  <c r="P19" i="285"/>
  <c r="AA18" i="285"/>
  <c r="Q18" i="285"/>
  <c r="Z17" i="285"/>
  <c r="P17" i="285"/>
  <c r="AA16" i="285"/>
  <c r="Q16" i="285"/>
  <c r="C16" i="285"/>
  <c r="B16" i="285"/>
  <c r="AA15" i="285"/>
  <c r="Q15" i="285"/>
  <c r="AA14" i="285"/>
  <c r="Q14" i="285"/>
  <c r="AA13" i="285"/>
  <c r="Q13" i="285"/>
  <c r="AA12" i="285"/>
  <c r="Q12" i="285"/>
  <c r="Z11" i="285"/>
  <c r="P11" i="285"/>
  <c r="Q11" i="285"/>
  <c r="Z10" i="285"/>
  <c r="P10" i="285"/>
  <c r="BL9" i="285"/>
  <c r="BP23" i="285" s="1"/>
  <c r="BP29" i="285" s="1"/>
  <c r="BP36" i="285" s="1"/>
  <c r="BP44" i="285" s="1"/>
  <c r="AA9" i="285"/>
  <c r="Q9" i="285"/>
  <c r="BP8" i="285"/>
  <c r="BP11" i="285" s="1"/>
  <c r="BP15" i="285" s="1"/>
  <c r="BP19" i="285" s="1"/>
  <c r="BP25" i="285" s="1"/>
  <c r="BP32" i="285" s="1"/>
  <c r="BP40" i="285" s="1"/>
  <c r="BL8" i="285"/>
  <c r="BP18" i="285" s="1"/>
  <c r="BP22" i="285" s="1"/>
  <c r="BP28" i="285" s="1"/>
  <c r="BP35" i="285" s="1"/>
  <c r="BP43" i="285" s="1"/>
  <c r="Z8" i="285"/>
  <c r="P8" i="285"/>
  <c r="BL7" i="285"/>
  <c r="BP13" i="285" s="1"/>
  <c r="BP17" i="285" s="1"/>
  <c r="BP21" i="285" s="1"/>
  <c r="BP27" i="285" s="1"/>
  <c r="BP34" i="285" s="1"/>
  <c r="BP42" i="285" s="1"/>
  <c r="AA7" i="285"/>
  <c r="Q7" i="285"/>
  <c r="BP6" i="285"/>
  <c r="BL6" i="285"/>
  <c r="BP9" i="285" s="1"/>
  <c r="BP12" i="285" s="1"/>
  <c r="BP16" i="285" s="1"/>
  <c r="BP20" i="285" s="1"/>
  <c r="BP26" i="285" s="1"/>
  <c r="BP33" i="285" s="1"/>
  <c r="BP41" i="285" s="1"/>
  <c r="Z6" i="285"/>
  <c r="AA6" i="285"/>
  <c r="P6" i="285"/>
  <c r="BP5" i="285"/>
  <c r="BP7" i="285" s="1"/>
  <c r="BP10" i="285" s="1"/>
  <c r="BP14" i="285" s="1"/>
  <c r="BH49" i="285" s="1"/>
  <c r="BP24" i="285" s="1"/>
  <c r="BP31" i="285" s="1"/>
  <c r="BP39" i="285" s="1"/>
  <c r="BL14" i="285" s="1"/>
  <c r="Z5" i="285"/>
  <c r="P5" i="285"/>
  <c r="D3" i="285"/>
  <c r="K1" i="285" s="1"/>
  <c r="S2" i="285"/>
  <c r="AF1" i="285"/>
  <c r="S1" i="285"/>
  <c r="BR24" i="468" l="1"/>
  <c r="BR39" i="468"/>
  <c r="BJ49" i="468"/>
  <c r="BR27" i="468"/>
  <c r="BR42" i="468"/>
  <c r="BR11" i="468"/>
  <c r="BR32" i="468"/>
  <c r="BR26" i="468"/>
  <c r="BR25" i="468"/>
  <c r="BJ35" i="468"/>
  <c r="BJ33" i="468"/>
  <c r="BJ37" i="468"/>
  <c r="BJ36" i="468"/>
  <c r="BJ32" i="468"/>
  <c r="BJ31" i="468"/>
  <c r="BN7" i="468"/>
  <c r="BJ34" i="468"/>
  <c r="BR9" i="468"/>
  <c r="BR7" i="468"/>
  <c r="BR8" i="468"/>
  <c r="BR19" i="468"/>
  <c r="BR15" i="468"/>
  <c r="BR4" i="468"/>
  <c r="BJ30" i="468"/>
  <c r="BJ26" i="468"/>
  <c r="BJ29" i="468"/>
  <c r="BJ23" i="468"/>
  <c r="BJ25" i="468"/>
  <c r="BJ28" i="468"/>
  <c r="BR5" i="468"/>
  <c r="BJ24" i="468"/>
  <c r="BR6" i="468"/>
  <c r="BJ27" i="468"/>
  <c r="BN6" i="468"/>
  <c r="BR12" i="468"/>
  <c r="BR33" i="468"/>
  <c r="BR40" i="468"/>
  <c r="BR20" i="468"/>
  <c r="BN5" i="468"/>
  <c r="BJ14" i="468"/>
  <c r="H23" i="468"/>
  <c r="BJ12" i="468"/>
  <c r="BJ11" i="468"/>
  <c r="BJ4" i="468"/>
  <c r="BJ6" i="468"/>
  <c r="BJ10" i="468"/>
  <c r="BJ13" i="468"/>
  <c r="BJ9" i="468"/>
  <c r="BJ7" i="468"/>
  <c r="BJ8" i="468"/>
  <c r="BJ5" i="468"/>
  <c r="BN4" i="468"/>
  <c r="BR41" i="468"/>
  <c r="BR34" i="468"/>
  <c r="BR13" i="468"/>
  <c r="BR17" i="468"/>
  <c r="H37" i="468"/>
  <c r="BR10" i="468"/>
  <c r="BR31" i="468"/>
  <c r="BJ15" i="468"/>
  <c r="H28" i="467"/>
  <c r="BJ36" i="467" s="1"/>
  <c r="H26" i="467"/>
  <c r="BJ21" i="467" s="1"/>
  <c r="H25" i="467"/>
  <c r="BJ8" i="467" s="1"/>
  <c r="J23" i="467"/>
  <c r="BJ53" i="467"/>
  <c r="BN10" i="467"/>
  <c r="BJ55" i="467"/>
  <c r="BJ50" i="467"/>
  <c r="BJ26" i="467"/>
  <c r="BR22" i="467"/>
  <c r="BR29" i="467"/>
  <c r="BJ52" i="467"/>
  <c r="BN14" i="467"/>
  <c r="BJ20" i="467"/>
  <c r="BR23" i="467"/>
  <c r="BJ25" i="467"/>
  <c r="BJ29" i="467"/>
  <c r="BR21" i="467"/>
  <c r="BJ15" i="467"/>
  <c r="BR27" i="467"/>
  <c r="BJ23" i="467"/>
  <c r="BJ59" i="467"/>
  <c r="BR45" i="467"/>
  <c r="BR44" i="467"/>
  <c r="BR43" i="467"/>
  <c r="BR47" i="467"/>
  <c r="BR42" i="467"/>
  <c r="BR46" i="467"/>
  <c r="BN13" i="467"/>
  <c r="BN11" i="467"/>
  <c r="BJ54" i="467"/>
  <c r="BJ39" i="467"/>
  <c r="BJ42" i="467"/>
  <c r="BJ41" i="467"/>
  <c r="BJ40" i="467"/>
  <c r="BJ38" i="467"/>
  <c r="BJ43" i="467"/>
  <c r="BN8" i="467"/>
  <c r="BR13" i="467"/>
  <c r="H41" i="467"/>
  <c r="BR12" i="467" s="1"/>
  <c r="BJ57" i="467"/>
  <c r="BR38" i="467"/>
  <c r="BR37" i="467"/>
  <c r="BR36" i="467"/>
  <c r="BR34" i="467"/>
  <c r="BJ58" i="467"/>
  <c r="BR35" i="467"/>
  <c r="BN12" i="467"/>
  <c r="BJ24" i="467"/>
  <c r="BJ56" i="467"/>
  <c r="BJ35" i="467"/>
  <c r="BJ32" i="467"/>
  <c r="BN7" i="467"/>
  <c r="BJ48" i="467"/>
  <c r="BJ47" i="467"/>
  <c r="BJ46" i="467"/>
  <c r="BR18" i="467"/>
  <c r="BJ45" i="467"/>
  <c r="BN9" i="467"/>
  <c r="BJ44" i="467"/>
  <c r="BR17" i="467"/>
  <c r="BJ28" i="467"/>
  <c r="BJ19" i="467"/>
  <c r="BJ16" i="467"/>
  <c r="BR30" i="467"/>
  <c r="BR28" i="467"/>
  <c r="BJ51" i="467"/>
  <c r="J37" i="467"/>
  <c r="H39" i="467"/>
  <c r="BJ27" i="467"/>
  <c r="BJ30" i="467"/>
  <c r="BJ22" i="467"/>
  <c r="H40" i="467"/>
  <c r="AS37" i="465"/>
  <c r="AS36" i="465" s="1"/>
  <c r="H40" i="465"/>
  <c r="BR11" i="465" s="1"/>
  <c r="H41" i="465"/>
  <c r="BR12" i="465" s="1"/>
  <c r="H44" i="465"/>
  <c r="BJ38" i="465" s="1"/>
  <c r="H45" i="465"/>
  <c r="BJ39" i="465" s="1"/>
  <c r="H43" i="465"/>
  <c r="BN8" i="465" s="1"/>
  <c r="H42" i="465"/>
  <c r="BR13" i="465" s="1"/>
  <c r="H47" i="465"/>
  <c r="BJ41" i="465" s="1"/>
  <c r="J23" i="465"/>
  <c r="H25" i="465"/>
  <c r="H49" i="465"/>
  <c r="BJ43" i="465" s="1"/>
  <c r="H27" i="465"/>
  <c r="BR32" i="465"/>
  <c r="BR35" i="465"/>
  <c r="J37" i="465"/>
  <c r="H39" i="465"/>
  <c r="BJ49" i="465" s="1"/>
  <c r="H48" i="465"/>
  <c r="BJ42" i="465" s="1"/>
  <c r="H46" i="465"/>
  <c r="BJ40" i="465" s="1"/>
  <c r="H26" i="465"/>
  <c r="H28" i="465"/>
  <c r="R43" i="435"/>
  <c r="V27" i="435"/>
  <c r="R41" i="435"/>
  <c r="R44" i="435"/>
  <c r="R23" i="435"/>
  <c r="V25" i="435"/>
  <c r="V33" i="435"/>
  <c r="V30" i="435"/>
  <c r="V31" i="435"/>
  <c r="V34" i="435"/>
  <c r="V32" i="435"/>
  <c r="V29" i="435"/>
  <c r="AC5" i="435"/>
  <c r="S5" i="435"/>
  <c r="S10" i="435"/>
  <c r="S18" i="435"/>
  <c r="S14" i="435"/>
  <c r="S19" i="435"/>
  <c r="S9" i="435"/>
  <c r="AC18" i="435"/>
  <c r="S7" i="435"/>
  <c r="AC7" i="435"/>
  <c r="S12" i="435"/>
  <c r="AC14" i="435"/>
  <c r="S15" i="435"/>
  <c r="AC10" i="435"/>
  <c r="AC11" i="435"/>
  <c r="AC19" i="435"/>
  <c r="V28" i="435"/>
  <c r="R39" i="435"/>
  <c r="P37" i="435"/>
  <c r="AC8" i="435"/>
  <c r="S8" i="435"/>
  <c r="S13" i="435"/>
  <c r="AC6" i="435"/>
  <c r="S16" i="435"/>
  <c r="S11" i="435"/>
  <c r="AC13" i="435"/>
  <c r="R42" i="435"/>
  <c r="AC27" i="435"/>
  <c r="AC26" i="435"/>
  <c r="AC25" i="435"/>
  <c r="AC16" i="435"/>
  <c r="AC9" i="435"/>
  <c r="AC17" i="435"/>
  <c r="AC12" i="435"/>
  <c r="S17" i="435"/>
  <c r="S6" i="435"/>
  <c r="AC15" i="435"/>
  <c r="V26" i="435"/>
  <c r="Q10" i="285"/>
  <c r="AA10" i="285"/>
  <c r="Q19" i="285"/>
  <c r="G2" i="285"/>
  <c r="G3" i="285"/>
  <c r="Q6" i="285"/>
  <c r="Q17" i="285"/>
  <c r="G1" i="285"/>
  <c r="K2" i="285"/>
  <c r="K3" i="285"/>
  <c r="Q5" i="285"/>
  <c r="R5" i="285" s="1"/>
  <c r="AA8" i="285"/>
  <c r="BF28" i="285"/>
  <c r="BF31" i="285"/>
  <c r="AA5" i="285"/>
  <c r="AA11" i="285"/>
  <c r="AA17" i="285"/>
  <c r="D23" i="285"/>
  <c r="E23" i="285"/>
  <c r="Q8" i="285"/>
  <c r="AA19" i="285"/>
  <c r="B23" i="285"/>
  <c r="C23" i="285" s="1"/>
  <c r="B31" i="285"/>
  <c r="W25" i="285" s="1"/>
  <c r="C31" i="285"/>
  <c r="W39" i="285" s="1"/>
  <c r="BR28" i="465" l="1"/>
  <c r="BR15" i="465"/>
  <c r="BR40" i="465"/>
  <c r="B37" i="468"/>
  <c r="B39" i="468"/>
  <c r="B38" i="468"/>
  <c r="BJ37" i="467"/>
  <c r="BJ31" i="467"/>
  <c r="BR16" i="467"/>
  <c r="BJ33" i="467"/>
  <c r="BJ34" i="467"/>
  <c r="BJ17" i="467"/>
  <c r="BJ18" i="467"/>
  <c r="BJ6" i="467"/>
  <c r="BJ11" i="467"/>
  <c r="BJ12" i="467"/>
  <c r="H23" i="467"/>
  <c r="BJ10" i="467"/>
  <c r="BJ7" i="467"/>
  <c r="BJ13" i="467"/>
  <c r="BJ9" i="467"/>
  <c r="BJ5" i="467"/>
  <c r="BR9" i="467"/>
  <c r="BR33" i="467"/>
  <c r="BN5" i="467"/>
  <c r="BR6" i="467"/>
  <c r="BR25" i="467"/>
  <c r="BR19" i="467"/>
  <c r="H37" i="467"/>
  <c r="BR24" i="467"/>
  <c r="BJ49" i="467"/>
  <c r="BR4" i="467"/>
  <c r="BR5" i="467"/>
  <c r="BR7" i="467"/>
  <c r="BR32" i="467"/>
  <c r="BJ4" i="467"/>
  <c r="BR15" i="467"/>
  <c r="BR39" i="467"/>
  <c r="BR14" i="467"/>
  <c r="BR10" i="467"/>
  <c r="BR40" i="467"/>
  <c r="BN4" i="467"/>
  <c r="BR8" i="467"/>
  <c r="BR31" i="467"/>
  <c r="BR20" i="467"/>
  <c r="BR26" i="467"/>
  <c r="BJ14" i="467"/>
  <c r="BN6" i="467"/>
  <c r="BR11" i="467"/>
  <c r="BR41" i="467"/>
  <c r="BR22" i="465"/>
  <c r="BR19" i="465"/>
  <c r="BR25" i="465"/>
  <c r="BR18" i="465"/>
  <c r="BR43" i="465"/>
  <c r="BR29" i="465"/>
  <c r="BJ46" i="465"/>
  <c r="BJ54" i="465"/>
  <c r="BR47" i="465"/>
  <c r="BN9" i="465"/>
  <c r="BR23" i="465"/>
  <c r="BJ51" i="465"/>
  <c r="BR36" i="465"/>
  <c r="BR44" i="465"/>
  <c r="BJ53" i="465"/>
  <c r="BR17" i="465"/>
  <c r="BR33" i="465"/>
  <c r="BR20" i="465"/>
  <c r="BR26" i="465"/>
  <c r="BR16" i="465"/>
  <c r="BR41" i="465"/>
  <c r="BR21" i="465"/>
  <c r="BR27" i="465"/>
  <c r="BR42" i="465"/>
  <c r="BJ56" i="465"/>
  <c r="BJ52" i="465"/>
  <c r="BJ44" i="465"/>
  <c r="BJ58" i="465"/>
  <c r="BN14" i="465"/>
  <c r="BR45" i="465"/>
  <c r="BN10" i="465"/>
  <c r="BJ48" i="465"/>
  <c r="BR37" i="465"/>
  <c r="BR30" i="465"/>
  <c r="BN12" i="465"/>
  <c r="BR34" i="465"/>
  <c r="H37" i="465"/>
  <c r="BR10" i="465"/>
  <c r="BR14" i="465"/>
  <c r="BR31" i="465"/>
  <c r="BJ30" i="465"/>
  <c r="BJ26" i="465"/>
  <c r="BJ29" i="465"/>
  <c r="BJ23" i="465"/>
  <c r="BJ25" i="465"/>
  <c r="BJ28" i="465"/>
  <c r="BJ24" i="465"/>
  <c r="BN6" i="465"/>
  <c r="BR5" i="465"/>
  <c r="BJ27" i="465"/>
  <c r="BR6" i="465"/>
  <c r="BJ35" i="465"/>
  <c r="BJ33" i="465"/>
  <c r="BJ37" i="465"/>
  <c r="BJ36" i="465"/>
  <c r="BJ32" i="465"/>
  <c r="BJ31" i="465"/>
  <c r="BR8" i="465"/>
  <c r="BJ34" i="465"/>
  <c r="BN7" i="465"/>
  <c r="BR9" i="465"/>
  <c r="BR7" i="465"/>
  <c r="BJ55" i="465"/>
  <c r="BN13" i="465"/>
  <c r="BR39" i="465"/>
  <c r="H23" i="465"/>
  <c r="BJ12" i="465"/>
  <c r="BJ10" i="465"/>
  <c r="BJ8" i="465"/>
  <c r="BJ5" i="465"/>
  <c r="BN4" i="465"/>
  <c r="BJ4" i="465"/>
  <c r="BJ13" i="465"/>
  <c r="BJ11" i="465"/>
  <c r="BJ9" i="465"/>
  <c r="BJ6" i="465"/>
  <c r="BJ7" i="465"/>
  <c r="BJ22" i="465"/>
  <c r="BJ16" i="465"/>
  <c r="BJ14" i="465"/>
  <c r="BJ18" i="465"/>
  <c r="BJ20" i="465"/>
  <c r="BJ19" i="465"/>
  <c r="BJ17" i="465"/>
  <c r="BJ21" i="465"/>
  <c r="BN5" i="465"/>
  <c r="BR4" i="465"/>
  <c r="BJ15" i="465"/>
  <c r="BJ50" i="465"/>
  <c r="BR24" i="465"/>
  <c r="BR38" i="465"/>
  <c r="BR46" i="465"/>
  <c r="BN11" i="465"/>
  <c r="BJ45" i="465"/>
  <c r="BJ47" i="465"/>
  <c r="BJ57" i="465"/>
  <c r="BJ59" i="465"/>
  <c r="T17" i="435"/>
  <c r="AD14" i="435"/>
  <c r="AC23" i="435"/>
  <c r="U6" i="435"/>
  <c r="T13" i="435"/>
  <c r="AD16" i="435"/>
  <c r="U15" i="435"/>
  <c r="AE16" i="435"/>
  <c r="AD9" i="435"/>
  <c r="U5" i="435"/>
  <c r="T5" i="435"/>
  <c r="AD17" i="435"/>
  <c r="AD15" i="435"/>
  <c r="AD5" i="435"/>
  <c r="U7" i="435"/>
  <c r="AE18" i="435"/>
  <c r="T9" i="435"/>
  <c r="AD13" i="435"/>
  <c r="AE8" i="435"/>
  <c r="AE11" i="435"/>
  <c r="AE9" i="435"/>
  <c r="T11" i="435"/>
  <c r="U13" i="435"/>
  <c r="AD19" i="435"/>
  <c r="AD10" i="435"/>
  <c r="T12" i="435"/>
  <c r="S20" i="435"/>
  <c r="U17" i="435"/>
  <c r="AE17" i="435"/>
  <c r="AE7" i="435"/>
  <c r="AD12" i="435"/>
  <c r="U16" i="435"/>
  <c r="T14" i="435"/>
  <c r="AE5" i="435"/>
  <c r="AD18" i="435"/>
  <c r="U11" i="435"/>
  <c r="AC20" i="435"/>
  <c r="AA25" i="435"/>
  <c r="AA26" i="435"/>
  <c r="AE12" i="435"/>
  <c r="AE15" i="435"/>
  <c r="AD6" i="435"/>
  <c r="T8" i="435"/>
  <c r="T15" i="435"/>
  <c r="AE14" i="435"/>
  <c r="T7" i="435"/>
  <c r="U9" i="435"/>
  <c r="U14" i="435"/>
  <c r="T18" i="435"/>
  <c r="AM32" i="435"/>
  <c r="AM28" i="435"/>
  <c r="AM25" i="435"/>
  <c r="AM26" i="435"/>
  <c r="AM30" i="435"/>
  <c r="AM29" i="435"/>
  <c r="AM27" i="435"/>
  <c r="AM31" i="435"/>
  <c r="AO32" i="435"/>
  <c r="AO25" i="435"/>
  <c r="AO29" i="435"/>
  <c r="AO33" i="435"/>
  <c r="AO26" i="435"/>
  <c r="AO28" i="435"/>
  <c r="AO30" i="435"/>
  <c r="AO31" i="435"/>
  <c r="AO27" i="435"/>
  <c r="AE13" i="435"/>
  <c r="R37" i="435"/>
  <c r="V39" i="435"/>
  <c r="V47" i="435"/>
  <c r="V46" i="435"/>
  <c r="V43" i="435"/>
  <c r="V45" i="435"/>
  <c r="V44" i="435"/>
  <c r="V48" i="435"/>
  <c r="U12" i="435"/>
  <c r="U10" i="435"/>
  <c r="AQ32" i="435"/>
  <c r="AQ31" i="435"/>
  <c r="AQ34" i="435"/>
  <c r="AQ27" i="435"/>
  <c r="AQ29" i="435"/>
  <c r="AQ33" i="435"/>
  <c r="AQ28" i="435"/>
  <c r="AQ26" i="435"/>
  <c r="AQ25" i="435"/>
  <c r="AQ30" i="435"/>
  <c r="AE6" i="435"/>
  <c r="T6" i="435"/>
  <c r="V42" i="435"/>
  <c r="T16" i="435"/>
  <c r="U8" i="435"/>
  <c r="AD8" i="435"/>
  <c r="AE27" i="435"/>
  <c r="AE25" i="435"/>
  <c r="AE28" i="435"/>
  <c r="AE26" i="435"/>
  <c r="AD11" i="435"/>
  <c r="AE10" i="435"/>
  <c r="AD7" i="435"/>
  <c r="V40" i="435"/>
  <c r="T19" i="435"/>
  <c r="U18" i="435"/>
  <c r="V41" i="435"/>
  <c r="AK29" i="435"/>
  <c r="AK27" i="435"/>
  <c r="AK26" i="435"/>
  <c r="AK25" i="435"/>
  <c r="AK30" i="435"/>
  <c r="AK31" i="435"/>
  <c r="AK28" i="435"/>
  <c r="V23" i="435"/>
  <c r="V35" i="435" s="1"/>
  <c r="V22" i="435" s="1"/>
  <c r="Y25" i="435"/>
  <c r="T10" i="435"/>
  <c r="AG25" i="435"/>
  <c r="AG28" i="435"/>
  <c r="AG29" i="435"/>
  <c r="AG26" i="435"/>
  <c r="AG27" i="435"/>
  <c r="AI30" i="435"/>
  <c r="AI29" i="435"/>
  <c r="AI28" i="435"/>
  <c r="AI27" i="435"/>
  <c r="AI26" i="435"/>
  <c r="AI25" i="435"/>
  <c r="L1" i="285"/>
  <c r="H1" i="285"/>
  <c r="M1" i="285"/>
  <c r="M2" i="285" s="1"/>
  <c r="R17" i="285" s="1"/>
  <c r="S17" i="285" s="1"/>
  <c r="R11" i="285"/>
  <c r="S11" i="285" s="1"/>
  <c r="R6" i="285"/>
  <c r="S6" i="285" s="1"/>
  <c r="AB5" i="285"/>
  <c r="AC5" i="285" s="1"/>
  <c r="R7" i="285"/>
  <c r="S7" i="285" s="1"/>
  <c r="R12" i="285"/>
  <c r="S12" i="285" s="1"/>
  <c r="AB6" i="285"/>
  <c r="AC6" i="285" s="1"/>
  <c r="AB9" i="285"/>
  <c r="AC9" i="285" s="1"/>
  <c r="AB8" i="285"/>
  <c r="AC8" i="285" s="1"/>
  <c r="R16" i="285"/>
  <c r="S16" i="285" s="1"/>
  <c r="T42" i="285"/>
  <c r="T40" i="285"/>
  <c r="T47" i="285"/>
  <c r="T32" i="285"/>
  <c r="C34" i="285"/>
  <c r="T31" i="285"/>
  <c r="T28" i="285"/>
  <c r="T26" i="285"/>
  <c r="T25" i="285"/>
  <c r="T29" i="285"/>
  <c r="T27" i="285"/>
  <c r="C24" i="285"/>
  <c r="T33" i="285"/>
  <c r="T30" i="285"/>
  <c r="T35" i="285"/>
  <c r="T43" i="285"/>
  <c r="T34" i="285"/>
  <c r="B24" i="285"/>
  <c r="T48" i="285"/>
  <c r="T46" i="285"/>
  <c r="B34" i="285"/>
  <c r="T44" i="285"/>
  <c r="T49" i="285"/>
  <c r="T39" i="285"/>
  <c r="T45" i="285"/>
  <c r="T41" i="285"/>
  <c r="B36" i="468" l="1"/>
  <c r="B38" i="467"/>
  <c r="B39" i="467"/>
  <c r="B37" i="467"/>
  <c r="B39" i="465"/>
  <c r="B37" i="465"/>
  <c r="B38" i="465"/>
  <c r="AM23" i="435"/>
  <c r="AE23" i="435"/>
  <c r="AO23" i="435"/>
  <c r="AK23" i="435"/>
  <c r="AI23" i="435"/>
  <c r="AQ23" i="435"/>
  <c r="AA23" i="435"/>
  <c r="AG23" i="435"/>
  <c r="AE20" i="435"/>
  <c r="AE21" i="435" s="1"/>
  <c r="L41" i="435" s="1"/>
  <c r="AD20" i="435"/>
  <c r="U20" i="435"/>
  <c r="U21" i="435" s="1"/>
  <c r="L27" i="435" s="1"/>
  <c r="T20" i="435"/>
  <c r="T21" i="435" s="1"/>
  <c r="L26" i="435" s="1"/>
  <c r="Y23" i="435"/>
  <c r="AE40" i="435"/>
  <c r="AE42" i="435"/>
  <c r="AE41" i="435"/>
  <c r="AE39" i="435"/>
  <c r="AQ39" i="435"/>
  <c r="AQ46" i="435"/>
  <c r="AQ45" i="435"/>
  <c r="AQ42" i="435"/>
  <c r="AQ43" i="435"/>
  <c r="AQ48" i="435"/>
  <c r="AQ44" i="435"/>
  <c r="AQ40" i="435"/>
  <c r="AQ47" i="435"/>
  <c r="AQ41" i="435"/>
  <c r="AM43" i="435"/>
  <c r="AM45" i="435"/>
  <c r="AM39" i="435"/>
  <c r="AM44" i="435"/>
  <c r="AM46" i="435"/>
  <c r="AM42" i="435"/>
  <c r="AM40" i="435"/>
  <c r="AM41" i="435"/>
  <c r="AS34" i="435"/>
  <c r="J34" i="435" s="1"/>
  <c r="AS25" i="435"/>
  <c r="AS35" i="435"/>
  <c r="J35" i="435" s="1"/>
  <c r="AS26" i="435"/>
  <c r="J26" i="435" s="1"/>
  <c r="AS31" i="435"/>
  <c r="J31" i="435" s="1"/>
  <c r="AS28" i="435"/>
  <c r="J28" i="435" s="1"/>
  <c r="AS30" i="435"/>
  <c r="J30" i="435" s="1"/>
  <c r="AS33" i="435"/>
  <c r="J33" i="435" s="1"/>
  <c r="AS27" i="435"/>
  <c r="J27" i="435" s="1"/>
  <c r="AS32" i="435"/>
  <c r="AS29" i="435"/>
  <c r="J29" i="435" s="1"/>
  <c r="AC40" i="435"/>
  <c r="AC41" i="435"/>
  <c r="AC39" i="435"/>
  <c r="AA40" i="435"/>
  <c r="AA39" i="435"/>
  <c r="AI41" i="435"/>
  <c r="AI43" i="435"/>
  <c r="AI39" i="435"/>
  <c r="AI42" i="435"/>
  <c r="AI44" i="435"/>
  <c r="AI40" i="435"/>
  <c r="AO41" i="435"/>
  <c r="AO46" i="435"/>
  <c r="AO45" i="435"/>
  <c r="AO39" i="435"/>
  <c r="AO44" i="435"/>
  <c r="AO42" i="435"/>
  <c r="AO43" i="435"/>
  <c r="AO47" i="435"/>
  <c r="AO40" i="435"/>
  <c r="AK41" i="435"/>
  <c r="AK42" i="435"/>
  <c r="AK43" i="435"/>
  <c r="AK40" i="435"/>
  <c r="AK45" i="435"/>
  <c r="AK44" i="435"/>
  <c r="AK39" i="435"/>
  <c r="AG42" i="435"/>
  <c r="AG41" i="435"/>
  <c r="AG39" i="435"/>
  <c r="AG43" i="435"/>
  <c r="AG40" i="435"/>
  <c r="Y39" i="435"/>
  <c r="V37" i="435"/>
  <c r="V49" i="435" s="1"/>
  <c r="V36" i="435" s="1"/>
  <c r="J32" i="435"/>
  <c r="R13" i="285"/>
  <c r="S13" i="285" s="1"/>
  <c r="AB10" i="285"/>
  <c r="AC10" i="285" s="1"/>
  <c r="AB11" i="285"/>
  <c r="AC11" i="285" s="1"/>
  <c r="AB15" i="285"/>
  <c r="AC15" i="285" s="1"/>
  <c r="R9" i="285"/>
  <c r="S9" i="285" s="1"/>
  <c r="AB12" i="285"/>
  <c r="R18" i="285"/>
  <c r="S18" i="285" s="1"/>
  <c r="R8" i="285"/>
  <c r="S8" i="285" s="1"/>
  <c r="AB13" i="285"/>
  <c r="AC13" i="285" s="1"/>
  <c r="AD12" i="285" s="1"/>
  <c r="AB17" i="285"/>
  <c r="AC17" i="285" s="1"/>
  <c r="AB14" i="285"/>
  <c r="AC14" i="285" s="1"/>
  <c r="AB18" i="285"/>
  <c r="AC18" i="285" s="1"/>
  <c r="R14" i="285"/>
  <c r="S14" i="285" s="1"/>
  <c r="T7" i="285" s="1"/>
  <c r="R19" i="285"/>
  <c r="S19" i="285" s="1"/>
  <c r="AB16" i="285"/>
  <c r="AC16" i="285" s="1"/>
  <c r="AB19" i="285"/>
  <c r="AC19" i="285" s="1"/>
  <c r="AB7" i="285"/>
  <c r="AC7" i="285" s="1"/>
  <c r="S5" i="285"/>
  <c r="R15" i="285"/>
  <c r="S15" i="285" s="1"/>
  <c r="R10" i="285"/>
  <c r="S10" i="285" s="1"/>
  <c r="T37" i="285"/>
  <c r="T23" i="285"/>
  <c r="AC12" i="285"/>
  <c r="N29" i="285"/>
  <c r="P29" i="285" s="1"/>
  <c r="N27" i="285"/>
  <c r="P27" i="285" s="1"/>
  <c r="N30" i="285"/>
  <c r="P30" i="285" s="1"/>
  <c r="R35" i="285" s="1"/>
  <c r="N28" i="285"/>
  <c r="P28" i="285" s="1"/>
  <c r="N26" i="285"/>
  <c r="N25" i="285"/>
  <c r="N43" i="285"/>
  <c r="P43" i="285" s="1"/>
  <c r="N41" i="285"/>
  <c r="P41" i="285" s="1"/>
  <c r="N39" i="285"/>
  <c r="N44" i="285"/>
  <c r="P44" i="285" s="1"/>
  <c r="N42" i="285"/>
  <c r="P42" i="285" s="1"/>
  <c r="N40" i="285"/>
  <c r="P40" i="285" s="1"/>
  <c r="B36" i="467" l="1"/>
  <c r="B36" i="465"/>
  <c r="T10" i="285"/>
  <c r="AI37" i="435"/>
  <c r="AC37" i="435"/>
  <c r="AS23" i="435"/>
  <c r="AG37" i="435"/>
  <c r="AM37" i="435"/>
  <c r="AQ37" i="435"/>
  <c r="AK37" i="435"/>
  <c r="AO37" i="435"/>
  <c r="AE37" i="435"/>
  <c r="AA37" i="435"/>
  <c r="J25" i="435"/>
  <c r="J23" i="435" s="1"/>
  <c r="AD21" i="435"/>
  <c r="AF20" i="435"/>
  <c r="AF21" i="435" s="1"/>
  <c r="L42" i="435" s="1"/>
  <c r="V20" i="435"/>
  <c r="V21" i="435" s="1"/>
  <c r="L28" i="435" s="1"/>
  <c r="AS46" i="435"/>
  <c r="AS43" i="435"/>
  <c r="J43" i="435" s="1"/>
  <c r="AS47" i="435"/>
  <c r="AS41" i="435"/>
  <c r="J41" i="435" s="1"/>
  <c r="AS48" i="435"/>
  <c r="AS45" i="435"/>
  <c r="J45" i="435" s="1"/>
  <c r="AS40" i="435"/>
  <c r="J40" i="435" s="1"/>
  <c r="AS49" i="435"/>
  <c r="J49" i="435" s="1"/>
  <c r="AS42" i="435"/>
  <c r="J42" i="435" s="1"/>
  <c r="AS44" i="435"/>
  <c r="J44" i="435" s="1"/>
  <c r="AS39" i="435"/>
  <c r="J47" i="435"/>
  <c r="J48" i="435"/>
  <c r="AS22" i="435"/>
  <c r="J39" i="435"/>
  <c r="Y37" i="435"/>
  <c r="J46" i="435"/>
  <c r="U7" i="285"/>
  <c r="AE14" i="285"/>
  <c r="U13" i="285"/>
  <c r="T13" i="285"/>
  <c r="AD6" i="285"/>
  <c r="T14" i="285"/>
  <c r="U10" i="285"/>
  <c r="T19" i="285"/>
  <c r="AE9" i="285"/>
  <c r="T18" i="285"/>
  <c r="U14" i="285"/>
  <c r="U12" i="285"/>
  <c r="T17" i="285"/>
  <c r="AE12" i="285"/>
  <c r="T12" i="285"/>
  <c r="T6" i="285"/>
  <c r="U18" i="285"/>
  <c r="T16" i="285"/>
  <c r="U6" i="285"/>
  <c r="U17" i="285"/>
  <c r="AE15" i="285"/>
  <c r="U16" i="285"/>
  <c r="T5" i="285"/>
  <c r="T20" i="285" s="1"/>
  <c r="T21" i="285" s="1"/>
  <c r="S20" i="285"/>
  <c r="T15" i="285"/>
  <c r="U8" i="285"/>
  <c r="U5" i="285"/>
  <c r="U20" i="285" s="1"/>
  <c r="U21" i="285" s="1"/>
  <c r="L27" i="285" s="1"/>
  <c r="U11" i="285"/>
  <c r="T8" i="285"/>
  <c r="U9" i="285"/>
  <c r="AD9" i="285"/>
  <c r="U15" i="285"/>
  <c r="T9" i="285"/>
  <c r="T11" i="285"/>
  <c r="AE17" i="285"/>
  <c r="AE5" i="285"/>
  <c r="AE8" i="285"/>
  <c r="AE16" i="285"/>
  <c r="AD19" i="285"/>
  <c r="AE13" i="285"/>
  <c r="AD13" i="285"/>
  <c r="AE6" i="285"/>
  <c r="AE7" i="285"/>
  <c r="AD7" i="285"/>
  <c r="AD8" i="285"/>
  <c r="AD10" i="285"/>
  <c r="AE10" i="285"/>
  <c r="AD16" i="285"/>
  <c r="AC20" i="285"/>
  <c r="AD11" i="285"/>
  <c r="AD14" i="285"/>
  <c r="AD17" i="285"/>
  <c r="AD18" i="285"/>
  <c r="AE18" i="285"/>
  <c r="AD15" i="285"/>
  <c r="AD5" i="285"/>
  <c r="AE11" i="285"/>
  <c r="AE20" i="285" s="1"/>
  <c r="AE21" i="285" s="1"/>
  <c r="L41" i="285" s="1"/>
  <c r="R32" i="285"/>
  <c r="P25" i="285"/>
  <c r="N23" i="285"/>
  <c r="P26" i="285"/>
  <c r="R31" i="285" s="1"/>
  <c r="R34" i="285"/>
  <c r="R49" i="285"/>
  <c r="R48" i="285"/>
  <c r="R46" i="285"/>
  <c r="R47" i="285"/>
  <c r="R45" i="285"/>
  <c r="R33" i="285"/>
  <c r="N37" i="285"/>
  <c r="P39" i="285"/>
  <c r="J37" i="435" l="1"/>
  <c r="AS37" i="435"/>
  <c r="AS36" i="435" s="1"/>
  <c r="L40" i="435"/>
  <c r="AC21" i="435"/>
  <c r="L39" i="435" s="1"/>
  <c r="S21" i="435"/>
  <c r="L25" i="435" s="1"/>
  <c r="L26" i="285"/>
  <c r="AD20" i="285"/>
  <c r="AD21" i="285" s="1"/>
  <c r="V20" i="285"/>
  <c r="R39" i="285"/>
  <c r="P37" i="285"/>
  <c r="R44" i="285"/>
  <c r="R26" i="285"/>
  <c r="R30" i="285"/>
  <c r="R28" i="285"/>
  <c r="R25" i="285"/>
  <c r="R29" i="285"/>
  <c r="R27" i="285"/>
  <c r="P23" i="285"/>
  <c r="R42" i="285"/>
  <c r="R40" i="285"/>
  <c r="R43" i="285"/>
  <c r="R41" i="285"/>
  <c r="L37" i="435" l="1"/>
  <c r="H46" i="435"/>
  <c r="H49" i="435"/>
  <c r="H47" i="435"/>
  <c r="H45" i="435"/>
  <c r="H48" i="435"/>
  <c r="H43" i="435"/>
  <c r="H29" i="435"/>
  <c r="H31" i="435"/>
  <c r="L23" i="435"/>
  <c r="H33" i="435"/>
  <c r="H34" i="435"/>
  <c r="H26" i="435"/>
  <c r="H32" i="435"/>
  <c r="H30" i="435"/>
  <c r="H25" i="435"/>
  <c r="H28" i="435"/>
  <c r="H27" i="435"/>
  <c r="H35" i="435"/>
  <c r="BN14" i="435" s="1"/>
  <c r="H42" i="435"/>
  <c r="BR13" i="435" s="1"/>
  <c r="H39" i="435"/>
  <c r="H44" i="435"/>
  <c r="H41" i="435"/>
  <c r="H40" i="435"/>
  <c r="BR11" i="435" s="1"/>
  <c r="L40" i="285"/>
  <c r="V21" i="285"/>
  <c r="AF20" i="285"/>
  <c r="V40" i="285"/>
  <c r="AA39" i="285" s="1"/>
  <c r="V26" i="285"/>
  <c r="AA26" i="285" s="1"/>
  <c r="R23" i="285"/>
  <c r="V25" i="285"/>
  <c r="V29" i="285"/>
  <c r="V32" i="285"/>
  <c r="V30" i="285"/>
  <c r="V33" i="285"/>
  <c r="V31" i="285"/>
  <c r="V34" i="285"/>
  <c r="V42" i="285"/>
  <c r="V41" i="285"/>
  <c r="V28" i="285"/>
  <c r="V27" i="285"/>
  <c r="V39" i="285"/>
  <c r="R37" i="285"/>
  <c r="V43" i="285"/>
  <c r="V46" i="285"/>
  <c r="V47" i="285"/>
  <c r="V44" i="285"/>
  <c r="V45" i="285"/>
  <c r="V48" i="285"/>
  <c r="BR12" i="435" l="1"/>
  <c r="BJ40" i="435"/>
  <c r="BJ33" i="435"/>
  <c r="BN10" i="435"/>
  <c r="BN12" i="435"/>
  <c r="BJ17" i="435"/>
  <c r="BR37" i="435"/>
  <c r="BJ38" i="435"/>
  <c r="BR35" i="435"/>
  <c r="BJ24" i="435"/>
  <c r="BR44" i="435"/>
  <c r="BJ18" i="435"/>
  <c r="BR14" i="435"/>
  <c r="BR29" i="435"/>
  <c r="BJ42" i="435"/>
  <c r="BR10" i="435"/>
  <c r="BJ49" i="435"/>
  <c r="BR7" i="435"/>
  <c r="BJ23" i="435"/>
  <c r="BJ28" i="435"/>
  <c r="BJ25" i="435"/>
  <c r="BN6" i="435"/>
  <c r="BJ27" i="435"/>
  <c r="BJ29" i="435"/>
  <c r="BR6" i="435"/>
  <c r="BN4" i="435"/>
  <c r="H37" i="435"/>
  <c r="BJ47" i="435"/>
  <c r="BR30" i="435"/>
  <c r="BJ35" i="435"/>
  <c r="BR9" i="435"/>
  <c r="BJ37" i="435"/>
  <c r="BR8" i="435"/>
  <c r="BJ31" i="435"/>
  <c r="BJ32" i="435"/>
  <c r="BJ34" i="435"/>
  <c r="BN7" i="435"/>
  <c r="BJ21" i="435"/>
  <c r="BJ16" i="435"/>
  <c r="BJ15" i="435"/>
  <c r="BN5" i="435"/>
  <c r="BJ19" i="435"/>
  <c r="BJ20" i="435"/>
  <c r="BJ14" i="435"/>
  <c r="BJ22" i="435"/>
  <c r="BJ51" i="435"/>
  <c r="BR19" i="435"/>
  <c r="BR20" i="435"/>
  <c r="BJ50" i="435"/>
  <c r="BJ52" i="435"/>
  <c r="BR23" i="435"/>
  <c r="BR21" i="435"/>
  <c r="BR22" i="435"/>
  <c r="BJ53" i="435"/>
  <c r="BJ39" i="435"/>
  <c r="BJ57" i="435"/>
  <c r="BJ13" i="435"/>
  <c r="BJ12" i="435"/>
  <c r="BJ5" i="435"/>
  <c r="BJ11" i="435"/>
  <c r="BJ6" i="435"/>
  <c r="BJ8" i="435"/>
  <c r="H23" i="435"/>
  <c r="BJ4" i="435"/>
  <c r="BJ9" i="435"/>
  <c r="BJ10" i="435"/>
  <c r="BJ7" i="435"/>
  <c r="BR45" i="435"/>
  <c r="BR47" i="435"/>
  <c r="BR43" i="435"/>
  <c r="BR42" i="435"/>
  <c r="BJ59" i="435"/>
  <c r="BR41" i="435"/>
  <c r="BN13" i="435"/>
  <c r="BR40" i="435"/>
  <c r="BR46" i="435"/>
  <c r="BJ41" i="435"/>
  <c r="BJ55" i="435"/>
  <c r="BR27" i="435"/>
  <c r="BN11" i="435"/>
  <c r="BR26" i="435"/>
  <c r="BJ54" i="435"/>
  <c r="BR24" i="435"/>
  <c r="BR25" i="435"/>
  <c r="BJ56" i="435"/>
  <c r="BR28" i="435"/>
  <c r="BR5" i="435"/>
  <c r="BJ30" i="435"/>
  <c r="BR4" i="435"/>
  <c r="BR31" i="435"/>
  <c r="BJ26" i="435"/>
  <c r="BR39" i="435"/>
  <c r="BJ36" i="435"/>
  <c r="BJ46" i="435"/>
  <c r="BN9" i="435"/>
  <c r="BJ45" i="435"/>
  <c r="BR18" i="435"/>
  <c r="BJ48" i="435"/>
  <c r="BJ44" i="435"/>
  <c r="BR16" i="435"/>
  <c r="BR17" i="435"/>
  <c r="BR15" i="435"/>
  <c r="BJ58" i="435"/>
  <c r="BR38" i="435"/>
  <c r="BR33" i="435"/>
  <c r="BR36" i="435"/>
  <c r="BR32" i="435"/>
  <c r="BR34" i="435"/>
  <c r="BN8" i="435"/>
  <c r="BJ43" i="435"/>
  <c r="AA40" i="285"/>
  <c r="L28" i="285"/>
  <c r="S21" i="285"/>
  <c r="L25" i="285" s="1"/>
  <c r="L23" i="285" s="1"/>
  <c r="AF21" i="285"/>
  <c r="AA25" i="285"/>
  <c r="AA23" i="285" s="1"/>
  <c r="AA37" i="285"/>
  <c r="AI41" i="285"/>
  <c r="AI44" i="285"/>
  <c r="AI40" i="285"/>
  <c r="AI39" i="285"/>
  <c r="AI43" i="285"/>
  <c r="AI42" i="285"/>
  <c r="AE28" i="285"/>
  <c r="AE26" i="285"/>
  <c r="AE27" i="285"/>
  <c r="AE25" i="285"/>
  <c r="AI26" i="285"/>
  <c r="AI27" i="285"/>
  <c r="AI25" i="285"/>
  <c r="AI30" i="285"/>
  <c r="AI29" i="285"/>
  <c r="AI28" i="285"/>
  <c r="Y25" i="285"/>
  <c r="V23" i="285"/>
  <c r="V35" i="285" s="1"/>
  <c r="V22" i="285" s="1"/>
  <c r="AC39" i="285"/>
  <c r="AC40" i="285"/>
  <c r="AC41" i="285"/>
  <c r="AQ31" i="285"/>
  <c r="AQ27" i="285"/>
  <c r="AQ25" i="285"/>
  <c r="AQ30" i="285"/>
  <c r="AQ29" i="285"/>
  <c r="AQ26" i="285"/>
  <c r="AQ33" i="285"/>
  <c r="AQ34" i="285"/>
  <c r="AQ28" i="285"/>
  <c r="AQ32" i="285"/>
  <c r="AG42" i="285"/>
  <c r="AG39" i="285"/>
  <c r="AG43" i="285"/>
  <c r="AG41" i="285"/>
  <c r="AG40" i="285"/>
  <c r="AQ47" i="285"/>
  <c r="AQ40" i="285"/>
  <c r="AQ45" i="285"/>
  <c r="AQ42" i="285"/>
  <c r="AQ44" i="285"/>
  <c r="AQ46" i="285"/>
  <c r="AQ39" i="285"/>
  <c r="AQ43" i="285"/>
  <c r="AQ41" i="285"/>
  <c r="AQ48" i="285"/>
  <c r="AO46" i="285"/>
  <c r="AO43" i="285"/>
  <c r="AO42" i="285"/>
  <c r="AO39" i="285"/>
  <c r="AO45" i="285"/>
  <c r="AO41" i="285"/>
  <c r="AO47" i="285"/>
  <c r="AO44" i="285"/>
  <c r="AO40" i="285"/>
  <c r="V37" i="285"/>
  <c r="V49" i="285" s="1"/>
  <c r="V36" i="285" s="1"/>
  <c r="Y39" i="285"/>
  <c r="AE42" i="285"/>
  <c r="AE40" i="285"/>
  <c r="AE39" i="285"/>
  <c r="AE41" i="285"/>
  <c r="AK31" i="285"/>
  <c r="AK29" i="285"/>
  <c r="AK28" i="285"/>
  <c r="AK25" i="285"/>
  <c r="AK30" i="285"/>
  <c r="AK26" i="285"/>
  <c r="AK27" i="285"/>
  <c r="AM31" i="285"/>
  <c r="AM30" i="285"/>
  <c r="AM29" i="285"/>
  <c r="AM27" i="285"/>
  <c r="AM26" i="285"/>
  <c r="AM25" i="285"/>
  <c r="AM32" i="285"/>
  <c r="AM28" i="285"/>
  <c r="AK39" i="285"/>
  <c r="AK40" i="285"/>
  <c r="AK45" i="285"/>
  <c r="AK42" i="285"/>
  <c r="AK41" i="285"/>
  <c r="AK44" i="285"/>
  <c r="AK43" i="285"/>
  <c r="AM43" i="285"/>
  <c r="AM42" i="285"/>
  <c r="AM44" i="285"/>
  <c r="AM40" i="285"/>
  <c r="AM46" i="285"/>
  <c r="AM45" i="285"/>
  <c r="AM41" i="285"/>
  <c r="AM39" i="285"/>
  <c r="AC26" i="285"/>
  <c r="AC27" i="285"/>
  <c r="AC25" i="285"/>
  <c r="AO27" i="285"/>
  <c r="AO30" i="285"/>
  <c r="AO29" i="285"/>
  <c r="AO25" i="285"/>
  <c r="AO32" i="285"/>
  <c r="AO33" i="285"/>
  <c r="AO28" i="285"/>
  <c r="AO26" i="285"/>
  <c r="AO31" i="285"/>
  <c r="AG29" i="285"/>
  <c r="AG27" i="285"/>
  <c r="AG28" i="285"/>
  <c r="AG26" i="285"/>
  <c r="AG25" i="285"/>
  <c r="B37" i="435" l="1"/>
  <c r="B39" i="435"/>
  <c r="B38" i="435"/>
  <c r="L42" i="285"/>
  <c r="AC21" i="285"/>
  <c r="L39" i="285" s="1"/>
  <c r="L37" i="285" s="1"/>
  <c r="AK23" i="285"/>
  <c r="AK37" i="285"/>
  <c r="AG23" i="285"/>
  <c r="AE37" i="285"/>
  <c r="AG37" i="285"/>
  <c r="AE23" i="285"/>
  <c r="AO37" i="285"/>
  <c r="AM37" i="285"/>
  <c r="AQ23" i="285"/>
  <c r="AI23" i="285"/>
  <c r="AO23" i="285"/>
  <c r="AC23" i="285"/>
  <c r="AM23" i="285"/>
  <c r="AQ37" i="285"/>
  <c r="AC37" i="285"/>
  <c r="AI37" i="285"/>
  <c r="AS31" i="285"/>
  <c r="J31" i="285" s="1"/>
  <c r="AS29" i="285"/>
  <c r="J29" i="285" s="1"/>
  <c r="AS30" i="285"/>
  <c r="J30" i="285" s="1"/>
  <c r="AS25" i="285"/>
  <c r="AS35" i="285"/>
  <c r="J35" i="285" s="1"/>
  <c r="AS34" i="285"/>
  <c r="J34" i="285" s="1"/>
  <c r="AS28" i="285"/>
  <c r="J28" i="285" s="1"/>
  <c r="AS32" i="285"/>
  <c r="J32" i="285" s="1"/>
  <c r="AS33" i="285"/>
  <c r="J33" i="285" s="1"/>
  <c r="AS26" i="285"/>
  <c r="J26" i="285" s="1"/>
  <c r="AS27" i="285"/>
  <c r="J27" i="285" s="1"/>
  <c r="Y37" i="285"/>
  <c r="AS47" i="285"/>
  <c r="J47" i="285" s="1"/>
  <c r="AS39" i="285"/>
  <c r="AS45" i="285"/>
  <c r="J45" i="285" s="1"/>
  <c r="AS43" i="285"/>
  <c r="J43" i="285" s="1"/>
  <c r="AS42" i="285"/>
  <c r="J42" i="285" s="1"/>
  <c r="AS48" i="285"/>
  <c r="J48" i="285" s="1"/>
  <c r="AS44" i="285"/>
  <c r="J44" i="285" s="1"/>
  <c r="AS49" i="285"/>
  <c r="J49" i="285" s="1"/>
  <c r="AS46" i="285"/>
  <c r="J46" i="285" s="1"/>
  <c r="AS41" i="285"/>
  <c r="J41" i="285" s="1"/>
  <c r="AS40" i="285"/>
  <c r="J40" i="285" s="1"/>
  <c r="Y23" i="285"/>
  <c r="B36" i="435" l="1"/>
  <c r="AS23" i="285"/>
  <c r="AS22" i="285" s="1"/>
  <c r="AS37" i="285"/>
  <c r="AS36" i="285" s="1"/>
  <c r="H46" i="285"/>
  <c r="H32" i="285"/>
  <c r="H47" i="285"/>
  <c r="H44" i="285"/>
  <c r="H45" i="285"/>
  <c r="H48" i="285"/>
  <c r="H33" i="285"/>
  <c r="J39" i="285"/>
  <c r="H41" i="285" s="1"/>
  <c r="H43" i="285"/>
  <c r="H31" i="285"/>
  <c r="H34" i="285"/>
  <c r="H49" i="285"/>
  <c r="H29" i="285"/>
  <c r="J25" i="285"/>
  <c r="H27" i="285" s="1"/>
  <c r="H30" i="285"/>
  <c r="H35" i="285"/>
  <c r="BN11" i="285" l="1"/>
  <c r="BJ55" i="285"/>
  <c r="BJ56" i="285"/>
  <c r="BR28" i="285"/>
  <c r="BR26" i="285"/>
  <c r="BR30" i="285"/>
  <c r="BN14" i="285"/>
  <c r="BJ54" i="285"/>
  <c r="BR29" i="285"/>
  <c r="H26" i="285"/>
  <c r="BJ18" i="285" s="1"/>
  <c r="BJ30" i="285"/>
  <c r="BJ28" i="285"/>
  <c r="BJ29" i="285"/>
  <c r="BJ27" i="285"/>
  <c r="BJ26" i="285"/>
  <c r="BJ24" i="285"/>
  <c r="BJ25" i="285"/>
  <c r="BN6" i="285"/>
  <c r="BJ53" i="285"/>
  <c r="BJ51" i="285"/>
  <c r="BJ52" i="285"/>
  <c r="BJ50" i="285"/>
  <c r="BR23" i="285"/>
  <c r="BR22" i="285"/>
  <c r="BN10" i="285"/>
  <c r="BR20" i="285"/>
  <c r="BJ47" i="285"/>
  <c r="BJ46" i="285"/>
  <c r="BJ44" i="285"/>
  <c r="BJ48" i="285"/>
  <c r="BJ45" i="285"/>
  <c r="BR16" i="285"/>
  <c r="BR18" i="285"/>
  <c r="BN9" i="285"/>
  <c r="BJ41" i="285"/>
  <c r="BJ40" i="285"/>
  <c r="BJ43" i="285"/>
  <c r="BJ39" i="285"/>
  <c r="BJ38" i="285"/>
  <c r="BR12" i="285"/>
  <c r="BJ42" i="285"/>
  <c r="BN8" i="285"/>
  <c r="J23" i="285"/>
  <c r="H25" i="285"/>
  <c r="BJ57" i="285"/>
  <c r="BR38" i="285"/>
  <c r="BR33" i="285"/>
  <c r="BR37" i="285"/>
  <c r="BR36" i="285"/>
  <c r="BR35" i="285"/>
  <c r="BJ58" i="285"/>
  <c r="BN12" i="285"/>
  <c r="H28" i="285"/>
  <c r="BJ59" i="285"/>
  <c r="BR45" i="285"/>
  <c r="BR43" i="285"/>
  <c r="BR47" i="285"/>
  <c r="BR41" i="285"/>
  <c r="BN13" i="285"/>
  <c r="BR46" i="285"/>
  <c r="BR44" i="285"/>
  <c r="J37" i="285"/>
  <c r="H39" i="285"/>
  <c r="BR5" i="285" s="1"/>
  <c r="H40" i="285"/>
  <c r="BR25" i="285" s="1"/>
  <c r="H42" i="285"/>
  <c r="BR27" i="285" s="1"/>
  <c r="BJ21" i="285" l="1"/>
  <c r="BJ17" i="285"/>
  <c r="BJ22" i="285"/>
  <c r="BJ19" i="285"/>
  <c r="BJ14" i="285"/>
  <c r="BJ20" i="285"/>
  <c r="BJ16" i="285"/>
  <c r="BR31" i="285"/>
  <c r="BR39" i="285"/>
  <c r="BR40" i="285"/>
  <c r="BN5" i="285"/>
  <c r="BR11" i="285"/>
  <c r="BR34" i="285"/>
  <c r="BR4" i="285"/>
  <c r="BR13" i="285"/>
  <c r="BR14" i="285"/>
  <c r="BR21" i="285"/>
  <c r="H37" i="285"/>
  <c r="BR24" i="285"/>
  <c r="BR42" i="285"/>
  <c r="BR32" i="285"/>
  <c r="BJ15" i="285"/>
  <c r="BR19" i="285"/>
  <c r="BJ49" i="285"/>
  <c r="BR6" i="285"/>
  <c r="BJ32" i="285"/>
  <c r="BJ34" i="285"/>
  <c r="BJ33" i="285"/>
  <c r="BJ37" i="285"/>
  <c r="BJ36" i="285"/>
  <c r="BJ35" i="285"/>
  <c r="BJ31" i="285"/>
  <c r="BR8" i="285"/>
  <c r="BR7" i="285"/>
  <c r="BR9" i="285"/>
  <c r="BN7" i="285"/>
  <c r="BJ12" i="285"/>
  <c r="H23" i="285"/>
  <c r="BJ10" i="285"/>
  <c r="BJ8" i="285"/>
  <c r="BJ9" i="285"/>
  <c r="BJ5" i="285"/>
  <c r="BN4" i="285"/>
  <c r="BJ11" i="285"/>
  <c r="BJ4" i="285"/>
  <c r="BJ7" i="285"/>
  <c r="BJ6" i="285"/>
  <c r="BJ13" i="285"/>
  <c r="BR10" i="285"/>
  <c r="BR17" i="285"/>
  <c r="BR15" i="285"/>
  <c r="BJ23" i="285"/>
  <c r="B38" i="285" l="1"/>
  <c r="B37" i="285"/>
  <c r="B39" i="285"/>
  <c r="B36" i="285" l="1"/>
  <c r="C16" i="273" l="1"/>
  <c r="B33" i="273"/>
  <c r="C33" i="273"/>
  <c r="B16" i="273"/>
  <c r="BF48" i="273"/>
  <c r="BF47" i="273"/>
  <c r="BF46" i="273"/>
  <c r="BH45" i="273"/>
  <c r="BH50" i="273" s="1"/>
  <c r="BE45" i="273"/>
  <c r="BF44" i="273"/>
  <c r="BE44" i="273"/>
  <c r="BF45" i="273" s="1"/>
  <c r="BD44" i="273"/>
  <c r="BE43" i="273"/>
  <c r="BD43" i="273"/>
  <c r="BC43" i="273"/>
  <c r="BE42" i="273"/>
  <c r="BF43" i="273" s="1"/>
  <c r="BD42" i="273"/>
  <c r="BC42" i="273"/>
  <c r="BF41" i="273"/>
  <c r="BE41" i="273"/>
  <c r="BF42" i="273" s="1"/>
  <c r="BD41" i="273"/>
  <c r="BC41" i="273"/>
  <c r="BF40" i="273"/>
  <c r="BE40" i="273"/>
  <c r="BD40" i="273"/>
  <c r="BC40" i="273"/>
  <c r="BH39" i="273"/>
  <c r="BH44" i="273" s="1"/>
  <c r="BL10" i="273" s="1"/>
  <c r="BP30" i="273" s="1"/>
  <c r="BP37" i="273" s="1"/>
  <c r="BP45" i="273" s="1"/>
  <c r="BC39" i="273"/>
  <c r="AS37" i="273"/>
  <c r="AR37" i="273"/>
  <c r="AQ37" i="273"/>
  <c r="AP37" i="273"/>
  <c r="AO37" i="273"/>
  <c r="AN37" i="273"/>
  <c r="AM37" i="273"/>
  <c r="AL37" i="273"/>
  <c r="AK37" i="273"/>
  <c r="AJ37" i="273"/>
  <c r="AI37" i="273"/>
  <c r="AH37" i="273"/>
  <c r="AG37" i="273"/>
  <c r="AF37" i="273"/>
  <c r="AE37" i="273"/>
  <c r="AD37" i="273"/>
  <c r="AC37" i="273"/>
  <c r="AB37" i="273"/>
  <c r="AA37" i="273"/>
  <c r="Z37" i="273"/>
  <c r="Y37" i="273"/>
  <c r="X37" i="273"/>
  <c r="W37" i="273"/>
  <c r="V37" i="273"/>
  <c r="U37" i="273"/>
  <c r="T37" i="273"/>
  <c r="S37" i="273"/>
  <c r="R37" i="273"/>
  <c r="Q37" i="273"/>
  <c r="P37" i="273"/>
  <c r="O37" i="273"/>
  <c r="N37" i="273"/>
  <c r="M37" i="273"/>
  <c r="L37" i="273"/>
  <c r="K37" i="273"/>
  <c r="J37" i="273"/>
  <c r="I37" i="273"/>
  <c r="H37" i="273"/>
  <c r="G37" i="273"/>
  <c r="BF34" i="273"/>
  <c r="BH33" i="273"/>
  <c r="BF33" i="273"/>
  <c r="C32" i="273"/>
  <c r="B32" i="273"/>
  <c r="BH31" i="273"/>
  <c r="BE31" i="273"/>
  <c r="BF32" i="273" s="1"/>
  <c r="BH30" i="273"/>
  <c r="BH37" i="273" s="1"/>
  <c r="BH43" i="273" s="1"/>
  <c r="BH48" i="273" s="1"/>
  <c r="BH53" i="273" s="1"/>
  <c r="BH56" i="273" s="1"/>
  <c r="BH58" i="273" s="1"/>
  <c r="BH59" i="273" s="1"/>
  <c r="BE30" i="273"/>
  <c r="BF31" i="273" s="1"/>
  <c r="BD30" i="273"/>
  <c r="E30" i="273"/>
  <c r="D30" i="273"/>
  <c r="BH29" i="273"/>
  <c r="BH36" i="273" s="1"/>
  <c r="BH42" i="273" s="1"/>
  <c r="BH47" i="273" s="1"/>
  <c r="BH52" i="273" s="1"/>
  <c r="BH55" i="273" s="1"/>
  <c r="BH57" i="273" s="1"/>
  <c r="BL13" i="273" s="1"/>
  <c r="BE29" i="273"/>
  <c r="BF30" i="273" s="1"/>
  <c r="BD29" i="273"/>
  <c r="BC29" i="273"/>
  <c r="C29" i="273"/>
  <c r="B29" i="273"/>
  <c r="BH28" i="273"/>
  <c r="BH35" i="273" s="1"/>
  <c r="BH41" i="273" s="1"/>
  <c r="BH46" i="273" s="1"/>
  <c r="BH51" i="273" s="1"/>
  <c r="BH54" i="273" s="1"/>
  <c r="BF28" i="273"/>
  <c r="BE28" i="273"/>
  <c r="BF29" i="273" s="1"/>
  <c r="BD28" i="273"/>
  <c r="BC28" i="273"/>
  <c r="BH27" i="273"/>
  <c r="BH34" i="273" s="1"/>
  <c r="BH40" i="273" s="1"/>
  <c r="BF27" i="273"/>
  <c r="BE27" i="273"/>
  <c r="BD27" i="273"/>
  <c r="BC27" i="273"/>
  <c r="C27" i="273"/>
  <c r="B27" i="273"/>
  <c r="BH26" i="273"/>
  <c r="BF26" i="273"/>
  <c r="BE26" i="273"/>
  <c r="BD26" i="273"/>
  <c r="BC26" i="273"/>
  <c r="E26" i="273"/>
  <c r="E27" i="273" s="1"/>
  <c r="D26" i="273"/>
  <c r="C26" i="273"/>
  <c r="B26" i="273"/>
  <c r="BH25" i="273"/>
  <c r="BH32" i="273" s="1"/>
  <c r="BH38" i="273" s="1"/>
  <c r="BC25" i="273"/>
  <c r="E25" i="273"/>
  <c r="D25" i="273"/>
  <c r="C25" i="273"/>
  <c r="B25" i="273"/>
  <c r="BH24" i="273"/>
  <c r="BH23" i="273"/>
  <c r="B22" i="273"/>
  <c r="C22" i="273" s="1"/>
  <c r="B20" i="273"/>
  <c r="B21" i="273" s="1"/>
  <c r="AA19" i="273"/>
  <c r="Z19" i="273"/>
  <c r="Y19" i="273"/>
  <c r="P19" i="273"/>
  <c r="O19" i="273"/>
  <c r="Q19" i="273" s="1"/>
  <c r="BP18" i="273"/>
  <c r="BP22" i="273" s="1"/>
  <c r="BP28" i="273" s="1"/>
  <c r="BP35" i="273" s="1"/>
  <c r="BP43" i="273" s="1"/>
  <c r="AA18" i="273"/>
  <c r="Q18" i="273"/>
  <c r="Z17" i="273"/>
  <c r="AA17" i="273" s="1"/>
  <c r="Y17" i="273"/>
  <c r="Q17" i="273"/>
  <c r="P17" i="273"/>
  <c r="O17" i="273"/>
  <c r="AA16" i="273"/>
  <c r="Y16" i="273"/>
  <c r="Q16" i="273"/>
  <c r="O16" i="273"/>
  <c r="AA15" i="273"/>
  <c r="Q15" i="273"/>
  <c r="AA14" i="273"/>
  <c r="Y14" i="273"/>
  <c r="Q14" i="273"/>
  <c r="O14" i="273"/>
  <c r="Z13" i="273"/>
  <c r="AA13" i="273" s="1"/>
  <c r="P13" i="273"/>
  <c r="Q13" i="273" s="1"/>
  <c r="BL12" i="273"/>
  <c r="BP47" i="273" s="1"/>
  <c r="AA12" i="273"/>
  <c r="Q12" i="273"/>
  <c r="BL11" i="273"/>
  <c r="BP38" i="273" s="1"/>
  <c r="BP46" i="273" s="1"/>
  <c r="AA11" i="273"/>
  <c r="Z11" i="273"/>
  <c r="Y11" i="273"/>
  <c r="P11" i="273"/>
  <c r="Q11" i="273" s="1"/>
  <c r="O11" i="273"/>
  <c r="Z10" i="273"/>
  <c r="AA10" i="273" s="1"/>
  <c r="Y10" i="273"/>
  <c r="P10" i="273"/>
  <c r="Q10" i="273" s="1"/>
  <c r="O10" i="273"/>
  <c r="BL9" i="273"/>
  <c r="BP23" i="273" s="1"/>
  <c r="BP29" i="273" s="1"/>
  <c r="BP36" i="273" s="1"/>
  <c r="BP44" i="273" s="1"/>
  <c r="Y9" i="273"/>
  <c r="AA9" i="273" s="1"/>
  <c r="Q9" i="273"/>
  <c r="O9" i="273"/>
  <c r="BL8" i="273"/>
  <c r="Z8" i="273"/>
  <c r="AA8" i="273" s="1"/>
  <c r="Y8" i="273"/>
  <c r="P8" i="273"/>
  <c r="Q8" i="273" s="1"/>
  <c r="O8" i="273"/>
  <c r="BL7" i="273"/>
  <c r="BP13" i="273" s="1"/>
  <c r="BP17" i="273" s="1"/>
  <c r="BP21" i="273" s="1"/>
  <c r="BP27" i="273" s="1"/>
  <c r="BP34" i="273" s="1"/>
  <c r="BP42" i="273" s="1"/>
  <c r="AA7" i="273"/>
  <c r="Q7" i="273"/>
  <c r="BP6" i="273"/>
  <c r="BP8" i="273" s="1"/>
  <c r="BP11" i="273" s="1"/>
  <c r="BP15" i="273" s="1"/>
  <c r="BP19" i="273" s="1"/>
  <c r="BP25" i="273" s="1"/>
  <c r="BP32" i="273" s="1"/>
  <c r="BP40" i="273" s="1"/>
  <c r="BL6" i="273"/>
  <c r="BP9" i="273" s="1"/>
  <c r="BP12" i="273" s="1"/>
  <c r="BP16" i="273" s="1"/>
  <c r="BP20" i="273" s="1"/>
  <c r="BP26" i="273" s="1"/>
  <c r="BP33" i="273" s="1"/>
  <c r="BP41" i="273" s="1"/>
  <c r="Z6" i="273"/>
  <c r="Y6" i="273"/>
  <c r="AA6" i="273" s="1"/>
  <c r="Q6" i="273"/>
  <c r="P6" i="273"/>
  <c r="O6" i="273"/>
  <c r="BP5" i="273"/>
  <c r="BP7" i="273" s="1"/>
  <c r="BP10" i="273" s="1"/>
  <c r="BP14" i="273" s="1"/>
  <c r="BH49" i="273" s="1"/>
  <c r="BP24" i="273" s="1"/>
  <c r="BP31" i="273" s="1"/>
  <c r="BP39" i="273" s="1"/>
  <c r="BL14" i="273" s="1"/>
  <c r="Z5" i="273"/>
  <c r="AA5" i="273" s="1"/>
  <c r="Y5" i="273"/>
  <c r="P5" i="273"/>
  <c r="Q5" i="273" s="1"/>
  <c r="O5" i="273"/>
  <c r="K3" i="273"/>
  <c r="G3" i="273"/>
  <c r="D3" i="273"/>
  <c r="S2" i="273"/>
  <c r="K2" i="273"/>
  <c r="G2" i="273"/>
  <c r="AF1" i="273"/>
  <c r="S1" i="273"/>
  <c r="K1" i="273"/>
  <c r="L1" i="273" s="1"/>
  <c r="M1" i="273" s="1"/>
  <c r="M2" i="273" s="1"/>
  <c r="H1" i="273"/>
  <c r="G1" i="273"/>
  <c r="E23" i="273" l="1"/>
  <c r="R19" i="273"/>
  <c r="AB16" i="273"/>
  <c r="AB14" i="273"/>
  <c r="AB19" i="273"/>
  <c r="AB18" i="273"/>
  <c r="R17" i="273"/>
  <c r="R16" i="273"/>
  <c r="R15" i="273"/>
  <c r="R14" i="273"/>
  <c r="R18" i="273"/>
  <c r="R12" i="273"/>
  <c r="R10" i="273"/>
  <c r="AB9" i="273"/>
  <c r="R8" i="273"/>
  <c r="AB7" i="273"/>
  <c r="R5" i="273"/>
  <c r="AB6" i="273"/>
  <c r="AB17" i="273"/>
  <c r="R13" i="273"/>
  <c r="R11" i="273"/>
  <c r="AB10" i="273"/>
  <c r="AB8" i="273"/>
  <c r="R7" i="273"/>
  <c r="AB5" i="273"/>
  <c r="R6" i="273"/>
  <c r="AB15" i="273"/>
  <c r="AB12" i="273"/>
  <c r="AB13" i="273"/>
  <c r="AB11" i="273"/>
  <c r="R9" i="273"/>
  <c r="C31" i="273"/>
  <c r="W38" i="273" s="1"/>
  <c r="B23" i="273"/>
  <c r="C23" i="273" s="1"/>
  <c r="D27" i="273"/>
  <c r="D23" i="273" s="1"/>
  <c r="T33" i="273" l="1"/>
  <c r="T34" i="273"/>
  <c r="B31" i="273"/>
  <c r="AC5" i="273"/>
  <c r="S10" i="273"/>
  <c r="AC12" i="273"/>
  <c r="S7" i="273"/>
  <c r="S13" i="273"/>
  <c r="AC7" i="273"/>
  <c r="S12" i="273"/>
  <c r="AC14" i="273"/>
  <c r="T47" i="273"/>
  <c r="T45" i="273"/>
  <c r="B34" i="273"/>
  <c r="B24" i="273"/>
  <c r="T43" i="273"/>
  <c r="T48" i="273"/>
  <c r="S9" i="273"/>
  <c r="AC15" i="273"/>
  <c r="AC8" i="273"/>
  <c r="AD6" i="273" s="1"/>
  <c r="AC17" i="273"/>
  <c r="S8" i="273"/>
  <c r="S18" i="273"/>
  <c r="S17" i="273"/>
  <c r="AC16" i="273"/>
  <c r="AC13" i="273"/>
  <c r="S11" i="273"/>
  <c r="S5" i="273"/>
  <c r="U10" i="273" s="1"/>
  <c r="S15" i="273"/>
  <c r="AC19" i="273"/>
  <c r="C34" i="273"/>
  <c r="T32" i="273"/>
  <c r="T30" i="273"/>
  <c r="T29" i="273"/>
  <c r="C24" i="273"/>
  <c r="T31" i="273"/>
  <c r="T27" i="273"/>
  <c r="T25" i="273"/>
  <c r="T24" i="273"/>
  <c r="T22" i="273" s="1"/>
  <c r="T26" i="273"/>
  <c r="T28" i="273"/>
  <c r="S16" i="273"/>
  <c r="AC11" i="273"/>
  <c r="S6" i="273"/>
  <c r="T5" i="273" s="1"/>
  <c r="AC10" i="273"/>
  <c r="AC6" i="273"/>
  <c r="AD5" i="273" s="1"/>
  <c r="AC9" i="273"/>
  <c r="AD13" i="273" s="1"/>
  <c r="S14" i="273"/>
  <c r="AC18" i="273"/>
  <c r="T19" i="273"/>
  <c r="S19" i="273"/>
  <c r="U14" i="273" l="1"/>
  <c r="AE6" i="273"/>
  <c r="AE10" i="273"/>
  <c r="U17" i="273"/>
  <c r="U15" i="273"/>
  <c r="AE17" i="273"/>
  <c r="U5" i="273"/>
  <c r="U7" i="273"/>
  <c r="U11" i="273"/>
  <c r="AE11" i="273"/>
  <c r="U6" i="273"/>
  <c r="AE15" i="273"/>
  <c r="AE16" i="273"/>
  <c r="U9" i="273"/>
  <c r="AE7" i="273"/>
  <c r="T16" i="273"/>
  <c r="T15" i="273"/>
  <c r="T11" i="273"/>
  <c r="AE13" i="273"/>
  <c r="AD16" i="273"/>
  <c r="T18" i="273"/>
  <c r="AD15" i="273"/>
  <c r="N27" i="273"/>
  <c r="P27" i="273" s="1"/>
  <c r="N25" i="273"/>
  <c r="N24" i="273"/>
  <c r="N28" i="273"/>
  <c r="P28" i="273" s="1"/>
  <c r="N26" i="273"/>
  <c r="P26" i="273" s="1"/>
  <c r="N29" i="273"/>
  <c r="P29" i="273" s="1"/>
  <c r="R34" i="273" s="1"/>
  <c r="AE14" i="273"/>
  <c r="T12" i="273"/>
  <c r="AE12" i="273"/>
  <c r="AC20" i="273"/>
  <c r="S20" i="273"/>
  <c r="T8" i="273"/>
  <c r="U13" i="273"/>
  <c r="T10" i="273"/>
  <c r="AE9" i="273"/>
  <c r="AD11" i="273"/>
  <c r="AE18" i="273"/>
  <c r="T14" i="273"/>
  <c r="AD10" i="273"/>
  <c r="T6" i="273"/>
  <c r="T20" i="273" s="1"/>
  <c r="L25" i="273" s="1"/>
  <c r="AD19" i="273"/>
  <c r="U8" i="273"/>
  <c r="U20" i="273" s="1"/>
  <c r="L26" i="273" s="1"/>
  <c r="AE8" i="273"/>
  <c r="T9" i="273"/>
  <c r="U12" i="273"/>
  <c r="T13" i="273"/>
  <c r="T7" i="273"/>
  <c r="AD12" i="273"/>
  <c r="W24" i="273"/>
  <c r="T46" i="273"/>
  <c r="T40" i="273"/>
  <c r="T44" i="273"/>
  <c r="T39" i="273"/>
  <c r="T41" i="273"/>
  <c r="T42" i="273"/>
  <c r="T38" i="273"/>
  <c r="T36" i="273" s="1"/>
  <c r="N42" i="273"/>
  <c r="P42" i="273" s="1"/>
  <c r="N40" i="273"/>
  <c r="P40" i="273" s="1"/>
  <c r="N38" i="273"/>
  <c r="N43" i="273"/>
  <c r="P43" i="273" s="1"/>
  <c r="N41" i="273"/>
  <c r="P41" i="273" s="1"/>
  <c r="N39" i="273"/>
  <c r="P39" i="273" s="1"/>
  <c r="T17" i="273"/>
  <c r="AE5" i="273"/>
  <c r="AE20" i="273" s="1"/>
  <c r="L40" i="273" s="1"/>
  <c r="AD18" i="273"/>
  <c r="AD9" i="273"/>
  <c r="U16" i="273"/>
  <c r="U18" i="273"/>
  <c r="AD17" i="273"/>
  <c r="AD8" i="273"/>
  <c r="AD14" i="273"/>
  <c r="AD7" i="273"/>
  <c r="AD20" i="273" s="1"/>
  <c r="L39" i="273" s="1"/>
  <c r="R33" i="273" l="1"/>
  <c r="R48" i="273"/>
  <c r="R47" i="273"/>
  <c r="R45" i="273"/>
  <c r="R46" i="273"/>
  <c r="R44" i="273"/>
  <c r="V20" i="273"/>
  <c r="L27" i="273" s="1"/>
  <c r="L24" i="273"/>
  <c r="N36" i="273"/>
  <c r="P38" i="273"/>
  <c r="R43" i="273" s="1"/>
  <c r="L38" i="273"/>
  <c r="AF20" i="273"/>
  <c r="L41" i="273" s="1"/>
  <c r="P25" i="273"/>
  <c r="R30" i="273" s="1"/>
  <c r="P24" i="273"/>
  <c r="N22" i="273"/>
  <c r="R39" i="273"/>
  <c r="R40" i="273"/>
  <c r="R31" i="273"/>
  <c r="R32" i="273"/>
  <c r="R41" i="273"/>
  <c r="R42" i="273"/>
  <c r="R25" i="273" l="1"/>
  <c r="L22" i="273"/>
  <c r="R38" i="273"/>
  <c r="P36" i="273"/>
  <c r="L36" i="273"/>
  <c r="R28" i="273"/>
  <c r="R26" i="273"/>
  <c r="P22" i="273"/>
  <c r="R29" i="273"/>
  <c r="R24" i="273"/>
  <c r="R27" i="273"/>
  <c r="V27" i="273" s="1"/>
  <c r="V26" i="273" l="1"/>
  <c r="AE25" i="273"/>
  <c r="AE26" i="273"/>
  <c r="AE24" i="273"/>
  <c r="AE22" i="273" s="1"/>
  <c r="AE27" i="273"/>
  <c r="V38" i="273"/>
  <c r="R36" i="273"/>
  <c r="V47" i="273"/>
  <c r="V43" i="273"/>
  <c r="V45" i="273"/>
  <c r="V46" i="273"/>
  <c r="V44" i="273"/>
  <c r="V42" i="273"/>
  <c r="V24" i="273"/>
  <c r="R22" i="273"/>
  <c r="V33" i="273"/>
  <c r="V32" i="273"/>
  <c r="V29" i="273"/>
  <c r="V28" i="273"/>
  <c r="V30" i="273"/>
  <c r="V31" i="273"/>
  <c r="V40" i="273"/>
  <c r="AC24" i="273"/>
  <c r="AC22" i="273" s="1"/>
  <c r="AC25" i="273"/>
  <c r="AC26" i="273"/>
  <c r="V41" i="273"/>
  <c r="V25" i="273"/>
  <c r="V39" i="273"/>
  <c r="AA25" i="273" l="1"/>
  <c r="AA24" i="273"/>
  <c r="AA22" i="273" s="1"/>
  <c r="AG27" i="273"/>
  <c r="AG24" i="273"/>
  <c r="AG22" i="273" s="1"/>
  <c r="AG25" i="273"/>
  <c r="AG26" i="273"/>
  <c r="AG28" i="273"/>
  <c r="AE41" i="273"/>
  <c r="AE39" i="273"/>
  <c r="AE38" i="273"/>
  <c r="AE36" i="273" s="1"/>
  <c r="AE40" i="273"/>
  <c r="AC38" i="273"/>
  <c r="AC36" i="273" s="1"/>
  <c r="AC39" i="273"/>
  <c r="AC40" i="273"/>
  <c r="AI29" i="273"/>
  <c r="AI28" i="273"/>
  <c r="AI26" i="273"/>
  <c r="AI24" i="273"/>
  <c r="AI22" i="273" s="1"/>
  <c r="AI25" i="273"/>
  <c r="AI27" i="273"/>
  <c r="AO44" i="273"/>
  <c r="AO40" i="273"/>
  <c r="AO46" i="273"/>
  <c r="AO43" i="273"/>
  <c r="AO45" i="273"/>
  <c r="AO39" i="273"/>
  <c r="AO38" i="273"/>
  <c r="AO36" i="273" s="1"/>
  <c r="AO41" i="273"/>
  <c r="AO42" i="273"/>
  <c r="AQ41" i="273"/>
  <c r="AQ39" i="273"/>
  <c r="AQ38" i="273"/>
  <c r="AQ36" i="273" s="1"/>
  <c r="AQ42" i="273"/>
  <c r="AQ45" i="273"/>
  <c r="AQ44" i="273"/>
  <c r="AQ40" i="273"/>
  <c r="AQ47" i="273"/>
  <c r="AQ43" i="273"/>
  <c r="AQ46" i="273"/>
  <c r="AQ33" i="273"/>
  <c r="AQ28" i="273"/>
  <c r="AQ26" i="273"/>
  <c r="AQ24" i="273"/>
  <c r="AQ22" i="273" s="1"/>
  <c r="AQ31" i="273"/>
  <c r="AQ29" i="273"/>
  <c r="AQ32" i="273"/>
  <c r="AQ30" i="273"/>
  <c r="AQ25" i="273"/>
  <c r="AQ27" i="273"/>
  <c r="AM26" i="273"/>
  <c r="AM29" i="273"/>
  <c r="AM31" i="273"/>
  <c r="AM24" i="273"/>
  <c r="AM22" i="273" s="1"/>
  <c r="AM28" i="273"/>
  <c r="AM27" i="273"/>
  <c r="AM25" i="273"/>
  <c r="AM30" i="273"/>
  <c r="AO29" i="273"/>
  <c r="AO25" i="273"/>
  <c r="AO30" i="273"/>
  <c r="AO26" i="273"/>
  <c r="AO31" i="273"/>
  <c r="AO28" i="273"/>
  <c r="AO24" i="273"/>
  <c r="AO22" i="273" s="1"/>
  <c r="AO32" i="273"/>
  <c r="AO27" i="273"/>
  <c r="V22" i="273"/>
  <c r="V34" i="273" s="1"/>
  <c r="Y24" i="273"/>
  <c r="V21" i="273"/>
  <c r="AM39" i="273"/>
  <c r="AM45" i="273"/>
  <c r="AM43" i="273"/>
  <c r="AM44" i="273"/>
  <c r="AM40" i="273"/>
  <c r="AM38" i="273"/>
  <c r="AM36" i="273" s="1"/>
  <c r="AM42" i="273"/>
  <c r="AM41" i="273"/>
  <c r="AK41" i="273"/>
  <c r="AK40" i="273"/>
  <c r="AK39" i="273"/>
  <c r="AK42" i="273"/>
  <c r="AK38" i="273"/>
  <c r="AK36" i="273" s="1"/>
  <c r="AK44" i="273"/>
  <c r="AK43" i="273"/>
  <c r="AA39" i="273"/>
  <c r="AA38" i="273"/>
  <c r="AA36" i="273" s="1"/>
  <c r="AK27" i="273"/>
  <c r="AK25" i="273"/>
  <c r="AK24" i="273"/>
  <c r="AK22" i="273" s="1"/>
  <c r="AK29" i="273"/>
  <c r="AK26" i="273"/>
  <c r="AK28" i="273"/>
  <c r="AK30" i="273"/>
  <c r="AG42" i="273"/>
  <c r="AG40" i="273"/>
  <c r="AG41" i="273"/>
  <c r="AG38" i="273"/>
  <c r="AG36" i="273" s="1"/>
  <c r="AG39" i="273"/>
  <c r="AI39" i="273"/>
  <c r="AI38" i="273"/>
  <c r="AI36" i="273" s="1"/>
  <c r="AI42" i="273"/>
  <c r="AI40" i="273"/>
  <c r="AI43" i="273"/>
  <c r="AI41" i="273"/>
  <c r="V36" i="273"/>
  <c r="V48" i="273" s="1"/>
  <c r="Y38" i="273"/>
  <c r="V35" i="273"/>
  <c r="Y36" i="273" l="1"/>
  <c r="AS42" i="273"/>
  <c r="J42" i="273" s="1"/>
  <c r="AS41" i="273"/>
  <c r="J41" i="273" s="1"/>
  <c r="AS47" i="273"/>
  <c r="J47" i="273" s="1"/>
  <c r="AS43" i="273"/>
  <c r="AS48" i="273"/>
  <c r="J48" i="273" s="1"/>
  <c r="AS45" i="273"/>
  <c r="J45" i="273" s="1"/>
  <c r="AS40" i="273"/>
  <c r="J40" i="273" s="1"/>
  <c r="AS39" i="273"/>
  <c r="AS46" i="273"/>
  <c r="J46" i="273" s="1"/>
  <c r="AS38" i="273"/>
  <c r="AS36" i="273" s="1"/>
  <c r="AS44" i="273"/>
  <c r="J44" i="273" s="1"/>
  <c r="J39" i="273"/>
  <c r="Y22" i="273"/>
  <c r="J43" i="273"/>
  <c r="AS28" i="273"/>
  <c r="J28" i="273" s="1"/>
  <c r="AS29" i="273"/>
  <c r="J29" i="273" s="1"/>
  <c r="AS34" i="273"/>
  <c r="J34" i="273" s="1"/>
  <c r="AS26" i="273"/>
  <c r="J26" i="273" s="1"/>
  <c r="AS32" i="273"/>
  <c r="J32" i="273" s="1"/>
  <c r="AS27" i="273"/>
  <c r="J27" i="273" s="1"/>
  <c r="AS30" i="273"/>
  <c r="J30" i="273" s="1"/>
  <c r="AS24" i="273"/>
  <c r="AS22" i="273" s="1"/>
  <c r="AS31" i="273"/>
  <c r="J31" i="273" s="1"/>
  <c r="AS33" i="273"/>
  <c r="J33" i="273" s="1"/>
  <c r="AS25" i="273"/>
  <c r="J25" i="273" s="1"/>
  <c r="H44" i="273" l="1"/>
  <c r="H43" i="273"/>
  <c r="AS35" i="273"/>
  <c r="H33" i="273"/>
  <c r="BR45" i="273" s="1"/>
  <c r="H31" i="273"/>
  <c r="BR30" i="273" s="1"/>
  <c r="J24" i="273"/>
  <c r="H25" i="273" s="1"/>
  <c r="H47" i="273"/>
  <c r="H30" i="273"/>
  <c r="H29" i="273"/>
  <c r="BR29" i="273"/>
  <c r="H32" i="273"/>
  <c r="H28" i="273"/>
  <c r="H42" i="273"/>
  <c r="AS21" i="273"/>
  <c r="J38" i="273"/>
  <c r="H45" i="273"/>
  <c r="H46" i="273"/>
  <c r="H48" i="273"/>
  <c r="H34" i="273"/>
  <c r="H24" i="273" l="1"/>
  <c r="J22" i="273"/>
  <c r="BR43" i="273"/>
  <c r="H27" i="273"/>
  <c r="BJ37" i="273" s="1"/>
  <c r="BN13" i="273"/>
  <c r="BR44" i="273"/>
  <c r="H26" i="273"/>
  <c r="BJ26" i="273" s="1"/>
  <c r="BR47" i="273"/>
  <c r="BJ18" i="273"/>
  <c r="BJ19" i="273"/>
  <c r="BJ17" i="273"/>
  <c r="BJ16" i="273"/>
  <c r="BJ21" i="273"/>
  <c r="BJ54" i="273"/>
  <c r="BJ55" i="273"/>
  <c r="BN11" i="273"/>
  <c r="J36" i="273"/>
  <c r="H38" i="273"/>
  <c r="H39" i="273"/>
  <c r="BR32" i="273" s="1"/>
  <c r="BJ41" i="273"/>
  <c r="BJ40" i="273"/>
  <c r="BJ43" i="273"/>
  <c r="BJ39" i="273"/>
  <c r="BJ38" i="273"/>
  <c r="BJ42" i="273"/>
  <c r="BN8" i="273"/>
  <c r="BR28" i="273"/>
  <c r="BJ47" i="273"/>
  <c r="BJ46" i="273"/>
  <c r="BJ44" i="273"/>
  <c r="BJ48" i="273"/>
  <c r="BJ45" i="273"/>
  <c r="BR18" i="273"/>
  <c r="BN9" i="273"/>
  <c r="BR46" i="273"/>
  <c r="BJ59" i="273"/>
  <c r="H22" i="273"/>
  <c r="BJ12" i="273"/>
  <c r="BJ13" i="273"/>
  <c r="BJ9" i="273"/>
  <c r="BJ7" i="273"/>
  <c r="BJ10" i="273"/>
  <c r="BJ8" i="273"/>
  <c r="BJ11" i="273"/>
  <c r="BN14" i="273"/>
  <c r="BJ22" i="273"/>
  <c r="BJ57" i="273"/>
  <c r="BR38" i="273"/>
  <c r="BR37" i="273"/>
  <c r="BR36" i="273"/>
  <c r="BR35" i="273"/>
  <c r="BJ58" i="273"/>
  <c r="BN12" i="273"/>
  <c r="BJ53" i="273"/>
  <c r="BJ51" i="273"/>
  <c r="BJ52" i="273"/>
  <c r="BJ50" i="273"/>
  <c r="BR22" i="273"/>
  <c r="BR23" i="273"/>
  <c r="BN10" i="273"/>
  <c r="BJ56" i="273"/>
  <c r="H40" i="273"/>
  <c r="BR20" i="273" s="1"/>
  <c r="H41" i="273"/>
  <c r="BJ6" i="273" s="1"/>
  <c r="BJ20" i="273"/>
  <c r="BJ31" i="273" l="1"/>
  <c r="BJ33" i="273"/>
  <c r="BJ35" i="273"/>
  <c r="BJ34" i="273"/>
  <c r="BJ36" i="273"/>
  <c r="BJ32" i="273"/>
  <c r="BR7" i="273"/>
  <c r="BJ27" i="273"/>
  <c r="BJ28" i="273"/>
  <c r="BJ24" i="273"/>
  <c r="BJ29" i="273"/>
  <c r="BJ25" i="273"/>
  <c r="BJ30" i="273"/>
  <c r="BR15" i="273"/>
  <c r="BR11" i="273"/>
  <c r="BR8" i="273"/>
  <c r="BJ4" i="273"/>
  <c r="B38" i="273" s="1"/>
  <c r="BR19" i="273"/>
  <c r="BR31" i="273"/>
  <c r="BN4" i="273"/>
  <c r="B37" i="273" s="1"/>
  <c r="B36" i="273" s="1"/>
  <c r="BR14" i="273"/>
  <c r="BR10" i="273"/>
  <c r="BJ49" i="273"/>
  <c r="BR41" i="273"/>
  <c r="BJ14" i="273"/>
  <c r="BR26" i="273"/>
  <c r="BN6" i="273"/>
  <c r="BR21" i="273"/>
  <c r="BR9" i="273"/>
  <c r="BR16" i="273"/>
  <c r="BR6" i="273"/>
  <c r="BN5" i="273"/>
  <c r="BR25" i="273"/>
  <c r="BR40" i="273"/>
  <c r="BR12" i="273"/>
  <c r="H36" i="273"/>
  <c r="BR5" i="273"/>
  <c r="BR39" i="273"/>
  <c r="BR4" i="273"/>
  <c r="B39" i="273" s="1"/>
  <c r="BR24" i="273"/>
  <c r="BR27" i="273"/>
  <c r="BJ15" i="273"/>
  <c r="BR42" i="273"/>
  <c r="BJ23" i="273"/>
  <c r="BN7" i="273"/>
  <c r="BR34" i="273"/>
  <c r="BR33" i="273"/>
  <c r="BJ5" i="273"/>
  <c r="BR17" i="273"/>
  <c r="BR13" i="273"/>
</calcChain>
</file>

<file path=xl/comments1.xml><?xml version="1.0" encoding="utf-8"?>
<comments xmlns="http://schemas.openxmlformats.org/spreadsheetml/2006/main">
  <authors>
    <author>Autor</author>
  </authors>
  <commentList>
    <comment ref="W5" authorId="0" shapeId="0">
      <text>
        <r>
          <rPr>
            <sz val="8"/>
            <color indexed="81"/>
            <rFont val="Tahoma"/>
            <family val="2"/>
          </rPr>
          <t>0,017
Aparicion según PASES
Conversión según ANOTACION receptor
Receptor Extremos y delanteros</t>
        </r>
      </text>
    </comment>
    <comment ref="W6" authorId="0" shapeId="0">
      <text>
        <r>
          <rPr>
            <b/>
            <sz val="8"/>
            <color indexed="81"/>
            <rFont val="Tahoma"/>
            <family val="2"/>
          </rPr>
          <t xml:space="preserve">0,028
</t>
        </r>
        <r>
          <rPr>
            <sz val="8"/>
            <color indexed="81"/>
            <rFont val="Tahoma"/>
            <family val="2"/>
          </rPr>
          <t>Solamente Extremos y Delanteros
Aparición solo por ser IMP
Conversión depende nivel anotación del IMP</t>
        </r>
      </text>
    </comment>
    <comment ref="O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Como distribución normal de un partdo, no evento</t>
        </r>
      </text>
    </comment>
    <comment ref="W7" authorId="0" shapeId="0">
      <text>
        <r>
          <rPr>
            <b/>
            <sz val="8"/>
            <color indexed="81"/>
            <rFont val="Tahoma"/>
            <family val="2"/>
          </rPr>
          <t xml:space="preserve">0,04 (no es conocido)
</t>
        </r>
        <r>
          <rPr>
            <sz val="8"/>
            <color indexed="81"/>
            <rFont val="Tahoma"/>
            <family val="2"/>
          </rPr>
          <t>Solamente si hay jugadores con ANOTACION+BP
Qualquier jugador de campo</t>
        </r>
      </text>
    </comment>
    <comment ref="Y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Como distribucion normal de un partido, no evento</t>
        </r>
      </text>
    </comment>
    <comment ref="W8" authorId="0" shapeId="0">
      <text>
        <r>
          <rPr>
            <b/>
            <sz val="8"/>
            <color indexed="81"/>
            <rFont val="Tahoma"/>
            <family val="2"/>
          </rPr>
          <t xml:space="preserve">0,018
</t>
        </r>
        <r>
          <rPr>
            <sz val="8"/>
            <color indexed="81"/>
            <rFont val="Tahoma"/>
            <family val="2"/>
          </rPr>
          <t>Aparicion solo por IMP
Conversión según ANOTACION receptor
Receptor Extremos y delanteros</t>
        </r>
      </text>
    </comment>
    <comment ref="W9" authorId="0" shapeId="0">
      <text>
        <r>
          <rPr>
            <b/>
            <sz val="8"/>
            <color indexed="81"/>
            <rFont val="Tahoma"/>
            <family val="2"/>
          </rPr>
          <t xml:space="preserve">Según nivel de defensa del IMP
</t>
        </r>
        <r>
          <rPr>
            <sz val="8"/>
            <color indexed="81"/>
            <rFont val="Tahoma"/>
            <family val="2"/>
          </rPr>
          <t>0,045 Medios
0,015 Defensas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W10" authorId="0" shapeId="0">
      <text>
        <r>
          <rPr>
            <b/>
            <sz val="8"/>
            <color indexed="81"/>
            <rFont val="Tahoma"/>
            <family val="2"/>
          </rPr>
          <t xml:space="preserve">0,075 lineal
</t>
        </r>
        <r>
          <rPr>
            <sz val="8"/>
            <color indexed="81"/>
            <rFont val="Tahoma"/>
            <family val="2"/>
          </rPr>
          <t>Se genera por ser RAP
Conversión según anotación RAP y Defensa DEF</t>
        </r>
      </text>
    </comment>
    <comment ref="W11" authorId="0" shapeId="0">
      <text>
        <r>
          <rPr>
            <b/>
            <sz val="8"/>
            <color indexed="81"/>
            <rFont val="Tahoma"/>
            <family val="2"/>
          </rPr>
          <t xml:space="preserve">0,075 lineal por ser RAP (puede de PASES pero no se sabe)
</t>
        </r>
        <r>
          <rPr>
            <sz val="8"/>
            <color indexed="81"/>
            <rFont val="Tahoma"/>
            <family val="2"/>
          </rPr>
          <t>Remata siempre un delantero y no depende del rival</t>
        </r>
      </text>
    </comment>
    <comment ref="W12" authorId="0" shapeId="0">
      <text>
        <r>
          <rPr>
            <sz val="8"/>
            <color indexed="81"/>
            <rFont val="Tahoma"/>
            <family val="2"/>
          </rPr>
          <t xml:space="preserve">0,1
Defensa o Medio con Resistencia &gt;=debil
Conversión depende de la anotación del jugador rival
</t>
        </r>
      </text>
    </comment>
    <comment ref="W13" authorId="0" shapeId="0">
      <text>
        <r>
          <rPr>
            <b/>
            <sz val="8"/>
            <color indexed="81"/>
            <rFont val="Tahoma"/>
            <family val="2"/>
          </rPr>
          <t xml:space="preserve">0,133
</t>
        </r>
        <r>
          <rPr>
            <sz val="8"/>
            <color indexed="81"/>
            <rFont val="Tahoma"/>
            <family val="2"/>
          </rPr>
          <t xml:space="preserve">alto BP del lanzador + Anotación del receptor (qualquier)
Conversión depende de la ANOTACION </t>
        </r>
      </text>
    </comment>
    <comment ref="W14" authorId="0" shapeId="0">
      <text>
        <r>
          <rPr>
            <b/>
            <sz val="8"/>
            <color indexed="81"/>
            <rFont val="Tahoma"/>
            <family val="2"/>
          </rPr>
          <t xml:space="preserve">0,08 lineal
</t>
        </r>
        <r>
          <rPr>
            <sz val="8"/>
            <color indexed="81"/>
            <rFont val="Tahoma"/>
            <family val="2"/>
          </rPr>
          <t>Gran efectividad 90% según cabezones del rival, pero no baja hasta grandes diferencias</t>
        </r>
      </text>
    </comment>
    <comment ref="W15" authorId="0" shapeId="0">
      <text>
        <r>
          <rPr>
            <b/>
            <sz val="8"/>
            <color indexed="81"/>
            <rFont val="Tahoma"/>
            <family val="2"/>
          </rPr>
          <t>0,03 (depende del XP de los jugadores)</t>
        </r>
        <r>
          <rPr>
            <sz val="8"/>
            <color indexed="81"/>
            <rFont val="Tahoma"/>
            <family val="2"/>
          </rPr>
          <t xml:space="preserve">
Evento que pueden provocar los delanteros y extremos con un nivel de experiencia alto. 
Lanzador BP nunca
De hecho es necesario un nivel de experiencia débil para conseguir el evento.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W16" authorId="0" shapeId="0">
      <text>
        <r>
          <rPr>
            <b/>
            <sz val="8"/>
            <color indexed="81"/>
            <rFont val="Tahoma"/>
            <family val="2"/>
          </rPr>
          <t>0,3 (muy común si es posible)</t>
        </r>
        <r>
          <rPr>
            <sz val="8"/>
            <color indexed="81"/>
            <rFont val="Tahoma"/>
            <family val="2"/>
          </rPr>
          <t xml:space="preserve">
Evento negativo que pueden provocar los defensas o inner por tener un nivel bajo de experiencia (&lt;debil)</t>
        </r>
      </text>
    </comment>
    <comment ref="A17" authorId="0" shapeId="0">
      <text>
        <r>
          <rPr>
            <b/>
            <sz val="8"/>
            <color indexed="81"/>
            <rFont val="Tahoma"/>
            <family val="2"/>
          </rPr>
          <t>"Pres" "normal" "AOW" "AIM"</t>
        </r>
      </text>
    </comment>
    <comment ref="W17" authorId="0" shapeId="0">
      <text>
        <r>
          <rPr>
            <b/>
            <sz val="8"/>
            <color indexed="81"/>
            <rFont val="Tahoma"/>
            <family val="2"/>
          </rPr>
          <t xml:space="preserve">0,04
</t>
        </r>
        <r>
          <rPr>
            <sz val="8"/>
            <color indexed="81"/>
            <rFont val="Tahoma"/>
            <family val="2"/>
          </rPr>
          <t>Si el rematador es cabezon efectividad 0,9 sino cuenta la anotación y baja mucho la conversión</t>
        </r>
      </text>
    </comment>
    <comment ref="W18" authorId="0" shapeId="0">
      <text>
        <r>
          <rPr>
            <b/>
            <sz val="8"/>
            <color indexed="81"/>
            <rFont val="Tahoma"/>
            <family val="2"/>
          </rPr>
          <t>Incluyo en el 19</t>
        </r>
      </text>
    </comment>
    <comment ref="W19" authorId="0" shapeId="0">
      <text>
        <r>
          <rPr>
            <b/>
            <sz val="8"/>
            <color indexed="81"/>
            <rFont val="Tahoma"/>
            <family val="2"/>
          </rPr>
          <t>0,045 lineal por TEC (extremos y delanteros)</t>
        </r>
        <r>
          <rPr>
            <sz val="8"/>
            <color indexed="81"/>
            <rFont val="Tahoma"/>
            <family val="2"/>
          </rPr>
          <t xml:space="preserve">
Si el rival tiene CAB en medios y defensas
Parece ser que depende de la anotacion y la defensa</t>
        </r>
      </text>
    </comment>
    <comment ref="A20" authorId="0" shapeId="0">
      <text>
        <r>
          <rPr>
            <b/>
            <sz val="8"/>
            <color indexed="81"/>
            <rFont val="Tahoma"/>
            <family val="2"/>
          </rPr>
          <t>Si Pression me cargo 2 ocaciones</t>
        </r>
      </text>
    </comment>
    <comment ref="A21" authorId="0" shapeId="0">
      <text>
        <r>
          <rPr>
            <b/>
            <sz val="8"/>
            <color indexed="81"/>
            <rFont val="Tahoma"/>
            <family val="2"/>
          </rPr>
          <t>Solo para el calculo de efectividad, no cuenta para nada más. Las ocasiones se miran en otra parte en el simulador</t>
        </r>
      </text>
    </comment>
    <comment ref="U3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10 o más</t>
        </r>
      </text>
    </comment>
    <comment ref="U49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10 o más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W5" authorId="0" shapeId="0">
      <text>
        <r>
          <rPr>
            <sz val="8"/>
            <color indexed="81"/>
            <rFont val="Tahoma"/>
            <family val="2"/>
          </rPr>
          <t>0,017
Aparicion según PASES
Conversión según ANOTACION receptor
Receptor Extremos y delanteros</t>
        </r>
      </text>
    </comment>
    <comment ref="W6" authorId="0" shapeId="0">
      <text>
        <r>
          <rPr>
            <b/>
            <sz val="8"/>
            <color indexed="81"/>
            <rFont val="Tahoma"/>
            <family val="2"/>
          </rPr>
          <t xml:space="preserve">0,028
</t>
        </r>
        <r>
          <rPr>
            <sz val="8"/>
            <color indexed="81"/>
            <rFont val="Tahoma"/>
            <family val="2"/>
          </rPr>
          <t>Solamente Extremos y Delanteros
Aparición solo por ser IMP
Conversión depende nivel anotación del IMP</t>
        </r>
      </text>
    </comment>
    <comment ref="O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Como distribución normal de un partdo, no evento</t>
        </r>
      </text>
    </comment>
    <comment ref="W7" authorId="0" shapeId="0">
      <text>
        <r>
          <rPr>
            <b/>
            <sz val="8"/>
            <color indexed="81"/>
            <rFont val="Tahoma"/>
            <family val="2"/>
          </rPr>
          <t xml:space="preserve">0,04 (no es conocido)
</t>
        </r>
        <r>
          <rPr>
            <sz val="8"/>
            <color indexed="81"/>
            <rFont val="Tahoma"/>
            <family val="2"/>
          </rPr>
          <t>Solamente si hay jugadores con ANOTACION+BP
Qualquier jugador de campo</t>
        </r>
      </text>
    </comment>
    <comment ref="Y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Como distribucion normal de un partido, no evento</t>
        </r>
      </text>
    </comment>
    <comment ref="W8" authorId="0" shapeId="0">
      <text>
        <r>
          <rPr>
            <b/>
            <sz val="8"/>
            <color indexed="81"/>
            <rFont val="Tahoma"/>
            <family val="2"/>
          </rPr>
          <t xml:space="preserve">0,018
</t>
        </r>
        <r>
          <rPr>
            <sz val="8"/>
            <color indexed="81"/>
            <rFont val="Tahoma"/>
            <family val="2"/>
          </rPr>
          <t>Aparicion solo por IMP
Conversión según ANOTACION receptor
Receptor Extremos y delanteros</t>
        </r>
      </text>
    </comment>
    <comment ref="W9" authorId="0" shapeId="0">
      <text>
        <r>
          <rPr>
            <b/>
            <sz val="8"/>
            <color indexed="81"/>
            <rFont val="Tahoma"/>
            <family val="2"/>
          </rPr>
          <t xml:space="preserve">Según nivel de defensa del IMP
</t>
        </r>
        <r>
          <rPr>
            <sz val="8"/>
            <color indexed="81"/>
            <rFont val="Tahoma"/>
            <family val="2"/>
          </rPr>
          <t>0,045 Medios
0,015 Defensas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W10" authorId="0" shapeId="0">
      <text>
        <r>
          <rPr>
            <b/>
            <sz val="8"/>
            <color indexed="81"/>
            <rFont val="Tahoma"/>
            <family val="2"/>
          </rPr>
          <t xml:space="preserve">0,075 lineal
</t>
        </r>
        <r>
          <rPr>
            <sz val="8"/>
            <color indexed="81"/>
            <rFont val="Tahoma"/>
            <family val="2"/>
          </rPr>
          <t>Se genera por ser RAP
Conversión según anotación RAP y Defensa DEF</t>
        </r>
      </text>
    </comment>
    <comment ref="W11" authorId="0" shapeId="0">
      <text>
        <r>
          <rPr>
            <b/>
            <sz val="8"/>
            <color indexed="81"/>
            <rFont val="Tahoma"/>
            <family val="2"/>
          </rPr>
          <t xml:space="preserve">0,075 lineal por ser RAP (puede de PASES pero no se sabe)
</t>
        </r>
        <r>
          <rPr>
            <sz val="8"/>
            <color indexed="81"/>
            <rFont val="Tahoma"/>
            <family val="2"/>
          </rPr>
          <t>Remata siempre un delantero y no depende del rival</t>
        </r>
      </text>
    </comment>
    <comment ref="W12" authorId="0" shapeId="0">
      <text>
        <r>
          <rPr>
            <sz val="8"/>
            <color indexed="81"/>
            <rFont val="Tahoma"/>
            <family val="2"/>
          </rPr>
          <t xml:space="preserve">0,1
Defensa o Medio con Resistencia &gt;=debil
Conversión depende de la anotación del jugador rival
</t>
        </r>
      </text>
    </comment>
    <comment ref="W13" authorId="0" shapeId="0">
      <text>
        <r>
          <rPr>
            <b/>
            <sz val="8"/>
            <color indexed="81"/>
            <rFont val="Tahoma"/>
            <family val="2"/>
          </rPr>
          <t xml:space="preserve">0,133
</t>
        </r>
        <r>
          <rPr>
            <sz val="8"/>
            <color indexed="81"/>
            <rFont val="Tahoma"/>
            <family val="2"/>
          </rPr>
          <t xml:space="preserve">alto BP del lanzador + Anotación del receptor (qualquier)
Conversión depende de la ANOTACION </t>
        </r>
      </text>
    </comment>
    <comment ref="W14" authorId="0" shapeId="0">
      <text>
        <r>
          <rPr>
            <b/>
            <sz val="8"/>
            <color indexed="81"/>
            <rFont val="Tahoma"/>
            <family val="2"/>
          </rPr>
          <t xml:space="preserve">0,08 lineal
</t>
        </r>
        <r>
          <rPr>
            <sz val="8"/>
            <color indexed="81"/>
            <rFont val="Tahoma"/>
            <family val="2"/>
          </rPr>
          <t>Gran efectividad 90% según cabezones del rival, pero no baja hasta grandes diferencias</t>
        </r>
      </text>
    </comment>
    <comment ref="W15" authorId="0" shapeId="0">
      <text>
        <r>
          <rPr>
            <b/>
            <sz val="8"/>
            <color indexed="81"/>
            <rFont val="Tahoma"/>
            <family val="2"/>
          </rPr>
          <t>0,03 (depende del XP de los jugadores)</t>
        </r>
        <r>
          <rPr>
            <sz val="8"/>
            <color indexed="81"/>
            <rFont val="Tahoma"/>
            <family val="2"/>
          </rPr>
          <t xml:space="preserve">
Evento que pueden provocar los delanteros y extremos con un nivel de experiencia alto. 
Lanzador BP nunca
De hecho es necesario un nivel de experiencia débil para conseguir el evento.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W16" authorId="0" shapeId="0">
      <text>
        <r>
          <rPr>
            <b/>
            <sz val="8"/>
            <color indexed="81"/>
            <rFont val="Tahoma"/>
            <family val="2"/>
          </rPr>
          <t>0,3 (muy común si es posible)</t>
        </r>
        <r>
          <rPr>
            <sz val="8"/>
            <color indexed="81"/>
            <rFont val="Tahoma"/>
            <family val="2"/>
          </rPr>
          <t xml:space="preserve">
Evento negativo que pueden provocar los defensas o inner por tener un nivel bajo de experiencia (&lt;debil)</t>
        </r>
      </text>
    </comment>
    <comment ref="A17" authorId="0" shapeId="0">
      <text>
        <r>
          <rPr>
            <b/>
            <sz val="8"/>
            <color indexed="81"/>
            <rFont val="Tahoma"/>
            <family val="2"/>
          </rPr>
          <t>"Pres" "normal" "AOW" "AIM"</t>
        </r>
      </text>
    </comment>
    <comment ref="W17" authorId="0" shapeId="0">
      <text>
        <r>
          <rPr>
            <b/>
            <sz val="8"/>
            <color indexed="81"/>
            <rFont val="Tahoma"/>
            <family val="2"/>
          </rPr>
          <t xml:space="preserve">0,04
</t>
        </r>
        <r>
          <rPr>
            <sz val="8"/>
            <color indexed="81"/>
            <rFont val="Tahoma"/>
            <family val="2"/>
          </rPr>
          <t>Si el rematador es cabezon efectividad 0,9 sino cuenta la anotación y baja mucho la conversión</t>
        </r>
      </text>
    </comment>
    <comment ref="W18" authorId="0" shapeId="0">
      <text>
        <r>
          <rPr>
            <b/>
            <sz val="8"/>
            <color indexed="81"/>
            <rFont val="Tahoma"/>
            <family val="2"/>
          </rPr>
          <t>Incluyo en el 19</t>
        </r>
      </text>
    </comment>
    <comment ref="W19" authorId="0" shapeId="0">
      <text>
        <r>
          <rPr>
            <b/>
            <sz val="8"/>
            <color indexed="81"/>
            <rFont val="Tahoma"/>
            <family val="2"/>
          </rPr>
          <t>0,045 lineal por TEC (extremos y delanteros)</t>
        </r>
        <r>
          <rPr>
            <sz val="8"/>
            <color indexed="81"/>
            <rFont val="Tahoma"/>
            <family val="2"/>
          </rPr>
          <t xml:space="preserve">
Si el rival tiene CAB en medios y defensas
Parece ser que depende de la anotacion y la defensa</t>
        </r>
      </text>
    </comment>
    <comment ref="A20" authorId="0" shapeId="0">
      <text>
        <r>
          <rPr>
            <b/>
            <sz val="8"/>
            <color indexed="81"/>
            <rFont val="Tahoma"/>
            <family val="2"/>
          </rPr>
          <t>Si Pression me cargo 2 ocaciones</t>
        </r>
      </text>
    </comment>
    <comment ref="A21" authorId="0" shapeId="0">
      <text>
        <r>
          <rPr>
            <b/>
            <sz val="8"/>
            <color indexed="81"/>
            <rFont val="Tahoma"/>
            <family val="2"/>
          </rPr>
          <t>Solo para el calculo de efectividad, no cuenta para nada más. Las ocasiones se miran en otra parte en el simulador</t>
        </r>
      </text>
    </comment>
    <comment ref="U3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10 o más</t>
        </r>
      </text>
    </comment>
    <comment ref="U49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10 o más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W5" authorId="0" shapeId="0">
      <text>
        <r>
          <rPr>
            <sz val="8"/>
            <color indexed="81"/>
            <rFont val="Tahoma"/>
            <family val="2"/>
          </rPr>
          <t>0,017
Aparicion según PASES
Conversión según ANOTACION receptor
Receptor Extremos y delanteros</t>
        </r>
      </text>
    </comment>
    <comment ref="W6" authorId="0" shapeId="0">
      <text>
        <r>
          <rPr>
            <b/>
            <sz val="8"/>
            <color indexed="81"/>
            <rFont val="Tahoma"/>
            <family val="2"/>
          </rPr>
          <t xml:space="preserve">0,028
</t>
        </r>
        <r>
          <rPr>
            <sz val="8"/>
            <color indexed="81"/>
            <rFont val="Tahoma"/>
            <family val="2"/>
          </rPr>
          <t>Solamente Extremos y Delanteros
Aparición solo por ser IMP
Conversión depende nivel anotación del IMP</t>
        </r>
      </text>
    </comment>
    <comment ref="O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Como distribución normal de un partdo, no evento</t>
        </r>
      </text>
    </comment>
    <comment ref="W7" authorId="0" shapeId="0">
      <text>
        <r>
          <rPr>
            <b/>
            <sz val="8"/>
            <color indexed="81"/>
            <rFont val="Tahoma"/>
            <family val="2"/>
          </rPr>
          <t xml:space="preserve">0,04 (no es conocido)
</t>
        </r>
        <r>
          <rPr>
            <sz val="8"/>
            <color indexed="81"/>
            <rFont val="Tahoma"/>
            <family val="2"/>
          </rPr>
          <t>Solamente si hay jugadores con ANOTACION+BP
Qualquier jugador de campo</t>
        </r>
      </text>
    </comment>
    <comment ref="Y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Como distribucion normal de un partido, no evento</t>
        </r>
      </text>
    </comment>
    <comment ref="W8" authorId="0" shapeId="0">
      <text>
        <r>
          <rPr>
            <b/>
            <sz val="8"/>
            <color indexed="81"/>
            <rFont val="Tahoma"/>
            <family val="2"/>
          </rPr>
          <t xml:space="preserve">0,018
</t>
        </r>
        <r>
          <rPr>
            <sz val="8"/>
            <color indexed="81"/>
            <rFont val="Tahoma"/>
            <family val="2"/>
          </rPr>
          <t>Aparicion solo por IMP
Conversión según ANOTACION receptor
Receptor Extremos y delanteros</t>
        </r>
      </text>
    </comment>
    <comment ref="W9" authorId="0" shapeId="0">
      <text>
        <r>
          <rPr>
            <b/>
            <sz val="8"/>
            <color indexed="81"/>
            <rFont val="Tahoma"/>
            <family val="2"/>
          </rPr>
          <t xml:space="preserve">Según nivel de defensa del IMP
</t>
        </r>
        <r>
          <rPr>
            <sz val="8"/>
            <color indexed="81"/>
            <rFont val="Tahoma"/>
            <family val="2"/>
          </rPr>
          <t>0,045 Medios
0,015 Defensas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W10" authorId="0" shapeId="0">
      <text>
        <r>
          <rPr>
            <b/>
            <sz val="8"/>
            <color indexed="81"/>
            <rFont val="Tahoma"/>
            <family val="2"/>
          </rPr>
          <t xml:space="preserve">0,075 lineal
</t>
        </r>
        <r>
          <rPr>
            <sz val="8"/>
            <color indexed="81"/>
            <rFont val="Tahoma"/>
            <family val="2"/>
          </rPr>
          <t>Se genera por ser RAP
Conversión según anotación RAP y Defensa DEF</t>
        </r>
      </text>
    </comment>
    <comment ref="W11" authorId="0" shapeId="0">
      <text>
        <r>
          <rPr>
            <b/>
            <sz val="8"/>
            <color indexed="81"/>
            <rFont val="Tahoma"/>
            <family val="2"/>
          </rPr>
          <t xml:space="preserve">0,075 lineal por ser RAP (puede de PASES pero no se sabe)
</t>
        </r>
        <r>
          <rPr>
            <sz val="8"/>
            <color indexed="81"/>
            <rFont val="Tahoma"/>
            <family val="2"/>
          </rPr>
          <t>Remata siempre un delantero y no depende del rival</t>
        </r>
      </text>
    </comment>
    <comment ref="W12" authorId="0" shapeId="0">
      <text>
        <r>
          <rPr>
            <sz val="8"/>
            <color indexed="81"/>
            <rFont val="Tahoma"/>
            <family val="2"/>
          </rPr>
          <t xml:space="preserve">0,1
Defensa o Medio con Resistencia &gt;=debil
Conversión depende de la anotación del jugador rival
</t>
        </r>
      </text>
    </comment>
    <comment ref="W13" authorId="0" shapeId="0">
      <text>
        <r>
          <rPr>
            <b/>
            <sz val="8"/>
            <color indexed="81"/>
            <rFont val="Tahoma"/>
            <family val="2"/>
          </rPr>
          <t xml:space="preserve">0,133
</t>
        </r>
        <r>
          <rPr>
            <sz val="8"/>
            <color indexed="81"/>
            <rFont val="Tahoma"/>
            <family val="2"/>
          </rPr>
          <t xml:space="preserve">alto BP del lanzador + Anotación del receptor (qualquier)
Conversión depende de la ANOTACION </t>
        </r>
      </text>
    </comment>
    <comment ref="W14" authorId="0" shapeId="0">
      <text>
        <r>
          <rPr>
            <b/>
            <sz val="8"/>
            <color indexed="81"/>
            <rFont val="Tahoma"/>
            <family val="2"/>
          </rPr>
          <t xml:space="preserve">0,08 lineal
</t>
        </r>
        <r>
          <rPr>
            <sz val="8"/>
            <color indexed="81"/>
            <rFont val="Tahoma"/>
            <family val="2"/>
          </rPr>
          <t>Gran efectividad 90% según cabezones del rival, pero no baja hasta grandes diferencias</t>
        </r>
      </text>
    </comment>
    <comment ref="W15" authorId="0" shapeId="0">
      <text>
        <r>
          <rPr>
            <b/>
            <sz val="8"/>
            <color indexed="81"/>
            <rFont val="Tahoma"/>
            <family val="2"/>
          </rPr>
          <t>0,03 (depende del XP de los jugadores)</t>
        </r>
        <r>
          <rPr>
            <sz val="8"/>
            <color indexed="81"/>
            <rFont val="Tahoma"/>
            <family val="2"/>
          </rPr>
          <t xml:space="preserve">
Evento que pueden provocar los delanteros y extremos con un nivel de experiencia alto. 
Lanzador BP nunca
De hecho es necesario un nivel de experiencia débil para conseguir el evento.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W16" authorId="0" shapeId="0">
      <text>
        <r>
          <rPr>
            <b/>
            <sz val="8"/>
            <color indexed="81"/>
            <rFont val="Tahoma"/>
            <family val="2"/>
          </rPr>
          <t>0,3 (muy común si es posible)</t>
        </r>
        <r>
          <rPr>
            <sz val="8"/>
            <color indexed="81"/>
            <rFont val="Tahoma"/>
            <family val="2"/>
          </rPr>
          <t xml:space="preserve">
Evento negativo que pueden provocar los defensas o inner por tener un nivel bajo de experiencia (&lt;debil)</t>
        </r>
      </text>
    </comment>
    <comment ref="A17" authorId="0" shapeId="0">
      <text>
        <r>
          <rPr>
            <b/>
            <sz val="8"/>
            <color indexed="81"/>
            <rFont val="Tahoma"/>
            <family val="2"/>
          </rPr>
          <t>"Pres" "normal" "AOW" "AIM"</t>
        </r>
      </text>
    </comment>
    <comment ref="W17" authorId="0" shapeId="0">
      <text>
        <r>
          <rPr>
            <b/>
            <sz val="8"/>
            <color indexed="81"/>
            <rFont val="Tahoma"/>
            <family val="2"/>
          </rPr>
          <t xml:space="preserve">0,04
</t>
        </r>
        <r>
          <rPr>
            <sz val="8"/>
            <color indexed="81"/>
            <rFont val="Tahoma"/>
            <family val="2"/>
          </rPr>
          <t>Si el rematador es cabezon efectividad 0,9 sino cuenta la anotación y baja mucho la conversión</t>
        </r>
      </text>
    </comment>
    <comment ref="W18" authorId="0" shapeId="0">
      <text>
        <r>
          <rPr>
            <b/>
            <sz val="8"/>
            <color indexed="81"/>
            <rFont val="Tahoma"/>
            <family val="2"/>
          </rPr>
          <t>Incluyo en el 19</t>
        </r>
      </text>
    </comment>
    <comment ref="W19" authorId="0" shapeId="0">
      <text>
        <r>
          <rPr>
            <b/>
            <sz val="8"/>
            <color indexed="81"/>
            <rFont val="Tahoma"/>
            <family val="2"/>
          </rPr>
          <t>0,045 lineal por TEC (extremos y delanteros)</t>
        </r>
        <r>
          <rPr>
            <sz val="8"/>
            <color indexed="81"/>
            <rFont val="Tahoma"/>
            <family val="2"/>
          </rPr>
          <t xml:space="preserve">
Si el rival tiene CAB en medios y defensas
Parece ser que depende de la anotacion y la defensa</t>
        </r>
      </text>
    </comment>
    <comment ref="A20" authorId="0" shapeId="0">
      <text>
        <r>
          <rPr>
            <b/>
            <sz val="8"/>
            <color indexed="81"/>
            <rFont val="Tahoma"/>
            <family val="2"/>
          </rPr>
          <t>Si Pression me cargo 2 ocaciones</t>
        </r>
      </text>
    </comment>
    <comment ref="A21" authorId="0" shapeId="0">
      <text>
        <r>
          <rPr>
            <b/>
            <sz val="8"/>
            <color indexed="81"/>
            <rFont val="Tahoma"/>
            <family val="2"/>
          </rPr>
          <t>Solo para el calculo de efectividad, no cuenta para nada más. Las ocasiones se miran en otra parte en el simulador</t>
        </r>
      </text>
    </comment>
    <comment ref="U3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10 o más</t>
        </r>
      </text>
    </comment>
    <comment ref="U49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10 o más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W5" authorId="0" shapeId="0">
      <text>
        <r>
          <rPr>
            <sz val="8"/>
            <color indexed="81"/>
            <rFont val="Tahoma"/>
            <family val="2"/>
          </rPr>
          <t>0,017
Aparicion según PASES
Conversión según ANOTACION receptor
Receptor Extremos y delanteros</t>
        </r>
      </text>
    </comment>
    <comment ref="W6" authorId="0" shapeId="0">
      <text>
        <r>
          <rPr>
            <b/>
            <sz val="8"/>
            <color indexed="81"/>
            <rFont val="Tahoma"/>
            <family val="2"/>
          </rPr>
          <t xml:space="preserve">0,028
</t>
        </r>
        <r>
          <rPr>
            <sz val="8"/>
            <color indexed="81"/>
            <rFont val="Tahoma"/>
            <family val="2"/>
          </rPr>
          <t>Solamente Extremos y Delanteros
Aparición solo por ser IMP
Conversión depende nivel anotación del IMP</t>
        </r>
      </text>
    </comment>
    <comment ref="O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Como distribución normal de un partdo, no evento</t>
        </r>
      </text>
    </comment>
    <comment ref="W7" authorId="0" shapeId="0">
      <text>
        <r>
          <rPr>
            <b/>
            <sz val="8"/>
            <color indexed="81"/>
            <rFont val="Tahoma"/>
            <family val="2"/>
          </rPr>
          <t xml:space="preserve">0,04 (no es conocido)
</t>
        </r>
        <r>
          <rPr>
            <sz val="8"/>
            <color indexed="81"/>
            <rFont val="Tahoma"/>
            <family val="2"/>
          </rPr>
          <t>Solamente si hay jugadores con ANOTACION+BP
Qualquier jugador de campo</t>
        </r>
      </text>
    </comment>
    <comment ref="Y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Como distribucion normal de un partido, no evento</t>
        </r>
      </text>
    </comment>
    <comment ref="W8" authorId="0" shapeId="0">
      <text>
        <r>
          <rPr>
            <b/>
            <sz val="8"/>
            <color indexed="81"/>
            <rFont val="Tahoma"/>
            <family val="2"/>
          </rPr>
          <t xml:space="preserve">0,018
</t>
        </r>
        <r>
          <rPr>
            <sz val="8"/>
            <color indexed="81"/>
            <rFont val="Tahoma"/>
            <family val="2"/>
          </rPr>
          <t>Aparicion solo por IMP
Conversión según ANOTACION receptor
Receptor Extremos y delanteros</t>
        </r>
      </text>
    </comment>
    <comment ref="W9" authorId="0" shapeId="0">
      <text>
        <r>
          <rPr>
            <b/>
            <sz val="8"/>
            <color indexed="81"/>
            <rFont val="Tahoma"/>
            <family val="2"/>
          </rPr>
          <t xml:space="preserve">Según nivel de defensa del IMP
</t>
        </r>
        <r>
          <rPr>
            <sz val="8"/>
            <color indexed="81"/>
            <rFont val="Tahoma"/>
            <family val="2"/>
          </rPr>
          <t>0,045 Medios
0,015 Defensas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W10" authorId="0" shapeId="0">
      <text>
        <r>
          <rPr>
            <b/>
            <sz val="8"/>
            <color indexed="81"/>
            <rFont val="Tahoma"/>
            <family val="2"/>
          </rPr>
          <t xml:space="preserve">0,075 lineal
</t>
        </r>
        <r>
          <rPr>
            <sz val="8"/>
            <color indexed="81"/>
            <rFont val="Tahoma"/>
            <family val="2"/>
          </rPr>
          <t>Se genera por ser RAP
Conversión según anotación RAP y Defensa DEF</t>
        </r>
      </text>
    </comment>
    <comment ref="W11" authorId="0" shapeId="0">
      <text>
        <r>
          <rPr>
            <b/>
            <sz val="8"/>
            <color indexed="81"/>
            <rFont val="Tahoma"/>
            <family val="2"/>
          </rPr>
          <t xml:space="preserve">0,075 lineal por ser RAP (puede de PASES pero no se sabe)
</t>
        </r>
        <r>
          <rPr>
            <sz val="8"/>
            <color indexed="81"/>
            <rFont val="Tahoma"/>
            <family val="2"/>
          </rPr>
          <t>Remata siempre un delantero y no depende del rival</t>
        </r>
      </text>
    </comment>
    <comment ref="W12" authorId="0" shapeId="0">
      <text>
        <r>
          <rPr>
            <sz val="8"/>
            <color indexed="81"/>
            <rFont val="Tahoma"/>
            <family val="2"/>
          </rPr>
          <t xml:space="preserve">0,1
Defensa o Medio con Resistencia &gt;=debil
Conversión depende de la anotación del jugador rival
</t>
        </r>
      </text>
    </comment>
    <comment ref="W13" authorId="0" shapeId="0">
      <text>
        <r>
          <rPr>
            <b/>
            <sz val="8"/>
            <color indexed="81"/>
            <rFont val="Tahoma"/>
            <family val="2"/>
          </rPr>
          <t xml:space="preserve">0,133
</t>
        </r>
        <r>
          <rPr>
            <sz val="8"/>
            <color indexed="81"/>
            <rFont val="Tahoma"/>
            <family val="2"/>
          </rPr>
          <t xml:space="preserve">alto BP del lanzador + Anotación del receptor (qualquier)
Conversión depende de la ANOTACION </t>
        </r>
      </text>
    </comment>
    <comment ref="W14" authorId="0" shapeId="0">
      <text>
        <r>
          <rPr>
            <b/>
            <sz val="8"/>
            <color indexed="81"/>
            <rFont val="Tahoma"/>
            <family val="2"/>
          </rPr>
          <t xml:space="preserve">0,08 lineal
</t>
        </r>
        <r>
          <rPr>
            <sz val="8"/>
            <color indexed="81"/>
            <rFont val="Tahoma"/>
            <family val="2"/>
          </rPr>
          <t>Gran efectividad 90% según cabezones del rival, pero no baja hasta grandes diferencias</t>
        </r>
      </text>
    </comment>
    <comment ref="W15" authorId="0" shapeId="0">
      <text>
        <r>
          <rPr>
            <b/>
            <sz val="8"/>
            <color indexed="81"/>
            <rFont val="Tahoma"/>
            <family val="2"/>
          </rPr>
          <t>0,03 (depende del XP de los jugadores)</t>
        </r>
        <r>
          <rPr>
            <sz val="8"/>
            <color indexed="81"/>
            <rFont val="Tahoma"/>
            <family val="2"/>
          </rPr>
          <t xml:space="preserve">
Evento que pueden provocar los delanteros y extremos con un nivel de experiencia alto. 
Lanzador BP nunca
De hecho es necesario un nivel de experiencia débil para conseguir el evento.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W16" authorId="0" shapeId="0">
      <text>
        <r>
          <rPr>
            <b/>
            <sz val="8"/>
            <color indexed="81"/>
            <rFont val="Tahoma"/>
            <family val="2"/>
          </rPr>
          <t>0,3 (muy común si es posible)</t>
        </r>
        <r>
          <rPr>
            <sz val="8"/>
            <color indexed="81"/>
            <rFont val="Tahoma"/>
            <family val="2"/>
          </rPr>
          <t xml:space="preserve">
Evento negativo que pueden provocar los defensas o inner por tener un nivel bajo de experiencia (&lt;debil)</t>
        </r>
      </text>
    </comment>
    <comment ref="A17" authorId="0" shapeId="0">
      <text>
        <r>
          <rPr>
            <b/>
            <sz val="8"/>
            <color indexed="81"/>
            <rFont val="Tahoma"/>
            <family val="2"/>
          </rPr>
          <t>"Pres" "normal" "AOW" "AIM"</t>
        </r>
      </text>
    </comment>
    <comment ref="W17" authorId="0" shapeId="0">
      <text>
        <r>
          <rPr>
            <b/>
            <sz val="8"/>
            <color indexed="81"/>
            <rFont val="Tahoma"/>
            <family val="2"/>
          </rPr>
          <t xml:space="preserve">0,04
</t>
        </r>
        <r>
          <rPr>
            <sz val="8"/>
            <color indexed="81"/>
            <rFont val="Tahoma"/>
            <family val="2"/>
          </rPr>
          <t>Si el rematador es cabezon efectividad 0,9 sino cuenta la anotación y baja mucho la conversión</t>
        </r>
      </text>
    </comment>
    <comment ref="W18" authorId="0" shapeId="0">
      <text>
        <r>
          <rPr>
            <b/>
            <sz val="8"/>
            <color indexed="81"/>
            <rFont val="Tahoma"/>
            <family val="2"/>
          </rPr>
          <t>Incluyo en el 19</t>
        </r>
      </text>
    </comment>
    <comment ref="W19" authorId="0" shapeId="0">
      <text>
        <r>
          <rPr>
            <b/>
            <sz val="8"/>
            <color indexed="81"/>
            <rFont val="Tahoma"/>
            <family val="2"/>
          </rPr>
          <t>0,045 lineal por TEC (extremos y delanteros)</t>
        </r>
        <r>
          <rPr>
            <sz val="8"/>
            <color indexed="81"/>
            <rFont val="Tahoma"/>
            <family val="2"/>
          </rPr>
          <t xml:space="preserve">
Si el rival tiene CAB en medios y defensas
Parece ser que depende de la anotacion y la defensa</t>
        </r>
      </text>
    </comment>
    <comment ref="A20" authorId="0" shapeId="0">
      <text>
        <r>
          <rPr>
            <b/>
            <sz val="8"/>
            <color indexed="81"/>
            <rFont val="Tahoma"/>
            <family val="2"/>
          </rPr>
          <t>Si Pression me cargo 2 ocaciones</t>
        </r>
      </text>
    </comment>
    <comment ref="A21" authorId="0" shapeId="0">
      <text>
        <r>
          <rPr>
            <b/>
            <sz val="8"/>
            <color indexed="81"/>
            <rFont val="Tahoma"/>
            <family val="2"/>
          </rPr>
          <t>Solo para el calculo de efectividad, no cuenta para nada más. Las ocasiones se miran en otra parte en el simulador</t>
        </r>
      </text>
    </comment>
    <comment ref="U3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10 o más</t>
        </r>
      </text>
    </comment>
    <comment ref="U49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10 o más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W5" authorId="0" shapeId="0">
      <text>
        <r>
          <rPr>
            <sz val="8"/>
            <color indexed="81"/>
            <rFont val="Tahoma"/>
            <family val="2"/>
          </rPr>
          <t>0,017
Aparicion según PASES
Conversión según ANOTACION receptor
Receptor Extremos y delanteros</t>
        </r>
      </text>
    </comment>
    <comment ref="W6" authorId="0" shapeId="0">
      <text>
        <r>
          <rPr>
            <b/>
            <sz val="8"/>
            <color indexed="81"/>
            <rFont val="Tahoma"/>
            <family val="2"/>
          </rPr>
          <t xml:space="preserve">0,028
</t>
        </r>
        <r>
          <rPr>
            <sz val="8"/>
            <color indexed="81"/>
            <rFont val="Tahoma"/>
            <family val="2"/>
          </rPr>
          <t>Solamente Extremos y Delanteros
Aparición solo por ser IMP
Conversión depende nivel anotación del IMP</t>
        </r>
      </text>
    </comment>
    <comment ref="O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Como distribución normal de un partdo, no evento</t>
        </r>
      </text>
    </comment>
    <comment ref="W7" authorId="0" shapeId="0">
      <text>
        <r>
          <rPr>
            <b/>
            <sz val="8"/>
            <color indexed="81"/>
            <rFont val="Tahoma"/>
            <family val="2"/>
          </rPr>
          <t xml:space="preserve">0,04 (no es conocido)
</t>
        </r>
        <r>
          <rPr>
            <sz val="8"/>
            <color indexed="81"/>
            <rFont val="Tahoma"/>
            <family val="2"/>
          </rPr>
          <t>Solamente si hay jugadores con ANOTACION+BP
Qualquier jugador de campo</t>
        </r>
      </text>
    </comment>
    <comment ref="Y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Como distribucion normal de un partido, no evento</t>
        </r>
      </text>
    </comment>
    <comment ref="W8" authorId="0" shapeId="0">
      <text>
        <r>
          <rPr>
            <b/>
            <sz val="8"/>
            <color indexed="81"/>
            <rFont val="Tahoma"/>
            <family val="2"/>
          </rPr>
          <t xml:space="preserve">0,018
</t>
        </r>
        <r>
          <rPr>
            <sz val="8"/>
            <color indexed="81"/>
            <rFont val="Tahoma"/>
            <family val="2"/>
          </rPr>
          <t>Aparicion solo por IMP
Conversión según ANOTACION receptor
Receptor Extremos y delanteros</t>
        </r>
      </text>
    </comment>
    <comment ref="W9" authorId="0" shapeId="0">
      <text>
        <r>
          <rPr>
            <b/>
            <sz val="8"/>
            <color indexed="81"/>
            <rFont val="Tahoma"/>
            <family val="2"/>
          </rPr>
          <t xml:space="preserve">Según nivel de defensa del IMP
</t>
        </r>
        <r>
          <rPr>
            <sz val="8"/>
            <color indexed="81"/>
            <rFont val="Tahoma"/>
            <family val="2"/>
          </rPr>
          <t>0,045 Medios
0,015 Defensas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W10" authorId="0" shapeId="0">
      <text>
        <r>
          <rPr>
            <b/>
            <sz val="8"/>
            <color indexed="81"/>
            <rFont val="Tahoma"/>
            <family val="2"/>
          </rPr>
          <t xml:space="preserve">0,075 lineal
</t>
        </r>
        <r>
          <rPr>
            <sz val="8"/>
            <color indexed="81"/>
            <rFont val="Tahoma"/>
            <family val="2"/>
          </rPr>
          <t>Se genera por ser RAP
Conversión según anotación RAP y Defensa DEF</t>
        </r>
      </text>
    </comment>
    <comment ref="W11" authorId="0" shapeId="0">
      <text>
        <r>
          <rPr>
            <b/>
            <sz val="8"/>
            <color indexed="81"/>
            <rFont val="Tahoma"/>
            <family val="2"/>
          </rPr>
          <t xml:space="preserve">0,075 lineal por ser RAP (puede de PASES pero no se sabe)
</t>
        </r>
        <r>
          <rPr>
            <sz val="8"/>
            <color indexed="81"/>
            <rFont val="Tahoma"/>
            <family val="2"/>
          </rPr>
          <t>Remata siempre un delantero y no depende del rival</t>
        </r>
      </text>
    </comment>
    <comment ref="W12" authorId="0" shapeId="0">
      <text>
        <r>
          <rPr>
            <sz val="8"/>
            <color indexed="81"/>
            <rFont val="Tahoma"/>
            <family val="2"/>
          </rPr>
          <t xml:space="preserve">0,1
Defensa o Medio con Resistencia &gt;=debil
Conversión depende de la anotación del jugador rival
</t>
        </r>
      </text>
    </comment>
    <comment ref="W13" authorId="0" shapeId="0">
      <text>
        <r>
          <rPr>
            <b/>
            <sz val="8"/>
            <color indexed="81"/>
            <rFont val="Tahoma"/>
            <family val="2"/>
          </rPr>
          <t xml:space="preserve">0,133
</t>
        </r>
        <r>
          <rPr>
            <sz val="8"/>
            <color indexed="81"/>
            <rFont val="Tahoma"/>
            <family val="2"/>
          </rPr>
          <t xml:space="preserve">alto BP del lanzador + Anotación del receptor (qualquier)
Conversión depende de la ANOTACION </t>
        </r>
      </text>
    </comment>
    <comment ref="W14" authorId="0" shapeId="0">
      <text>
        <r>
          <rPr>
            <b/>
            <sz val="8"/>
            <color indexed="81"/>
            <rFont val="Tahoma"/>
            <family val="2"/>
          </rPr>
          <t xml:space="preserve">0,08 lineal
</t>
        </r>
        <r>
          <rPr>
            <sz val="8"/>
            <color indexed="81"/>
            <rFont val="Tahoma"/>
            <family val="2"/>
          </rPr>
          <t>Gran efectividad 90% según cabezones del rival, pero no baja hasta grandes diferencias</t>
        </r>
      </text>
    </comment>
    <comment ref="W15" authorId="0" shapeId="0">
      <text>
        <r>
          <rPr>
            <b/>
            <sz val="8"/>
            <color indexed="81"/>
            <rFont val="Tahoma"/>
            <family val="2"/>
          </rPr>
          <t>0,03 (depende del XP de los jugadores)</t>
        </r>
        <r>
          <rPr>
            <sz val="8"/>
            <color indexed="81"/>
            <rFont val="Tahoma"/>
            <family val="2"/>
          </rPr>
          <t xml:space="preserve">
Evento que pueden provocar los delanteros y extremos con un nivel de experiencia alto. 
Lanzador BP nunca
De hecho es necesario un nivel de experiencia débil para conseguir el evento.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W16" authorId="0" shapeId="0">
      <text>
        <r>
          <rPr>
            <b/>
            <sz val="8"/>
            <color indexed="81"/>
            <rFont val="Tahoma"/>
            <family val="2"/>
          </rPr>
          <t>0,3 (muy común si es posible)</t>
        </r>
        <r>
          <rPr>
            <sz val="8"/>
            <color indexed="81"/>
            <rFont val="Tahoma"/>
            <family val="2"/>
          </rPr>
          <t xml:space="preserve">
Evento negativo que pueden provocar los defensas o inner por tener un nivel bajo de experiencia (&lt;debil)</t>
        </r>
      </text>
    </comment>
    <comment ref="A17" authorId="0" shapeId="0">
      <text>
        <r>
          <rPr>
            <b/>
            <sz val="8"/>
            <color indexed="81"/>
            <rFont val="Tahoma"/>
            <family val="2"/>
          </rPr>
          <t>"Pres" "normal" "AOW" "AIM"</t>
        </r>
      </text>
    </comment>
    <comment ref="W17" authorId="0" shapeId="0">
      <text>
        <r>
          <rPr>
            <b/>
            <sz val="8"/>
            <color indexed="81"/>
            <rFont val="Tahoma"/>
            <family val="2"/>
          </rPr>
          <t xml:space="preserve">0,04
</t>
        </r>
        <r>
          <rPr>
            <sz val="8"/>
            <color indexed="81"/>
            <rFont val="Tahoma"/>
            <family val="2"/>
          </rPr>
          <t>Si el rematador es cabezon efectividad 0,9 sino cuenta la anotación y baja mucho la conversión</t>
        </r>
      </text>
    </comment>
    <comment ref="W18" authorId="0" shapeId="0">
      <text>
        <r>
          <rPr>
            <b/>
            <sz val="8"/>
            <color indexed="81"/>
            <rFont val="Tahoma"/>
            <family val="2"/>
          </rPr>
          <t>Incluyo en el 19</t>
        </r>
      </text>
    </comment>
    <comment ref="W19" authorId="0" shapeId="0">
      <text>
        <r>
          <rPr>
            <b/>
            <sz val="8"/>
            <color indexed="81"/>
            <rFont val="Tahoma"/>
            <family val="2"/>
          </rPr>
          <t>0,045 lineal por TEC (extremos y delanteros)</t>
        </r>
        <r>
          <rPr>
            <sz val="8"/>
            <color indexed="81"/>
            <rFont val="Tahoma"/>
            <family val="2"/>
          </rPr>
          <t xml:space="preserve">
Si el rival tiene CAB en medios y defensas
Parece ser que depende de la anotacion y la defensa</t>
        </r>
      </text>
    </comment>
    <comment ref="A20" authorId="0" shapeId="0">
      <text>
        <r>
          <rPr>
            <b/>
            <sz val="8"/>
            <color indexed="81"/>
            <rFont val="Tahoma"/>
            <family val="2"/>
          </rPr>
          <t>Si Pression me cargo 2 ocaciones</t>
        </r>
      </text>
    </comment>
    <comment ref="A21" authorId="0" shapeId="0">
      <text>
        <r>
          <rPr>
            <b/>
            <sz val="8"/>
            <color indexed="81"/>
            <rFont val="Tahoma"/>
            <family val="2"/>
          </rPr>
          <t>Solo para el calculo de efectividad, no cuenta para nada más. Las ocasiones se miran en otra parte en el simulador</t>
        </r>
      </text>
    </comment>
    <comment ref="U35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10 o más</t>
        </r>
      </text>
    </comment>
    <comment ref="U49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10 o más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W5" authorId="0" shapeId="0">
      <text>
        <r>
          <rPr>
            <sz val="8"/>
            <color indexed="81"/>
            <rFont val="Tahoma"/>
            <family val="2"/>
          </rPr>
          <t>0,017
Aparicion según PASES
Conversión según ANOTACION receptor
Receptor Extremos y delanteros</t>
        </r>
      </text>
    </comment>
    <comment ref="W6" authorId="0" shapeId="0">
      <text>
        <r>
          <rPr>
            <b/>
            <sz val="8"/>
            <color indexed="81"/>
            <rFont val="Tahoma"/>
            <family val="2"/>
          </rPr>
          <t xml:space="preserve">0,028
</t>
        </r>
        <r>
          <rPr>
            <sz val="8"/>
            <color indexed="81"/>
            <rFont val="Tahoma"/>
            <family val="2"/>
          </rPr>
          <t>Solamente Extremos y Delanteros
Aparición solo por ser IMP
Conversión depende nivel anotación del IMP</t>
        </r>
      </text>
    </comment>
    <comment ref="O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Como distribución normal de un partdo, no evento</t>
        </r>
      </text>
    </comment>
    <comment ref="W7" authorId="0" shapeId="0">
      <text>
        <r>
          <rPr>
            <b/>
            <sz val="8"/>
            <color indexed="81"/>
            <rFont val="Tahoma"/>
            <family val="2"/>
          </rPr>
          <t xml:space="preserve">0,04 (no es conocido)
</t>
        </r>
        <r>
          <rPr>
            <sz val="8"/>
            <color indexed="81"/>
            <rFont val="Tahoma"/>
            <family val="2"/>
          </rPr>
          <t>Solamente si hay jugadores con ANOTACION+BP
Qualquier jugador de campo</t>
        </r>
      </text>
    </comment>
    <comment ref="Y7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Como distribucion normal de un partido, no evento</t>
        </r>
      </text>
    </comment>
    <comment ref="W8" authorId="0" shapeId="0">
      <text>
        <r>
          <rPr>
            <b/>
            <sz val="8"/>
            <color indexed="81"/>
            <rFont val="Tahoma"/>
            <family val="2"/>
          </rPr>
          <t xml:space="preserve">0,018
</t>
        </r>
        <r>
          <rPr>
            <sz val="8"/>
            <color indexed="81"/>
            <rFont val="Tahoma"/>
            <family val="2"/>
          </rPr>
          <t>Aparicion solo por IMP
Conversión según ANOTACION receptor
Receptor Extremos y delanteros</t>
        </r>
      </text>
    </comment>
    <comment ref="W9" authorId="0" shapeId="0">
      <text>
        <r>
          <rPr>
            <b/>
            <sz val="8"/>
            <color indexed="81"/>
            <rFont val="Tahoma"/>
            <family val="2"/>
          </rPr>
          <t xml:space="preserve">Según nivel de defensa del IMP
</t>
        </r>
        <r>
          <rPr>
            <sz val="8"/>
            <color indexed="81"/>
            <rFont val="Tahoma"/>
            <family val="2"/>
          </rPr>
          <t>0,045 Medios
0,015 Defensas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W10" authorId="0" shapeId="0">
      <text>
        <r>
          <rPr>
            <b/>
            <sz val="8"/>
            <color indexed="81"/>
            <rFont val="Tahoma"/>
            <family val="2"/>
          </rPr>
          <t xml:space="preserve">0,075 lineal
</t>
        </r>
        <r>
          <rPr>
            <sz val="8"/>
            <color indexed="81"/>
            <rFont val="Tahoma"/>
            <family val="2"/>
          </rPr>
          <t>Se genera por ser RAP
Conversión según anotación RAP y Defensa DEF</t>
        </r>
      </text>
    </comment>
    <comment ref="W11" authorId="0" shapeId="0">
      <text>
        <r>
          <rPr>
            <b/>
            <sz val="8"/>
            <color indexed="81"/>
            <rFont val="Tahoma"/>
            <family val="2"/>
          </rPr>
          <t xml:space="preserve">0,075 lineal por ser RAP (puede de PASES pero no se sabe)
</t>
        </r>
        <r>
          <rPr>
            <sz val="8"/>
            <color indexed="81"/>
            <rFont val="Tahoma"/>
            <family val="2"/>
          </rPr>
          <t>Remata siempre un delantero y no depende del rival</t>
        </r>
      </text>
    </comment>
    <comment ref="W12" authorId="0" shapeId="0">
      <text>
        <r>
          <rPr>
            <sz val="8"/>
            <color indexed="81"/>
            <rFont val="Tahoma"/>
            <family val="2"/>
          </rPr>
          <t xml:space="preserve">0,1
Defensa o Medio con Resistencia &gt;=debil
Conversión depende de la anotación del jugador rival
</t>
        </r>
      </text>
    </comment>
    <comment ref="W13" authorId="0" shapeId="0">
      <text>
        <r>
          <rPr>
            <b/>
            <sz val="8"/>
            <color indexed="81"/>
            <rFont val="Tahoma"/>
            <family val="2"/>
          </rPr>
          <t xml:space="preserve">0,133
</t>
        </r>
        <r>
          <rPr>
            <sz val="8"/>
            <color indexed="81"/>
            <rFont val="Tahoma"/>
            <family val="2"/>
          </rPr>
          <t xml:space="preserve">alto BP del lanzador + Anotación del receptor (qualquier)
Conversión depende de la ANOTACION </t>
        </r>
      </text>
    </comment>
    <comment ref="W14" authorId="0" shapeId="0">
      <text>
        <r>
          <rPr>
            <b/>
            <sz val="8"/>
            <color indexed="81"/>
            <rFont val="Tahoma"/>
            <family val="2"/>
          </rPr>
          <t xml:space="preserve">0,08 lineal
</t>
        </r>
        <r>
          <rPr>
            <sz val="8"/>
            <color indexed="81"/>
            <rFont val="Tahoma"/>
            <family val="2"/>
          </rPr>
          <t>Gran efectividad 90% según cabezones del rival, pero no baja hasta grandes diferencias</t>
        </r>
      </text>
    </comment>
    <comment ref="W15" authorId="0" shapeId="0">
      <text>
        <r>
          <rPr>
            <b/>
            <sz val="8"/>
            <color indexed="81"/>
            <rFont val="Tahoma"/>
            <family val="2"/>
          </rPr>
          <t>0,03 (depende del XP de los jugadores)</t>
        </r>
        <r>
          <rPr>
            <sz val="8"/>
            <color indexed="81"/>
            <rFont val="Tahoma"/>
            <family val="2"/>
          </rPr>
          <t xml:space="preserve">
Evento que pueden provocar los delanteros y extremos con un nivel de experiencia alto. 
Lanzador BP nunca
De hecho es necesario un nivel de experiencia débil para conseguir el evento.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W16" authorId="0" shapeId="0">
      <text>
        <r>
          <rPr>
            <b/>
            <sz val="8"/>
            <color indexed="81"/>
            <rFont val="Tahoma"/>
            <family val="2"/>
          </rPr>
          <t>0,3 (muy común si es posible)</t>
        </r>
        <r>
          <rPr>
            <sz val="8"/>
            <color indexed="81"/>
            <rFont val="Tahoma"/>
            <family val="2"/>
          </rPr>
          <t xml:space="preserve">
Evento negativo que pueden provocar los defensas o inner por tener un nivel bajo de experiencia (&lt;debil)</t>
        </r>
      </text>
    </comment>
    <comment ref="A17" authorId="0" shapeId="0">
      <text>
        <r>
          <rPr>
            <b/>
            <sz val="8"/>
            <color indexed="81"/>
            <rFont val="Tahoma"/>
            <family val="2"/>
          </rPr>
          <t>"Pres" "normal" "AOW" "AIM"</t>
        </r>
      </text>
    </comment>
    <comment ref="W17" authorId="0" shapeId="0">
      <text>
        <r>
          <rPr>
            <b/>
            <sz val="8"/>
            <color indexed="81"/>
            <rFont val="Tahoma"/>
            <family val="2"/>
          </rPr>
          <t xml:space="preserve">0,04
</t>
        </r>
        <r>
          <rPr>
            <sz val="8"/>
            <color indexed="81"/>
            <rFont val="Tahoma"/>
            <family val="2"/>
          </rPr>
          <t>Si el rematador es cabezon efectividad 0,9 sino cuenta la anotación y baja mucho la conversión</t>
        </r>
      </text>
    </comment>
    <comment ref="W18" authorId="0" shapeId="0">
      <text>
        <r>
          <rPr>
            <b/>
            <sz val="8"/>
            <color indexed="81"/>
            <rFont val="Tahoma"/>
            <family val="2"/>
          </rPr>
          <t>Incluyo en el 19</t>
        </r>
      </text>
    </comment>
    <comment ref="W19" authorId="0" shapeId="0">
      <text>
        <r>
          <rPr>
            <b/>
            <sz val="8"/>
            <color indexed="81"/>
            <rFont val="Tahoma"/>
            <family val="2"/>
          </rPr>
          <t>0,045 lineal por TEC (extremos y delanteros)</t>
        </r>
        <r>
          <rPr>
            <sz val="8"/>
            <color indexed="81"/>
            <rFont val="Tahoma"/>
            <family val="2"/>
          </rPr>
          <t xml:space="preserve">
Si el rival tiene CAB en medios y defensas
Parece ser que depende de la anotacion y la defensa</t>
        </r>
      </text>
    </comment>
    <comment ref="A20" authorId="0" shapeId="0">
      <text>
        <r>
          <rPr>
            <b/>
            <sz val="8"/>
            <color indexed="81"/>
            <rFont val="Tahoma"/>
            <family val="2"/>
          </rPr>
          <t>Si Pression me cargo 2 ocaciones</t>
        </r>
      </text>
    </comment>
    <comment ref="A21" authorId="0" shapeId="0">
      <text>
        <r>
          <rPr>
            <b/>
            <sz val="8"/>
            <color indexed="81"/>
            <rFont val="Tahoma"/>
            <family val="2"/>
          </rPr>
          <t>Solo para el calculo de efectividad, no cuenta para nada más. Las ocasiones se miran en otra parte en el simulador</t>
        </r>
      </text>
    </comment>
    <comment ref="U34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10 o más</t>
        </r>
      </text>
    </comment>
    <comment ref="U48" authorId="0" shapeId="0">
      <text>
        <r>
          <rPr>
            <b/>
            <sz val="8"/>
            <color indexed="81"/>
            <rFont val="Tahoma"/>
            <family val="2"/>
          </rPr>
          <t>Autor:</t>
        </r>
        <r>
          <rPr>
            <sz val="8"/>
            <color indexed="81"/>
            <rFont val="Tahoma"/>
            <family val="2"/>
          </rPr>
          <t xml:space="preserve">
10 o más</t>
        </r>
      </text>
    </comment>
  </commentList>
</comments>
</file>

<file path=xl/sharedStrings.xml><?xml version="1.0" encoding="utf-8"?>
<sst xmlns="http://schemas.openxmlformats.org/spreadsheetml/2006/main" count="1549" uniqueCount="324">
  <si>
    <t>LOCAL</t>
  </si>
  <si>
    <t>Mediocampo</t>
  </si>
  <si>
    <t>Defensa derecha</t>
  </si>
  <si>
    <t>Defensa central</t>
  </si>
  <si>
    <t>Defensa izquierda</t>
  </si>
  <si>
    <t>Ataque derecho</t>
  </si>
  <si>
    <t>Ataque central</t>
  </si>
  <si>
    <t>Ataque izquierdo</t>
  </si>
  <si>
    <t>Faltas indirectas Def</t>
  </si>
  <si>
    <t>Faltas indirectas At</t>
  </si>
  <si>
    <t>Tactica</t>
  </si>
  <si>
    <t>Normal</t>
  </si>
  <si>
    <t>Nivel Tactica</t>
  </si>
  <si>
    <t>Loc</t>
  </si>
  <si>
    <t>Vis</t>
  </si>
  <si>
    <t>POR</t>
  </si>
  <si>
    <t>no</t>
  </si>
  <si>
    <t>LAT</t>
  </si>
  <si>
    <t>DC</t>
  </si>
  <si>
    <t>MD</t>
  </si>
  <si>
    <t>EXT</t>
  </si>
  <si>
    <t>TEC</t>
  </si>
  <si>
    <t>DV</t>
  </si>
  <si>
    <t>Tiempo</t>
  </si>
  <si>
    <t>at-derecha</t>
  </si>
  <si>
    <t>at-izquierda</t>
  </si>
  <si>
    <t>at-bp-d</t>
  </si>
  <si>
    <t>at-bp-i</t>
  </si>
  <si>
    <t>Pcrear</t>
  </si>
  <si>
    <t>Pconv</t>
  </si>
  <si>
    <t>pLocal50</t>
  </si>
  <si>
    <t>p(0)</t>
  </si>
  <si>
    <t>p(1)</t>
  </si>
  <si>
    <t>p(2)</t>
  </si>
  <si>
    <t>pVis50</t>
  </si>
  <si>
    <t>pVis</t>
  </si>
  <si>
    <t>Pase largo de imprevisible</t>
  </si>
  <si>
    <t>05</t>
  </si>
  <si>
    <t>Imprevisible recupera balón</t>
  </si>
  <si>
    <t>06</t>
  </si>
  <si>
    <t>Tiro lejano</t>
  </si>
  <si>
    <t>07</t>
  </si>
  <si>
    <t>Imprevisible crea ocasión</t>
  </si>
  <si>
    <t>08</t>
  </si>
  <si>
    <t>Pérdida de balón Imprev.</t>
  </si>
  <si>
    <t>09</t>
  </si>
  <si>
    <t>Rápido dispara a gol</t>
  </si>
  <si>
    <t>15</t>
  </si>
  <si>
    <t>Pase de un jugador rápido</t>
  </si>
  <si>
    <t>16</t>
  </si>
  <si>
    <t>Cansancio</t>
  </si>
  <si>
    <t>17</t>
  </si>
  <si>
    <t>Córner</t>
  </si>
  <si>
    <t>18</t>
  </si>
  <si>
    <t>Córner + cabeceador</t>
  </si>
  <si>
    <t>19</t>
  </si>
  <si>
    <t>Experiencia</t>
  </si>
  <si>
    <t>35</t>
  </si>
  <si>
    <t>Inexperiencia</t>
  </si>
  <si>
    <t>36</t>
  </si>
  <si>
    <t>Extremo + anotación</t>
  </si>
  <si>
    <t>37</t>
  </si>
  <si>
    <t>Extremo + cabeceador</t>
  </si>
  <si>
    <t>38</t>
  </si>
  <si>
    <t>Técnivo vs. Cabeceador</t>
  </si>
  <si>
    <t>39</t>
  </si>
  <si>
    <t>3 o más</t>
  </si>
  <si>
    <t>Ocasiones Gol</t>
  </si>
  <si>
    <t>Efectividad</t>
  </si>
  <si>
    <t>at-central</t>
  </si>
  <si>
    <t>pLoc</t>
  </si>
  <si>
    <t>Experiencia Equipo</t>
  </si>
  <si>
    <t>Ev</t>
  </si>
  <si>
    <t>E(x)</t>
  </si>
  <si>
    <t>P</t>
  </si>
  <si>
    <t>p</t>
  </si>
  <si>
    <t>Posesión Real</t>
  </si>
  <si>
    <t>Posesión HT</t>
  </si>
  <si>
    <t>Ocasiones Compartidas</t>
  </si>
  <si>
    <t>Local</t>
  </si>
  <si>
    <t>Visitante</t>
  </si>
  <si>
    <t>Oca Destruidas Pression</t>
  </si>
  <si>
    <t xml:space="preserve">Nivel medio HabPri </t>
  </si>
  <si>
    <t>OcaCA</t>
  </si>
  <si>
    <t>Probabilidad de CA</t>
  </si>
  <si>
    <t>Total</t>
  </si>
  <si>
    <t>Ocasiones Total Gol</t>
  </si>
  <si>
    <t>TotalN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</si>
  <si>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</si>
  <si>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</si>
  <si>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</si>
  <si>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</si>
  <si>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</si>
  <si>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</si>
  <si>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</si>
  <si>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</si>
  <si>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</si>
  <si>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</si>
  <si>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</si>
  <si>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OcaS</t>
  </si>
  <si>
    <t>GT</t>
  </si>
  <si>
    <t>p(x)</t>
  </si>
  <si>
    <t>EE(x)</t>
  </si>
  <si>
    <t>G</t>
  </si>
  <si>
    <t>EMPATE</t>
  </si>
  <si>
    <t>VISITANT</t>
  </si>
  <si>
    <t>LOC</t>
  </si>
  <si>
    <t>VIS</t>
  </si>
  <si>
    <t>Clima</t>
  </si>
  <si>
    <t>Esp</t>
  </si>
  <si>
    <t>+/-</t>
  </si>
  <si>
    <t>Hab</t>
  </si>
  <si>
    <t>Lluvia</t>
  </si>
  <si>
    <t>-</t>
  </si>
  <si>
    <t>-JUG-ANO</t>
  </si>
  <si>
    <t>1º+2º</t>
  </si>
  <si>
    <t>Sol</t>
  </si>
  <si>
    <t>+</t>
  </si>
  <si>
    <t>+JUG+ANO</t>
  </si>
  <si>
    <t xml:space="preserve">POT </t>
  </si>
  <si>
    <t>+DF+JG+AN</t>
  </si>
  <si>
    <t>-ANO-RES</t>
  </si>
  <si>
    <t>2º</t>
  </si>
  <si>
    <t>RAP</t>
  </si>
  <si>
    <t>-DEF-ANO</t>
  </si>
  <si>
    <t>-DEF</t>
  </si>
  <si>
    <t>O_CA</t>
  </si>
  <si>
    <t>Exp</t>
  </si>
  <si>
    <t>HPrin</t>
  </si>
  <si>
    <t>An</t>
  </si>
  <si>
    <t>Nublado</t>
  </si>
  <si>
    <t>POT</t>
  </si>
  <si>
    <t>Ext+Del</t>
  </si>
  <si>
    <t>Del</t>
  </si>
  <si>
    <t>Ev.Clima</t>
  </si>
  <si>
    <t>Constantes Clima</t>
  </si>
  <si>
    <t>Tiro Lejano</t>
  </si>
  <si>
    <t>Probabilidad de TL</t>
  </si>
  <si>
    <t>0,6</t>
  </si>
  <si>
    <t>0,72</t>
  </si>
  <si>
    <t>FORM</t>
  </si>
  <si>
    <t>&lt;debil</t>
  </si>
  <si>
    <t>Vader</t>
  </si>
  <si>
    <t>Obiwan</t>
  </si>
  <si>
    <t>CAB</t>
  </si>
  <si>
    <t>JC</t>
  </si>
  <si>
    <t>NEU</t>
  </si>
  <si>
    <t>IMP</t>
  </si>
  <si>
    <t>All</t>
  </si>
  <si>
    <t>0,4</t>
  </si>
  <si>
    <t>Marmota</t>
  </si>
  <si>
    <t>VADER</t>
  </si>
  <si>
    <t xml:space="preserve"> 29 jugadors</t>
  </si>
  <si>
    <t xml:space="preserve">1. Diego Perales </t>
  </si>
  <si>
    <t>32 anys i 42 dies</t>
  </si>
  <si>
    <t>Té un TSI de 54 420 i un sou de 18 610 € a la setmana</t>
  </si>
  <si>
    <t>Té forma acceptable i resistència notable [Joc aeri]</t>
  </si>
  <si>
    <t>Té un nivell brillant d'experiència, pobre de lideratge</t>
  </si>
  <si>
    <t>Té un nivell de fidelitat diví</t>
  </si>
  <si>
    <t>*******+-+b*b   (Porter)</t>
  </si>
  <si>
    <t>7. Eriq Föhrweiser-Budewig  [1 amonestació acumulada]</t>
  </si>
  <si>
    <t>35 anys i 24 dies</t>
  </si>
  <si>
    <t>Té un TSI de 23 640 i un sou de 10 104 € a la setmana</t>
  </si>
  <si>
    <t>Té forma notable i resistència acceptable [Ràpid]</t>
  </si>
  <si>
    <t>Té un nivell extraterrestre d'experiència, insuficient de lideratge</t>
  </si>
  <si>
    <t>*******b*b+b   (Extrem)</t>
  </si>
  <si>
    <t>14. Ernestas Liubavicius  [2 amonestacions acumulades]</t>
  </si>
  <si>
    <t>35 anys i 26 dies</t>
  </si>
  <si>
    <t>Té un TSI de 15 430 i un sou de 10 284 € a la setmana</t>
  </si>
  <si>
    <t>Té forma notable i resistència acceptable [Joc aeri]</t>
  </si>
  <si>
    <t>Té un nivell brillant d'experiència, dèbil de lideratge</t>
  </si>
  <si>
    <t>********b+b   (Mig centre)</t>
  </si>
  <si>
    <t xml:space="preserve">19. Fernando Muñoz </t>
  </si>
  <si>
    <t>34 anys i 56 dies</t>
  </si>
  <si>
    <t>Té un TSI de 19 910 i un sou de 8 532 € a la setmana</t>
  </si>
  <si>
    <t>Té forma acceptable i resistència notable [Imprevisible]</t>
  </si>
  <si>
    <t>Té un nivell magnífic d'experiència, dèbil de lideratge</t>
  </si>
  <si>
    <t>*******+-+b*b+b   (Davanter)</t>
  </si>
  <si>
    <t xml:space="preserve">22. Francesco Pintus </t>
  </si>
  <si>
    <t>36 anys i 68 dies</t>
  </si>
  <si>
    <t>Té un TSI de 5 090 i un sou de 2 436 € a la setmana</t>
  </si>
  <si>
    <t>Té forma acceptable i resistència insuficient [Joc aeri]</t>
  </si>
  <si>
    <t>Té un nivell classe mundial d'experiència, dèbil de lideratge</t>
  </si>
  <si>
    <t>********   (Defensa lateral)</t>
  </si>
  <si>
    <t>11. Francesco Scioli  [2 amonestacions acumulades]</t>
  </si>
  <si>
    <t>35 anys i 11 dies</t>
  </si>
  <si>
    <t>Té un TSI de 24 460 i un sou de 13 332 € a la setmana</t>
  </si>
  <si>
    <t>Té un nivell sobrenatural d'experiència, insuficient de lideratge</t>
  </si>
  <si>
    <t>********b*b   (Mig centre)</t>
  </si>
  <si>
    <t xml:space="preserve">10. Gábor Török </t>
  </si>
  <si>
    <t>35 anys i 17 dies</t>
  </si>
  <si>
    <t>Té un TSI de 23 830 i un sou de 11 892 € a la setmana</t>
  </si>
  <si>
    <t>Té forma insuficient i resistència acceptable [Imprevisible]</t>
  </si>
  <si>
    <t>Té un nivell extraterrestre d'experiència, horrible de lideratge</t>
  </si>
  <si>
    <t>*******b+b   (Extrem)</t>
  </si>
  <si>
    <t>6. Gualtiero Prestandrea  [2 amonestacions acumulades]</t>
  </si>
  <si>
    <t>35 anys i 19 dies</t>
  </si>
  <si>
    <t>Té un TSI de 10 360 i un sou de 12 816 € a la setmana</t>
  </si>
  <si>
    <t>Té forma horrible i resistència acceptable [Imprevisible]</t>
  </si>
  <si>
    <t>Té un nivell sobrenatural d'experiència, dèbil de lideratge</t>
  </si>
  <si>
    <t>***+-+b+b   (Mig centre)</t>
  </si>
  <si>
    <t>4. Igor Alexander Gronau  [1 amonestació acumulada]</t>
  </si>
  <si>
    <t>37 anys i 6 dies</t>
  </si>
  <si>
    <t>Té un TSI de 6 080 i un sou de 1 080 € a la setmana</t>
  </si>
  <si>
    <t>Té forma insuficient i resistència acceptable [Joc aeri]</t>
  </si>
  <si>
    <t>Té un nivell extraterrestre d'experiència, acceptable de lideratge</t>
  </si>
  <si>
    <t>****+-+b*b   (Defensa lateral)</t>
  </si>
  <si>
    <t>5. Mathias Daucher  [1 amonestació acumulada]</t>
  </si>
  <si>
    <t>32 anys i 76 dies</t>
  </si>
  <si>
    <t>Té un TSI de 134 500 i un sou de 22 152 € a la setmana</t>
  </si>
  <si>
    <t>Té forma notable i resistència notable</t>
  </si>
  <si>
    <t>*******+-+b+b   (Defensa central)</t>
  </si>
  <si>
    <t xml:space="preserve">3. Olli-Heikki Miettinen </t>
  </si>
  <si>
    <t>36 anys i 13 dies</t>
  </si>
  <si>
    <t>Té un TSI de 13 530 i un sou de 3 216 € a la setmana</t>
  </si>
  <si>
    <t>********b+b   (Defensa lateral)</t>
  </si>
  <si>
    <t>9. Vladan Bojanic  [1 amonestació acumulada]</t>
  </si>
  <si>
    <t>36 anys i 9 dies</t>
  </si>
  <si>
    <t>Té un TSI de 5 510 i un sou de 1 092 € a la setmana</t>
  </si>
  <si>
    <t>Té forma acceptable i resistència acceptable [Imprevisible]</t>
  </si>
  <si>
    <t>Té un nivell sobrenatural d'experiència, pobre de lideratge</t>
  </si>
  <si>
    <t>*****+-+b*b+b   (Davanter)</t>
  </si>
  <si>
    <t xml:space="preserve">8. Andriy Kanavets </t>
  </si>
  <si>
    <t>34 anys i 110 dies</t>
  </si>
  <si>
    <t>Té un TSI de 16 450 i un sou de 19 296 € a la setmana</t>
  </si>
  <si>
    <t>Té forma pobre i resistència insuficient [Joc aeri]</t>
  </si>
  <si>
    <t>******+-+b*b   (Mig centre)</t>
  </si>
  <si>
    <t xml:space="preserve">12. Alexey Chunarev </t>
  </si>
  <si>
    <t>33 anys i 93 dies</t>
  </si>
  <si>
    <t>Té un TSI de 23 800 i un sou de 31 020 € a la setmana</t>
  </si>
  <si>
    <t>Té forma horrible i resistència acceptable [Tècnic]</t>
  </si>
  <si>
    <t>Té un nivell excel·lent d'experiència, horrible de lideratge</t>
  </si>
  <si>
    <t>Té un nivell de fidelitat extraterrestre</t>
  </si>
  <si>
    <t>********+b   (Defensa central)</t>
  </si>
  <si>
    <t xml:space="preserve">20. Andrzej Betcher </t>
  </si>
  <si>
    <t>37 anys i 85 dies</t>
  </si>
  <si>
    <t>Té un TSI de 3 190 i un sou de 984 € a la setmana</t>
  </si>
  <si>
    <t>Té forma dèbil i resistència dèbil [Joc aeri]</t>
  </si>
  <si>
    <t>*****b+b   (Defensa lateral)</t>
  </si>
  <si>
    <t xml:space="preserve">13. Cai Horst </t>
  </si>
  <si>
    <t>36 anys i 26 dies</t>
  </si>
  <si>
    <t>Té un TSI de 2 960 i un sou de 1 884 € a la setmana</t>
  </si>
  <si>
    <t>Té forma desastrós i resistència dèbil</t>
  </si>
  <si>
    <t>Té un nivell formidable d'experiència, pobre de lideratge</t>
  </si>
  <si>
    <t>*****+-+b*b   (Porter)</t>
  </si>
  <si>
    <t xml:space="preserve">15. Dani Pairés </t>
  </si>
  <si>
    <t>38 anys i 19 dies</t>
  </si>
  <si>
    <t>Té un TSI de 2 240 i un sou de 660 € a la setmana</t>
  </si>
  <si>
    <t>Té forma pobre i resistència pobre</t>
  </si>
  <si>
    <t>******b*b   (Extrem)</t>
  </si>
  <si>
    <t xml:space="preserve">21. Nigel Salmon </t>
  </si>
  <si>
    <t>29 anys i 81 dies</t>
  </si>
  <si>
    <t>Té un TSI de 80 130 i un sou de 35 892 € a la setmana</t>
  </si>
  <si>
    <t>Té forma pobre i resistència notable [Tècnic]</t>
  </si>
  <si>
    <t>Té un nivell notable d'experiència, desastrós de lideratge</t>
  </si>
  <si>
    <t>Té un nivell de fidelitat classe mundial</t>
  </si>
  <si>
    <t>*********+r   (Davanter)</t>
  </si>
  <si>
    <t xml:space="preserve">16. Radoslaw Szydlowski </t>
  </si>
  <si>
    <t>39 anys i 22 dies</t>
  </si>
  <si>
    <t>Té un TSI de 430 i un sou de 408 € a la setmana</t>
  </si>
  <si>
    <t>Té forma horrible i resistència pobre [Joc aeri]</t>
  </si>
  <si>
    <t>*****b*b   (Extrem)</t>
  </si>
  <si>
    <t xml:space="preserve">17. Robin Wälli </t>
  </si>
  <si>
    <t>33 anys i 101 dies</t>
  </si>
  <si>
    <t>Té un TSI de 26 420 i un sou de 27 336 € a la setmana</t>
  </si>
  <si>
    <t>Té forma dèbil i resistència acceptable [Joc aeri]</t>
  </si>
  <si>
    <t>Té un nivell notable d'experiència, insuficient de lideratge</t>
  </si>
  <si>
    <t>*******+-+b+b   (Mig centre)</t>
  </si>
  <si>
    <t xml:space="preserve">25. Sasha Troia </t>
  </si>
  <si>
    <t>35 anys i 77 dies</t>
  </si>
  <si>
    <t>Té un TSI de 90 i un sou de 396 € a la setmana</t>
  </si>
  <si>
    <t>Té forma dèbil i resistència insuficient</t>
  </si>
  <si>
    <t>Té un nivell pobre d'experiència, dèbil de lideratge</t>
  </si>
  <si>
    <t>***b   (Mig centre)</t>
  </si>
  <si>
    <t xml:space="preserve">2. Sergio Gramatica </t>
  </si>
  <si>
    <t>38 anys i 97 dies</t>
  </si>
  <si>
    <t>Té un TSI de 1 330 i un sou de 816 € a la setmana</t>
  </si>
  <si>
    <t>Té forma dèbil i resistència pobre [Joc aeri]</t>
  </si>
  <si>
    <t>Té un nivell titànic d'experiència, acceptable de lideratge</t>
  </si>
  <si>
    <t>*******+   (Defensa lateral)</t>
  </si>
  <si>
    <t xml:space="preserve">18. Tezozómoc Arciniega </t>
  </si>
  <si>
    <t>36 anys i 110 dies</t>
  </si>
  <si>
    <t>Té un TSI de 1 450 i un sou de 1 092 € a la setmana</t>
  </si>
  <si>
    <t>Té forma dèbil i resistència dèbil [Tècnic]</t>
  </si>
  <si>
    <t>Té un nivell classe mundial d'experiència, insuficient de lideratge</t>
  </si>
  <si>
    <t>*****+-+b*b*b   (Davanter)</t>
  </si>
  <si>
    <t xml:space="preserve">Ratilo Brauser </t>
  </si>
  <si>
    <t>35 anys i 71 dies</t>
  </si>
  <si>
    <t>Té un TSI de 70 i un sou de 336 € a la setmana</t>
  </si>
  <si>
    <t>Té forma pobre i resistència insuficient [Tècnic]</t>
  </si>
  <si>
    <t>Té un nivell dèbil d'experiència, dèbil de lideratge</t>
  </si>
  <si>
    <t>*+   (Defensa central)</t>
  </si>
  <si>
    <t xml:space="preserve">Vlad Vasile </t>
  </si>
  <si>
    <t>34 anys i 67 dies</t>
  </si>
  <si>
    <t>Té un TSI de 80 i un sou de 396 € a la setmana</t>
  </si>
  <si>
    <t>Té un nivell pobre d'experiència, notable de lideratge</t>
  </si>
  <si>
    <t>*+-+b   (Defensa central)</t>
  </si>
  <si>
    <t xml:space="preserve">Davy Vijgen </t>
  </si>
  <si>
    <t>35 anys i 13 dies</t>
  </si>
  <si>
    <t>Té un TSI de 100 i un sou de 324 € a la setmana</t>
  </si>
  <si>
    <t>Té un nivell dèbil d'experiència, acceptable de lideratge</t>
  </si>
  <si>
    <t>**+b   (Defensa central)</t>
  </si>
  <si>
    <t>Alfonso García de Toledo  [Bonificació per club d'origen]</t>
  </si>
  <si>
    <t>26 anys i 18 dies</t>
  </si>
  <si>
    <t>Té un TSI de 680 i un sou de 270 € a la setmana</t>
  </si>
  <si>
    <t>Té forma insuficient i resistència notable [Tècnic]</t>
  </si>
  <si>
    <t>Té un nivell pobre d'experiència, pobre de lideratge</t>
  </si>
  <si>
    <t>****+b   (Davanter)</t>
  </si>
  <si>
    <t>Juan Antonio Sáinz  [Bonificació per club d'origen]</t>
  </si>
  <si>
    <t>22 anys i 6 dies</t>
  </si>
  <si>
    <t>Té un TSI de 290 i un sou de 310 € a la setmana</t>
  </si>
  <si>
    <t>Té forma dèbil i resistència excel·lent [Imprevisible]</t>
  </si>
  <si>
    <t>Té un nivell horrible d'experiència, pobre de lideratge</t>
  </si>
  <si>
    <t>**   (Extrem)</t>
  </si>
  <si>
    <t>Zenón Galvis  [Bonificació per club d'origen]</t>
  </si>
  <si>
    <t>28 anys i 88 dies</t>
  </si>
  <si>
    <t>Té un TSI de 260 i un sou de 290 € a la setmana</t>
  </si>
  <si>
    <t>Té forma horrible i resistència notable</t>
  </si>
  <si>
    <t>Té un nivell horrible d'experiència, desastrós de lideratge</t>
  </si>
  <si>
    <t>**   (Defensa central)</t>
  </si>
  <si>
    <t>Future</t>
  </si>
  <si>
    <t>TL</t>
  </si>
  <si>
    <t>Orienteers</t>
  </si>
  <si>
    <t>AOW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</si>
</sst>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€_-;\-* #,##0.00\ _€_-;_-* &quot;-&quot;??\ _€_-;_-@_-"/>
    <numFmt numFmtId="164" formatCode="0.0%"/>
    <numFmt numFmtId="165" formatCode="0.0000"/>
    <numFmt numFmtId="166" formatCode="_-* #,##0.000\ _€_-;\-* #,##0.000\ _€_-;_-* &quot;-&quot;??\ _€_-;_-@_-"/>
    <numFmt numFmtId="167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Verdana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2">
    <xf numFmtId="0" fontId="0" fillId="0" borderId="0" xfId="0"/>
    <xf numFmtId="0" fontId="0" fillId="0" borderId="0" xfId="0" applyAlignment="1">
      <alignment horizontal="right"/>
    </xf>
    <xf numFmtId="0" fontId="6" fillId="4" borderId="1" xfId="0" applyFont="1" applyFill="1" applyBorder="1" applyAlignment="1">
      <alignment horizontal="right"/>
    </xf>
    <xf numFmtId="2" fontId="4" fillId="0" borderId="1" xfId="0" applyNumberFormat="1" applyFont="1" applyFill="1" applyBorder="1"/>
    <xf numFmtId="2" fontId="5" fillId="0" borderId="1" xfId="0" applyNumberFormat="1" applyFont="1" applyFill="1" applyBorder="1"/>
    <xf numFmtId="0" fontId="6" fillId="5" borderId="1" xfId="0" applyFont="1" applyFill="1" applyBorder="1" applyAlignment="1">
      <alignment horizontal="right"/>
    </xf>
    <xf numFmtId="0" fontId="6" fillId="6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49" fontId="0" fillId="0" borderId="1" xfId="0" applyNumberFormat="1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4" fillId="7" borderId="1" xfId="0" applyNumberFormat="1" applyFont="1" applyFill="1" applyBorder="1" applyAlignment="1">
      <alignment horizontal="center"/>
    </xf>
    <xf numFmtId="0" fontId="0" fillId="0" borderId="0" xfId="0" applyFont="1"/>
    <xf numFmtId="49" fontId="5" fillId="0" borderId="1" xfId="0" applyNumberFormat="1" applyFont="1" applyFill="1" applyBorder="1" applyAlignment="1">
      <alignment horizontal="center"/>
    </xf>
    <xf numFmtId="49" fontId="5" fillId="7" borderId="1" xfId="0" applyNumberFormat="1" applyFont="1" applyFill="1" applyBorder="1" applyAlignment="1">
      <alignment horizontal="center"/>
    </xf>
    <xf numFmtId="0" fontId="0" fillId="0" borderId="0" xfId="0" applyFont="1" applyFill="1" applyBorder="1"/>
    <xf numFmtId="49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ill="1"/>
    <xf numFmtId="0" fontId="3" fillId="7" borderId="1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3" fillId="0" borderId="0" xfId="0" applyNumberFormat="1" applyFont="1"/>
    <xf numFmtId="0" fontId="3" fillId="6" borderId="1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2" applyNumberFormat="1" applyFont="1" applyFill="1" applyBorder="1"/>
    <xf numFmtId="0" fontId="3" fillId="0" borderId="0" xfId="0" applyFont="1" applyFill="1" applyBorder="1" applyAlignment="1">
      <alignment horizontal="center"/>
    </xf>
    <xf numFmtId="9" fontId="0" fillId="0" borderId="0" xfId="0" applyNumberFormat="1"/>
    <xf numFmtId="2" fontId="0" fillId="0" borderId="0" xfId="0" applyNumberFormat="1"/>
    <xf numFmtId="43" fontId="0" fillId="0" borderId="0" xfId="1" applyFont="1"/>
    <xf numFmtId="164" fontId="0" fillId="0" borderId="1" xfId="2" applyNumberFormat="1" applyFont="1" applyFill="1" applyBorder="1" applyAlignment="1">
      <alignment horizontal="center"/>
    </xf>
    <xf numFmtId="0" fontId="3" fillId="7" borderId="3" xfId="0" applyFont="1" applyFill="1" applyBorder="1" applyAlignment="1">
      <alignment horizontal="right"/>
    </xf>
    <xf numFmtId="0" fontId="7" fillId="7" borderId="3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165" fontId="0" fillId="7" borderId="1" xfId="0" applyNumberFormat="1" applyFill="1" applyBorder="1"/>
    <xf numFmtId="165" fontId="0" fillId="7" borderId="1" xfId="0" applyNumberFormat="1" applyFont="1" applyFill="1" applyBorder="1"/>
    <xf numFmtId="165" fontId="0" fillId="7" borderId="3" xfId="0" applyNumberFormat="1" applyFill="1" applyBorder="1"/>
    <xf numFmtId="165" fontId="0" fillId="7" borderId="3" xfId="0" applyNumberFormat="1" applyFont="1" applyFill="1" applyBorder="1"/>
    <xf numFmtId="164" fontId="4" fillId="7" borderId="1" xfId="2" applyNumberFormat="1" applyFont="1" applyFill="1" applyBorder="1"/>
    <xf numFmtId="164" fontId="3" fillId="7" borderId="1" xfId="2" applyNumberFormat="1" applyFont="1" applyFill="1" applyBorder="1"/>
    <xf numFmtId="164" fontId="5" fillId="7" borderId="1" xfId="2" applyNumberFormat="1" applyFont="1" applyFill="1" applyBorder="1"/>
    <xf numFmtId="0" fontId="13" fillId="7" borderId="1" xfId="0" applyFont="1" applyFill="1" applyBorder="1"/>
    <xf numFmtId="0" fontId="14" fillId="7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right" wrapText="1"/>
    </xf>
    <xf numFmtId="2" fontId="4" fillId="0" borderId="1" xfId="0" applyNumberFormat="1" applyFont="1" applyFill="1" applyBorder="1" applyAlignment="1">
      <alignment wrapText="1"/>
    </xf>
    <xf numFmtId="0" fontId="2" fillId="0" borderId="1" xfId="0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wrapText="1"/>
    </xf>
    <xf numFmtId="0" fontId="12" fillId="0" borderId="1" xfId="0" applyFont="1" applyFill="1" applyBorder="1" applyAlignment="1">
      <alignment horizontal="right"/>
    </xf>
    <xf numFmtId="167" fontId="11" fillId="2" borderId="1" xfId="0" applyNumberFormat="1" applyFont="1" applyFill="1" applyBorder="1"/>
    <xf numFmtId="167" fontId="11" fillId="3" borderId="1" xfId="0" applyNumberFormat="1" applyFont="1" applyFill="1" applyBorder="1"/>
    <xf numFmtId="166" fontId="0" fillId="3" borderId="1" xfId="1" applyNumberFormat="1" applyFont="1" applyFill="1" applyBorder="1"/>
    <xf numFmtId="166" fontId="0" fillId="0" borderId="0" xfId="1" applyNumberFormat="1" applyFont="1"/>
    <xf numFmtId="164" fontId="3" fillId="2" borderId="1" xfId="2" applyNumberFormat="1" applyFont="1" applyFill="1" applyBorder="1"/>
    <xf numFmtId="164" fontId="3" fillId="3" borderId="1" xfId="2" applyNumberFormat="1" applyFont="1" applyFill="1" applyBorder="1"/>
    <xf numFmtId="9" fontId="1" fillId="2" borderId="1" xfId="2" applyFont="1" applyFill="1" applyBorder="1"/>
    <xf numFmtId="9" fontId="1" fillId="3" borderId="1" xfId="2" applyFont="1" applyFill="1" applyBorder="1"/>
    <xf numFmtId="9" fontId="11" fillId="2" borderId="1" xfId="2" applyFont="1" applyFill="1" applyBorder="1"/>
    <xf numFmtId="9" fontId="11" fillId="3" borderId="3" xfId="2" applyFont="1" applyFill="1" applyBorder="1"/>
    <xf numFmtId="167" fontId="4" fillId="7" borderId="1" xfId="0" applyNumberFormat="1" applyFont="1" applyFill="1" applyBorder="1" applyAlignment="1">
      <alignment horizontal="center"/>
    </xf>
    <xf numFmtId="167" fontId="4" fillId="0" borderId="1" xfId="0" applyNumberFormat="1" applyFont="1" applyFill="1" applyBorder="1" applyAlignment="1">
      <alignment horizontal="center"/>
    </xf>
    <xf numFmtId="167" fontId="5" fillId="7" borderId="1" xfId="0" applyNumberFormat="1" applyFont="1" applyFill="1" applyBorder="1" applyAlignment="1">
      <alignment horizontal="center"/>
    </xf>
    <xf numFmtId="167" fontId="5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1" xfId="1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2" applyNumberFormat="1" applyFont="1" applyBorder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2" borderId="1" xfId="1" applyNumberFormat="1" applyFont="1" applyFill="1" applyBorder="1"/>
    <xf numFmtId="164" fontId="0" fillId="0" borderId="0" xfId="2" applyNumberFormat="1" applyFont="1" applyFill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43" fontId="0" fillId="0" borderId="1" xfId="1" applyFont="1" applyBorder="1" applyAlignment="1">
      <alignment horizontal="center"/>
    </xf>
    <xf numFmtId="43" fontId="0" fillId="0" borderId="1" xfId="1" applyNumberFormat="1" applyFont="1" applyBorder="1" applyAlignment="1">
      <alignment horizontal="center"/>
    </xf>
    <xf numFmtId="43" fontId="0" fillId="0" borderId="0" xfId="1" applyNumberFormat="1" applyFont="1"/>
    <xf numFmtId="43" fontId="0" fillId="0" borderId="0" xfId="0" applyNumberFormat="1"/>
    <xf numFmtId="166" fontId="0" fillId="0" borderId="0" xfId="0" applyNumberFormat="1"/>
    <xf numFmtId="0" fontId="3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3" fillId="0" borderId="6" xfId="2" applyNumberFormat="1" applyFont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164" fontId="3" fillId="0" borderId="8" xfId="2" applyNumberFormat="1" applyFont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164" fontId="3" fillId="0" borderId="12" xfId="2" applyNumberFormat="1" applyFont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0" fontId="3" fillId="6" borderId="15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/>
    </xf>
    <xf numFmtId="164" fontId="0" fillId="0" borderId="0" xfId="0" applyNumberFormat="1"/>
    <xf numFmtId="164" fontId="15" fillId="10" borderId="0" xfId="0" applyNumberFormat="1" applyFont="1" applyFill="1"/>
    <xf numFmtId="0" fontId="0" fillId="9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16" fillId="11" borderId="18" xfId="0" applyFont="1" applyFill="1" applyBorder="1" applyAlignment="1">
      <alignment horizontal="left" vertical="top" wrapText="1"/>
    </xf>
    <xf numFmtId="0" fontId="16" fillId="5" borderId="18" xfId="0" applyFont="1" applyFill="1" applyBorder="1" applyAlignment="1">
      <alignment horizontal="left" vertical="top" wrapText="1"/>
    </xf>
    <xf numFmtId="0" fontId="16" fillId="12" borderId="18" xfId="0" applyFont="1" applyFill="1" applyBorder="1" applyAlignment="1">
      <alignment horizontal="left" vertical="top" wrapText="1"/>
    </xf>
    <xf numFmtId="49" fontId="16" fillId="12" borderId="18" xfId="0" applyNumberFormat="1" applyFont="1" applyFill="1" applyBorder="1" applyAlignment="1">
      <alignment horizontal="left" vertical="top" wrapText="1"/>
    </xf>
    <xf numFmtId="0" fontId="16" fillId="13" borderId="18" xfId="0" applyFont="1" applyFill="1" applyBorder="1" applyAlignment="1">
      <alignment horizontal="left" vertical="top" wrapText="1"/>
    </xf>
    <xf numFmtId="9" fontId="0" fillId="2" borderId="3" xfId="2" applyNumberFormat="1" applyFont="1" applyFill="1" applyBorder="1"/>
    <xf numFmtId="9" fontId="0" fillId="3" borderId="1" xfId="2" applyNumberFormat="1" applyFont="1" applyFill="1" applyBorder="1"/>
    <xf numFmtId="9" fontId="7" fillId="2" borderId="1" xfId="2" applyNumberFormat="1" applyFont="1" applyFill="1" applyBorder="1"/>
    <xf numFmtId="9" fontId="7" fillId="3" borderId="1" xfId="2" applyNumberFormat="1" applyFont="1" applyFill="1" applyBorder="1"/>
    <xf numFmtId="9" fontId="4" fillId="0" borderId="1" xfId="2" applyNumberFormat="1" applyFont="1" applyFill="1" applyBorder="1"/>
    <xf numFmtId="9" fontId="5" fillId="0" borderId="1" xfId="2" applyNumberFormat="1" applyFont="1" applyFill="1" applyBorder="1"/>
    <xf numFmtId="9" fontId="0" fillId="2" borderId="1" xfId="2" applyNumberFormat="1" applyFont="1" applyFill="1" applyBorder="1"/>
    <xf numFmtId="0" fontId="17" fillId="0" borderId="2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4" fillId="0" borderId="19" xfId="0" applyFont="1" applyBorder="1" applyAlignment="1">
      <alignment horizontal="center"/>
    </xf>
    <xf numFmtId="164" fontId="4" fillId="0" borderId="20" xfId="2" applyNumberFormat="1" applyFont="1" applyBorder="1" applyAlignment="1">
      <alignment horizontal="center"/>
    </xf>
    <xf numFmtId="164" fontId="4" fillId="0" borderId="6" xfId="2" applyNumberFormat="1" applyFont="1" applyBorder="1" applyAlignment="1">
      <alignment horizontal="center"/>
    </xf>
    <xf numFmtId="164" fontId="4" fillId="0" borderId="8" xfId="2" applyNumberFormat="1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164" fontId="5" fillId="0" borderId="20" xfId="2" applyNumberFormat="1" applyFont="1" applyBorder="1" applyAlignment="1">
      <alignment horizontal="center"/>
    </xf>
    <xf numFmtId="164" fontId="5" fillId="0" borderId="6" xfId="2" applyNumberFormat="1" applyFont="1" applyBorder="1" applyAlignment="1">
      <alignment horizontal="center"/>
    </xf>
    <xf numFmtId="164" fontId="5" fillId="0" borderId="8" xfId="2" applyNumberFormat="1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166" fontId="0" fillId="0" borderId="9" xfId="1" applyNumberFormat="1" applyFont="1" applyBorder="1" applyAlignment="1">
      <alignment horizontal="center"/>
    </xf>
    <xf numFmtId="164" fontId="3" fillId="9" borderId="4" xfId="2" applyNumberFormat="1" applyFont="1" applyFill="1" applyBorder="1" applyAlignment="1">
      <alignment horizontal="center"/>
    </xf>
    <xf numFmtId="164" fontId="0" fillId="0" borderId="4" xfId="2" applyNumberFormat="1" applyFont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6" borderId="9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3" fillId="6" borderId="20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7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5" fillId="7" borderId="1" xfId="0" applyNumberFormat="1" applyFont="1" applyFill="1" applyBorder="1" applyAlignment="1">
      <alignment horizontal="center"/>
    </xf>
    <xf numFmtId="0" fontId="3" fillId="9" borderId="0" xfId="0" applyFont="1" applyFill="1" applyAlignment="1">
      <alignment horizontal="right"/>
    </xf>
    <xf numFmtId="0" fontId="0" fillId="9" borderId="0" xfId="0" applyFill="1" applyAlignment="1">
      <alignment horizontal="center"/>
    </xf>
    <xf numFmtId="0" fontId="0" fillId="0" borderId="1" xfId="0" applyBorder="1"/>
    <xf numFmtId="166" fontId="0" fillId="0" borderId="0" xfId="0" applyNumberFormat="1" applyAlignment="1">
      <alignment horizontal="right"/>
    </xf>
    <xf numFmtId="10" fontId="0" fillId="8" borderId="0" xfId="2" applyNumberFormat="1" applyFont="1" applyFill="1"/>
    <xf numFmtId="164" fontId="0" fillId="0" borderId="0" xfId="2" applyNumberFormat="1" applyFont="1"/>
    <xf numFmtId="0" fontId="4" fillId="7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164" fontId="0" fillId="8" borderId="1" xfId="2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10" fillId="0" borderId="1" xfId="0" applyFont="1" applyBorder="1" applyAlignment="1">
      <alignment horizontal="center"/>
    </xf>
    <xf numFmtId="0" fontId="3" fillId="0" borderId="0" xfId="0" applyFont="1" applyFill="1" applyAlignment="1">
      <alignment horizontal="right"/>
    </xf>
    <xf numFmtId="0" fontId="0" fillId="0" borderId="0" xfId="0" applyFill="1" applyAlignment="1">
      <alignment horizontal="center"/>
    </xf>
    <xf numFmtId="49" fontId="5" fillId="14" borderId="1" xfId="0" applyNumberFormat="1" applyFont="1" applyFill="1" applyBorder="1" applyAlignment="1">
      <alignment horizontal="center"/>
    </xf>
    <xf numFmtId="49" fontId="4" fillId="14" borderId="1" xfId="0" applyNumberFormat="1" applyFont="1" applyFill="1" applyBorder="1" applyAlignment="1">
      <alignment horizontal="center"/>
    </xf>
    <xf numFmtId="0" fontId="5" fillId="14" borderId="2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2" fontId="4" fillId="14" borderId="1" xfId="0" applyNumberFormat="1" applyFont="1" applyFill="1" applyBorder="1"/>
    <xf numFmtId="2" fontId="5" fillId="14" borderId="1" xfId="0" applyNumberFormat="1" applyFont="1" applyFill="1" applyBorder="1"/>
    <xf numFmtId="2" fontId="4" fillId="14" borderId="1" xfId="0" applyNumberFormat="1" applyFont="1" applyFill="1" applyBorder="1" applyAlignment="1">
      <alignment wrapText="1"/>
    </xf>
    <xf numFmtId="2" fontId="5" fillId="14" borderId="1" xfId="0" applyNumberFormat="1" applyFont="1" applyFill="1" applyBorder="1" applyAlignment="1">
      <alignment wrapText="1"/>
    </xf>
    <xf numFmtId="0" fontId="2" fillId="14" borderId="1" xfId="0" applyFont="1" applyFill="1" applyBorder="1" applyAlignment="1">
      <alignment horizontal="right"/>
    </xf>
    <xf numFmtId="0" fontId="12" fillId="14" borderId="1" xfId="0" applyFont="1" applyFill="1" applyBorder="1" applyAlignment="1">
      <alignment horizontal="right"/>
    </xf>
    <xf numFmtId="9" fontId="4" fillId="14" borderId="1" xfId="2" applyNumberFormat="1" applyFont="1" applyFill="1" applyBorder="1"/>
    <xf numFmtId="9" fontId="5" fillId="14" borderId="1" xfId="2" applyNumberFormat="1" applyFont="1" applyFill="1" applyBorder="1"/>
    <xf numFmtId="165" fontId="0" fillId="0" borderId="1" xfId="0" applyNumberFormat="1" applyFill="1" applyBorder="1"/>
    <xf numFmtId="165" fontId="0" fillId="0" borderId="1" xfId="0" applyNumberFormat="1" applyFont="1" applyFill="1" applyBorder="1"/>
    <xf numFmtId="165" fontId="0" fillId="0" borderId="3" xfId="0" applyNumberFormat="1" applyFill="1" applyBorder="1"/>
    <xf numFmtId="165" fontId="0" fillId="0" borderId="3" xfId="0" applyNumberFormat="1" applyFont="1" applyFill="1" applyBorder="1"/>
    <xf numFmtId="164" fontId="4" fillId="0" borderId="1" xfId="2" applyNumberFormat="1" applyFont="1" applyFill="1" applyBorder="1"/>
    <xf numFmtId="164" fontId="3" fillId="0" borderId="1" xfId="2" applyNumberFormat="1" applyFont="1" applyFill="1" applyBorder="1"/>
    <xf numFmtId="164" fontId="4" fillId="0" borderId="0" xfId="2" applyNumberFormat="1" applyFont="1" applyFill="1" applyBorder="1"/>
    <xf numFmtId="164" fontId="3" fillId="0" borderId="0" xfId="2" applyNumberFormat="1" applyFont="1" applyFill="1" applyBorder="1"/>
    <xf numFmtId="164" fontId="5" fillId="0" borderId="1" xfId="2" applyNumberFormat="1" applyFont="1" applyFill="1" applyBorder="1"/>
    <xf numFmtId="164" fontId="5" fillId="0" borderId="0" xfId="2" applyNumberFormat="1" applyFont="1" applyFill="1" applyBorder="1"/>
    <xf numFmtId="0" fontId="13" fillId="8" borderId="1" xfId="0" applyFont="1" applyFill="1" applyBorder="1"/>
    <xf numFmtId="0" fontId="14" fillId="8" borderId="1" xfId="0" applyFont="1" applyFill="1" applyBorder="1"/>
    <xf numFmtId="0" fontId="3" fillId="8" borderId="1" xfId="0" applyFont="1" applyFill="1" applyBorder="1" applyAlignment="1">
      <alignment horizontal="right"/>
    </xf>
    <xf numFmtId="0" fontId="3" fillId="8" borderId="1" xfId="0" applyFont="1" applyFill="1" applyBorder="1" applyAlignment="1">
      <alignment horizontal="right" wrapText="1"/>
    </xf>
    <xf numFmtId="0" fontId="3" fillId="8" borderId="3" xfId="0" applyFont="1" applyFill="1" applyBorder="1" applyAlignment="1">
      <alignment horizontal="right"/>
    </xf>
    <xf numFmtId="0" fontId="7" fillId="8" borderId="3" xfId="0" applyFont="1" applyFill="1" applyBorder="1" applyAlignment="1">
      <alignment horizontal="right"/>
    </xf>
    <xf numFmtId="0" fontId="3" fillId="8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9" borderId="21" xfId="0" applyFill="1" applyBorder="1" applyAlignment="1">
      <alignment horizontal="center"/>
    </xf>
    <xf numFmtId="0" fontId="0" fillId="0" borderId="21" xfId="0" applyBorder="1" applyAlignment="1">
      <alignment horizontal="center"/>
    </xf>
  </cellXfs>
  <cellStyles count="3">
    <cellStyle name="Millares" xfId="1" builtinId="3"/>
    <cellStyle name="Normal" xfId="0" builtinId="0"/>
    <cellStyle name="Porcentaje" xfId="2" builtinId="5"/>
  </cellStyles>
  <dxfs count="84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effectLst>
              <a:outerShdw blurRad="50800" dist="50800" dir="5400000" algn="ctr" rotWithShape="0">
                <a:srgbClr val="FF0000"/>
              </a:outerShdw>
            </a:effectLst>
          </c:spPr>
          <c:marker>
            <c:symbol val="square"/>
            <c:size val="5"/>
            <c:spPr>
              <a:ln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rgbClr val="FF0000"/>
                </a:outerShdw>
              </a:effectLst>
            </c:spPr>
          </c:marker>
          <c:cat>
            <c:numRef>
              <c:f>'Marmota-VADER'!$G$25:$G$35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'Marmota-VADER'!$H$25:$H$35</c:f>
              <c:numCache>
                <c:formatCode>0.0%</c:formatCode>
                <c:ptCount val="11"/>
                <c:pt idx="0">
                  <c:v>6.8612772326054922E-2</c:v>
                </c:pt>
                <c:pt idx="1">
                  <c:v>0.20686247267775548</c:v>
                </c:pt>
                <c:pt idx="2">
                  <c:v>0.28314745179590095</c:v>
                </c:pt>
                <c:pt idx="3">
                  <c:v>0.23478948459689139</c:v>
                </c:pt>
                <c:pt idx="4">
                  <c:v>0.1322986404672595</c:v>
                </c:pt>
                <c:pt idx="5">
                  <c:v>5.369669280111701E-2</c:v>
                </c:pt>
                <c:pt idx="6">
                  <c:v>1.6193006430290147E-2</c:v>
                </c:pt>
                <c:pt idx="7">
                  <c:v>3.6799629748153271E-3</c:v>
                </c:pt>
                <c:pt idx="8">
                  <c:v>6.3090167685434233E-4</c:v>
                </c:pt>
                <c:pt idx="9">
                  <c:v>8.0644369874714687E-5</c:v>
                </c:pt>
                <c:pt idx="10">
                  <c:v>7.4746606963025232E-6</c:v>
                </c:pt>
              </c:numCache>
            </c:numRef>
          </c:val>
          <c:smooth val="0"/>
        </c:ser>
        <c:ser>
          <c:idx val="1"/>
          <c:order val="1"/>
          <c:spPr>
            <a:ln>
              <a:solidFill>
                <a:srgbClr val="00B050"/>
              </a:solidFill>
            </a:ln>
            <a:effectLst>
              <a:outerShdw blurRad="50800" dist="50800" dir="5400000" algn="ctr" rotWithShape="0">
                <a:srgbClr val="00B050"/>
              </a:outerShdw>
            </a:effectLst>
          </c:spPr>
          <c:marker>
            <c:spPr>
              <a:effectLst>
                <a:outerShdw blurRad="50800" dist="50800" dir="5400000" algn="ctr" rotWithShape="0">
                  <a:srgbClr val="00B050"/>
                </a:outerShdw>
              </a:effectLst>
            </c:spPr>
          </c:marker>
          <c:val>
            <c:numRef>
              <c:f>'Marmota-VADER'!$H$39:$H$49</c:f>
              <c:numCache>
                <c:formatCode>0.0%</c:formatCode>
                <c:ptCount val="11"/>
                <c:pt idx="0">
                  <c:v>3.4119755518289704E-2</c:v>
                </c:pt>
                <c:pt idx="1">
                  <c:v>0.13201636433701228</c:v>
                </c:pt>
                <c:pt idx="2">
                  <c:v>0.23507698701714813</c:v>
                </c:pt>
                <c:pt idx="3">
                  <c:v>0.25522666861030896</c:v>
                </c:pt>
                <c:pt idx="4">
                  <c:v>0.18866328746430425</c:v>
                </c:pt>
                <c:pt idx="5">
                  <c:v>0.10038247575520499</c:v>
                </c:pt>
                <c:pt idx="6">
                  <c:v>3.9613959554534492E-2</c:v>
                </c:pt>
                <c:pt idx="7">
                  <c:v>1.1763964577533233E-2</c:v>
                </c:pt>
                <c:pt idx="8">
                  <c:v>2.6359978487499442E-3</c:v>
                </c:pt>
                <c:pt idx="9">
                  <c:v>4.4168170757316323E-4</c:v>
                </c:pt>
                <c:pt idx="10">
                  <c:v>5.4017587400318064E-5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648376"/>
        <c:axId val="289644456"/>
      </c:lineChart>
      <c:catAx>
        <c:axId val="289648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9644456"/>
        <c:crosses val="autoZero"/>
        <c:auto val="1"/>
        <c:lblAlgn val="ctr"/>
        <c:lblOffset val="100"/>
        <c:noMultiLvlLbl val="0"/>
      </c:catAx>
      <c:valAx>
        <c:axId val="289644456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896483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88" l="0.70000000000000062" r="0.70000000000000062" t="0.7500000000000138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FF00"/>
              </a:solidFill>
            </c:spPr>
          </c:dPt>
          <c:dPt>
            <c:idx val="1"/>
            <c:bubble3D val="0"/>
            <c:spPr>
              <a:solidFill>
                <a:srgbClr val="00B050"/>
              </a:solidFill>
            </c:spPr>
          </c:dPt>
          <c:dPt>
            <c:idx val="2"/>
            <c:bubble3D val="0"/>
            <c:spPr>
              <a:solidFill>
                <a:srgbClr val="FF0000"/>
              </a:solidFill>
            </c:spPr>
          </c:dPt>
          <c:val>
            <c:numRef>
              <c:f>'Marmota-VADER'!$B$37:$B$39</c:f>
              <c:numCache>
                <c:formatCode>0.0%</c:formatCode>
                <c:ptCount val="3"/>
                <c:pt idx="0">
                  <c:v>0.18717283294113982</c:v>
                </c:pt>
                <c:pt idx="1">
                  <c:v>0.51319688513462347</c:v>
                </c:pt>
                <c:pt idx="2">
                  <c:v>0.29961747246144743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000000000001388" l="0.70000000000000062" r="0.70000000000000062" t="0.7500000000000138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effectLst>
              <a:outerShdw blurRad="50800" dist="50800" dir="5400000" algn="ctr" rotWithShape="0">
                <a:srgbClr val="FF0000"/>
              </a:outerShdw>
            </a:effectLst>
          </c:spPr>
          <c:marker>
            <c:symbol val="square"/>
            <c:size val="5"/>
            <c:spPr>
              <a:ln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rgbClr val="FF0000"/>
                </a:outerShdw>
              </a:effectLst>
            </c:spPr>
          </c:marker>
          <c:cat>
            <c:numRef>
              <c:f>'Future-VADER'!$G$25:$G$35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'Future-VADER'!$H$25:$H$35</c:f>
              <c:numCache>
                <c:formatCode>0.0%</c:formatCode>
                <c:ptCount val="11"/>
                <c:pt idx="0">
                  <c:v>0.12490549141861215</c:v>
                </c:pt>
                <c:pt idx="1">
                  <c:v>0.35928905704014591</c:v>
                </c:pt>
                <c:pt idx="2">
                  <c:v>0.31554575612972641</c:v>
                </c:pt>
                <c:pt idx="3">
                  <c:v>0.1467343390442872</c:v>
                </c:pt>
                <c:pt idx="4">
                  <c:v>4.3275542807632468E-2</c:v>
                </c:pt>
                <c:pt idx="5">
                  <c:v>8.8061061078192771E-3</c:v>
                </c:pt>
                <c:pt idx="6">
                  <c:v>1.292065323352671E-3</c:v>
                </c:pt>
                <c:pt idx="7">
                  <c:v>1.397354398974648E-4</c:v>
                </c:pt>
                <c:pt idx="8">
                  <c:v>1.1214374364131445E-5</c:v>
                </c:pt>
                <c:pt idx="9">
                  <c:v>6.6323184662914851E-7</c:v>
                </c:pt>
                <c:pt idx="10">
                  <c:v>2.8242461556234506E-8</c:v>
                </c:pt>
              </c:numCache>
            </c:numRef>
          </c:val>
          <c:smooth val="0"/>
        </c:ser>
        <c:ser>
          <c:idx val="1"/>
          <c:order val="1"/>
          <c:spPr>
            <a:ln>
              <a:solidFill>
                <a:srgbClr val="00B050"/>
              </a:solidFill>
            </a:ln>
            <a:effectLst>
              <a:outerShdw blurRad="50800" dist="50800" dir="5400000" algn="ctr" rotWithShape="0">
                <a:srgbClr val="00B050"/>
              </a:outerShdw>
            </a:effectLst>
          </c:spPr>
          <c:marker>
            <c:spPr>
              <a:effectLst>
                <a:outerShdw blurRad="50800" dist="50800" dir="5400000" algn="ctr" rotWithShape="0">
                  <a:srgbClr val="00B050"/>
                </a:outerShdw>
              </a:effectLst>
            </c:spPr>
          </c:marker>
          <c:val>
            <c:numRef>
              <c:f>'Future-VADER'!$H$39:$H$49</c:f>
              <c:numCache>
                <c:formatCode>0.0%</c:formatCode>
                <c:ptCount val="11"/>
                <c:pt idx="0">
                  <c:v>0.13197497060529367</c:v>
                </c:pt>
                <c:pt idx="1">
                  <c:v>0.29170779159164267</c:v>
                </c:pt>
                <c:pt idx="2">
                  <c:v>0.29369229031776012</c:v>
                </c:pt>
                <c:pt idx="3">
                  <c:v>0.17956201682165113</c:v>
                </c:pt>
                <c:pt idx="4">
                  <c:v>7.4713512727550044E-2</c:v>
                </c:pt>
                <c:pt idx="5">
                  <c:v>2.2405471615136556E-2</c:v>
                </c:pt>
                <c:pt idx="6">
                  <c:v>4.9907770390242622E-3</c:v>
                </c:pt>
                <c:pt idx="7">
                  <c:v>8.3685370612380703E-4</c:v>
                </c:pt>
                <c:pt idx="8">
                  <c:v>1.0567986714236349E-4</c:v>
                </c:pt>
                <c:pt idx="9">
                  <c:v>9.9286698767633333E-6</c:v>
                </c:pt>
                <c:pt idx="10">
                  <c:v>6.7470456432685965E-7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651120"/>
        <c:axId val="289647984"/>
      </c:lineChart>
      <c:catAx>
        <c:axId val="289651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9647984"/>
        <c:crosses val="autoZero"/>
        <c:auto val="1"/>
        <c:lblAlgn val="ctr"/>
        <c:lblOffset val="100"/>
        <c:noMultiLvlLbl val="0"/>
      </c:catAx>
      <c:valAx>
        <c:axId val="289647984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89651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88" l="0.70000000000000062" r="0.70000000000000062" t="0.7500000000000138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FF00"/>
              </a:solidFill>
            </c:spPr>
          </c:dPt>
          <c:dPt>
            <c:idx val="1"/>
            <c:bubble3D val="0"/>
            <c:spPr>
              <a:solidFill>
                <a:srgbClr val="00B050"/>
              </a:solidFill>
            </c:spPr>
          </c:dPt>
          <c:dPt>
            <c:idx val="2"/>
            <c:bubble3D val="0"/>
            <c:spPr>
              <a:solidFill>
                <a:srgbClr val="FF0000"/>
              </a:solidFill>
            </c:spPr>
          </c:dPt>
          <c:val>
            <c:numRef>
              <c:f>'Future-VADER'!$B$37:$B$39</c:f>
              <c:numCache>
                <c:formatCode>0.0%</c:formatCode>
                <c:ptCount val="3"/>
                <c:pt idx="0">
                  <c:v>0.24375022492280413</c:v>
                </c:pt>
                <c:pt idx="1">
                  <c:v>0.42124045890314737</c:v>
                </c:pt>
                <c:pt idx="2">
                  <c:v>0.33500925475751858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000000000001388" l="0.70000000000000062" r="0.70000000000000062" t="0.7500000000000138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effectLst>
              <a:outerShdw blurRad="50800" dist="50800" dir="5400000" algn="ctr" rotWithShape="0">
                <a:srgbClr val="FF0000"/>
              </a:outerShdw>
            </a:effectLst>
          </c:spPr>
          <c:marker>
            <c:symbol val="square"/>
            <c:size val="5"/>
            <c:spPr>
              <a:ln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rgbClr val="FF0000"/>
                </a:outerShdw>
              </a:effectLst>
            </c:spPr>
          </c:marker>
          <c:cat>
            <c:numRef>
              <c:f>'OBIWAN-Orinteers'!$G$25:$G$35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'OBIWAN-Orinteers'!$H$25:$H$35</c:f>
              <c:numCache>
                <c:formatCode>0.0%</c:formatCode>
                <c:ptCount val="11"/>
                <c:pt idx="0">
                  <c:v>0.11241879518833622</c:v>
                </c:pt>
                <c:pt idx="1">
                  <c:v>0.2672553606560451</c:v>
                </c:pt>
                <c:pt idx="2">
                  <c:v>0.2933215853276675</c:v>
                </c:pt>
                <c:pt idx="3">
                  <c:v>0.1970704199929163</c:v>
                </c:pt>
                <c:pt idx="4">
                  <c:v>9.0600685564830155E-2</c:v>
                </c:pt>
                <c:pt idx="5">
                  <c:v>3.0172108855274021E-2</c:v>
                </c:pt>
                <c:pt idx="6">
                  <c:v>7.5112598745292122E-3</c:v>
                </c:pt>
                <c:pt idx="7">
                  <c:v>1.4205312798382845E-3</c:v>
                </c:pt>
                <c:pt idx="8">
                  <c:v>2.049544165122692E-4</c:v>
                </c:pt>
                <c:pt idx="9">
                  <c:v>2.238453200215951E-5</c:v>
                </c:pt>
                <c:pt idx="10">
                  <c:v>1.8077313396289465E-6</c:v>
                </c:pt>
              </c:numCache>
            </c:numRef>
          </c:val>
          <c:smooth val="0"/>
        </c:ser>
        <c:ser>
          <c:idx val="1"/>
          <c:order val="1"/>
          <c:spPr>
            <a:ln>
              <a:solidFill>
                <a:srgbClr val="00B050"/>
              </a:solidFill>
            </a:ln>
            <a:effectLst>
              <a:outerShdw blurRad="50800" dist="50800" dir="5400000" algn="ctr" rotWithShape="0">
                <a:srgbClr val="00B050"/>
              </a:outerShdw>
            </a:effectLst>
          </c:spPr>
          <c:marker>
            <c:spPr>
              <a:effectLst>
                <a:outerShdw blurRad="50800" dist="50800" dir="5400000" algn="ctr" rotWithShape="0">
                  <a:srgbClr val="00B050"/>
                </a:outerShdw>
              </a:effectLst>
            </c:spPr>
          </c:marker>
          <c:val>
            <c:numRef>
              <c:f>'OBIWAN-Orinteers'!$H$39:$H$49</c:f>
              <c:numCache>
                <c:formatCode>0.0%</c:formatCode>
                <c:ptCount val="11"/>
                <c:pt idx="0">
                  <c:v>4.500009553378749E-2</c:v>
                </c:pt>
                <c:pt idx="1">
                  <c:v>0.17440341012484778</c:v>
                </c:pt>
                <c:pt idx="2">
                  <c:v>0.27939222760487059</c:v>
                </c:pt>
                <c:pt idx="3">
                  <c:v>0.25679059778017815</c:v>
                </c:pt>
                <c:pt idx="4">
                  <c:v>0.15440780584476341</c:v>
                </c:pt>
                <c:pt idx="5">
                  <c:v>6.4923090530752542E-2</c:v>
                </c:pt>
                <c:pt idx="6">
                  <c:v>1.9789195142879523E-2</c:v>
                </c:pt>
                <c:pt idx="7">
                  <c:v>4.45171503721977E-3</c:v>
                </c:pt>
                <c:pt idx="8">
                  <c:v>7.4236113391633969E-4</c:v>
                </c:pt>
                <c:pt idx="9">
                  <c:v>9.1000305034114154E-5</c:v>
                </c:pt>
                <c:pt idx="10">
                  <c:v>8.0027159045232213E-6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649552"/>
        <c:axId val="289639752"/>
      </c:lineChart>
      <c:catAx>
        <c:axId val="289649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9639752"/>
        <c:crosses val="autoZero"/>
        <c:auto val="1"/>
        <c:lblAlgn val="ctr"/>
        <c:lblOffset val="100"/>
        <c:noMultiLvlLbl val="0"/>
      </c:catAx>
      <c:valAx>
        <c:axId val="28963975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89649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88" l="0.70000000000000062" r="0.70000000000000062" t="0.75000000000001388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FF00"/>
              </a:solidFill>
            </c:spPr>
          </c:dPt>
          <c:dPt>
            <c:idx val="1"/>
            <c:bubble3D val="0"/>
            <c:spPr>
              <a:solidFill>
                <a:srgbClr val="00B050"/>
              </a:solidFill>
            </c:spPr>
          </c:dPt>
          <c:dPt>
            <c:idx val="2"/>
            <c:bubble3D val="0"/>
            <c:spPr>
              <a:solidFill>
                <a:srgbClr val="FF0000"/>
              </a:solidFill>
            </c:spPr>
          </c:dPt>
          <c:val>
            <c:numRef>
              <c:f>'OBIWAN-Orinteers'!$B$37:$B$39</c:f>
              <c:numCache>
                <c:formatCode>0.0%</c:formatCode>
                <c:ptCount val="3"/>
                <c:pt idx="0">
                  <c:v>0.20033014429024534</c:v>
                </c:pt>
                <c:pt idx="1">
                  <c:v>0.52044915089817578</c:v>
                </c:pt>
                <c:pt idx="2">
                  <c:v>0.279218292269105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000000000001388" l="0.70000000000000062" r="0.70000000000000062" t="0.7500000000000138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effectLst>
              <a:outerShdw blurRad="50800" dist="50800" dir="5400000" algn="ctr" rotWithShape="0">
                <a:srgbClr val="FF0000"/>
              </a:outerShdw>
            </a:effectLst>
          </c:spPr>
          <c:marker>
            <c:symbol val="square"/>
            <c:size val="5"/>
            <c:spPr>
              <a:ln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rgbClr val="FF0000"/>
                </a:outerShdw>
              </a:effectLst>
            </c:spPr>
          </c:marker>
          <c:cat>
            <c:numRef>
              <c:f>SIMULADOR!$G$25:$G$35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SIMULADOR!$H$25:$H$35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1"/>
          <c:spPr>
            <a:ln>
              <a:solidFill>
                <a:srgbClr val="00B050"/>
              </a:solidFill>
            </a:ln>
            <a:effectLst>
              <a:outerShdw blurRad="50800" dist="50800" dir="5400000" algn="ctr" rotWithShape="0">
                <a:srgbClr val="00B050"/>
              </a:outerShdw>
            </a:effectLst>
          </c:spPr>
          <c:marker>
            <c:spPr>
              <a:effectLst>
                <a:outerShdw blurRad="50800" dist="50800" dir="5400000" algn="ctr" rotWithShape="0">
                  <a:srgbClr val="00B050"/>
                </a:outerShdw>
              </a:effectLst>
            </c:spPr>
          </c:marker>
          <c:val>
            <c:numRef>
              <c:f>SIMULADOR!$H$39:$H$49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9655432"/>
        <c:axId val="289653472"/>
      </c:lineChart>
      <c:catAx>
        <c:axId val="289655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9653472"/>
        <c:crosses val="autoZero"/>
        <c:auto val="1"/>
        <c:lblAlgn val="ctr"/>
        <c:lblOffset val="100"/>
        <c:noMultiLvlLbl val="0"/>
      </c:catAx>
      <c:valAx>
        <c:axId val="289653472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289655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88" l="0.70000000000000062" r="0.70000000000000062" t="0.75000000000001388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FF00"/>
              </a:solidFill>
            </c:spPr>
          </c:dPt>
          <c:dPt>
            <c:idx val="1"/>
            <c:bubble3D val="0"/>
            <c:spPr>
              <a:solidFill>
                <a:srgbClr val="00B050"/>
              </a:solidFill>
            </c:spPr>
          </c:dPt>
          <c:dPt>
            <c:idx val="2"/>
            <c:bubble3D val="0"/>
            <c:spPr>
              <a:solidFill>
                <a:srgbClr val="FF0000"/>
              </a:solidFill>
            </c:spPr>
          </c:dPt>
          <c:val>
            <c:numRef>
              <c:f>SIMULADOR!$B$37:$B$39</c:f>
              <c:numCache>
                <c:formatCode>0.0%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000000000001388" l="0.70000000000000062" r="0.70000000000000062" t="0.75000000000001388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effectLst>
              <a:outerShdw blurRad="50800" dist="50800" dir="5400000" algn="ctr" rotWithShape="0">
                <a:srgbClr val="FF0000"/>
              </a:outerShdw>
            </a:effectLst>
          </c:spPr>
          <c:marker>
            <c:symbol val="square"/>
            <c:size val="5"/>
            <c:spPr>
              <a:ln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rgbClr val="FF0000"/>
                </a:outerShdw>
              </a:effectLst>
            </c:spPr>
          </c:marker>
          <c:cat>
            <c:numRef>
              <c:f>'SIMULADOR&gt;22-12-17'!$G$25:$G$35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'SIMULADOR&gt;22-12-17'!$H$25:$H$35</c:f>
              <c:numCache>
                <c:formatCode>0.0%</c:formatCode>
                <c:ptCount val="11"/>
                <c:pt idx="0">
                  <c:v>0.14738075169875151</c:v>
                </c:pt>
                <c:pt idx="1">
                  <c:v>0.30607459614351773</c:v>
                </c:pt>
                <c:pt idx="2">
                  <c:v>0.29103044227892333</c:v>
                </c:pt>
                <c:pt idx="3">
                  <c:v>0.16769440117062107</c:v>
                </c:pt>
                <c:pt idx="4">
                  <c:v>6.531517512113745E-2</c:v>
                </c:pt>
                <c:pt idx="5">
                  <c:v>1.8159817087638242E-2</c:v>
                </c:pt>
                <c:pt idx="6">
                  <c:v>3.7101066798310152E-3</c:v>
                </c:pt>
                <c:pt idx="7">
                  <c:v>5.6473172578951742E-4</c:v>
                </c:pt>
                <c:pt idx="8">
                  <c:v>6.4218993790413949E-5</c:v>
                </c:pt>
                <c:pt idx="9">
                  <c:v>5.4134780884159974E-6</c:v>
                </c:pt>
                <c:pt idx="10">
                  <c:v>3.3117416353307858E-7</c:v>
                </c:pt>
              </c:numCache>
            </c:numRef>
          </c:val>
          <c:smooth val="0"/>
        </c:ser>
        <c:ser>
          <c:idx val="1"/>
          <c:order val="1"/>
          <c:spPr>
            <a:ln>
              <a:solidFill>
                <a:srgbClr val="00B050"/>
              </a:solidFill>
            </a:ln>
            <a:effectLst>
              <a:outerShdw blurRad="50800" dist="50800" dir="5400000" algn="ctr" rotWithShape="0">
                <a:srgbClr val="00B050"/>
              </a:outerShdw>
            </a:effectLst>
          </c:spPr>
          <c:marker>
            <c:spPr>
              <a:effectLst>
                <a:outerShdw blurRad="50800" dist="50800" dir="5400000" algn="ctr" rotWithShape="0">
                  <a:srgbClr val="00B050"/>
                </a:outerShdw>
              </a:effectLst>
            </c:spPr>
          </c:marker>
          <c:val>
            <c:numRef>
              <c:f>'SIMULADOR&gt;22-12-17'!$H$39:$H$49</c:f>
              <c:numCache>
                <c:formatCode>0.0%</c:formatCode>
                <c:ptCount val="11"/>
                <c:pt idx="0">
                  <c:v>5.9501909237606246E-2</c:v>
                </c:pt>
                <c:pt idx="1">
                  <c:v>0.18913667156449956</c:v>
                </c:pt>
                <c:pt idx="2">
                  <c:v>0.27544784496860492</c:v>
                </c:pt>
                <c:pt idx="3">
                  <c:v>0.24330030848488476</c:v>
                </c:pt>
                <c:pt idx="4">
                  <c:v>0.1454230726245091</c:v>
                </c:pt>
                <c:pt idx="5">
                  <c:v>6.2134159523416999E-2</c:v>
                </c:pt>
                <c:pt idx="6">
                  <c:v>1.9542410342318937E-2</c:v>
                </c:pt>
                <c:pt idx="7">
                  <c:v>4.5896778609825772E-3</c:v>
                </c:pt>
                <c:pt idx="8">
                  <c:v>8.0751430873681157E-4</c:v>
                </c:pt>
                <c:pt idx="9">
                  <c:v>1.0566333059538167E-4</c:v>
                </c:pt>
                <c:pt idx="10">
                  <c:v>1.0070407983549551E-5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855304"/>
        <c:axId val="467850600"/>
      </c:lineChart>
      <c:catAx>
        <c:axId val="467855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7850600"/>
        <c:crosses val="autoZero"/>
        <c:auto val="1"/>
        <c:lblAlgn val="ctr"/>
        <c:lblOffset val="100"/>
        <c:noMultiLvlLbl val="0"/>
      </c:catAx>
      <c:valAx>
        <c:axId val="467850600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4678553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88" l="0.70000000000000062" r="0.70000000000000062" t="0.75000000000001388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FF00"/>
              </a:solidFill>
            </c:spPr>
          </c:dPt>
          <c:dPt>
            <c:idx val="1"/>
            <c:bubble3D val="0"/>
            <c:spPr>
              <a:solidFill>
                <a:srgbClr val="00B050"/>
              </a:solidFill>
            </c:spPr>
          </c:dPt>
          <c:dPt>
            <c:idx val="2"/>
            <c:bubble3D val="0"/>
            <c:spPr>
              <a:solidFill>
                <a:srgbClr val="FF0000"/>
              </a:solidFill>
            </c:spPr>
          </c:dPt>
          <c:val>
            <c:numRef>
              <c:f>'SIMULADOR&gt;22-12-17'!$B$37:$B$39</c:f>
              <c:numCache>
                <c:formatCode>0.0%</c:formatCode>
                <c:ptCount val="3"/>
                <c:pt idx="0">
                  <c:v>0.19832500138188314</c:v>
                </c:pt>
                <c:pt idx="1">
                  <c:v>0.55248814107641242</c:v>
                </c:pt>
                <c:pt idx="2">
                  <c:v>0.24918581457750841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000000000001388" l="0.70000000000000062" r="0.70000000000000062" t="0.75000000000001388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effectLst>
              <a:outerShdw blurRad="50800" dist="50800" dir="5400000" algn="ctr" rotWithShape="0">
                <a:srgbClr val="FF0000"/>
              </a:outerShdw>
            </a:effectLst>
          </c:spPr>
          <c:marker>
            <c:symbol val="square"/>
            <c:size val="5"/>
            <c:spPr>
              <a:ln>
                <a:solidFill>
                  <a:srgbClr val="FF0000"/>
                </a:solidFill>
              </a:ln>
              <a:effectLst>
                <a:outerShdw blurRad="50800" dist="50800" dir="5400000" algn="ctr" rotWithShape="0">
                  <a:srgbClr val="FF0000"/>
                </a:outerShdw>
              </a:effectLst>
            </c:spPr>
          </c:marker>
          <c:cat>
            <c:numRef>
              <c:f>SIMULADOR_sinJC!$G$24:$G$34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SIMULADOR_sinJC!$H$24:$H$34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1"/>
          <c:spPr>
            <a:ln>
              <a:solidFill>
                <a:srgbClr val="00B050"/>
              </a:solidFill>
            </a:ln>
            <a:effectLst>
              <a:outerShdw blurRad="50800" dist="50800" dir="5400000" algn="ctr" rotWithShape="0">
                <a:srgbClr val="00B050"/>
              </a:outerShdw>
            </a:effectLst>
          </c:spPr>
          <c:marker>
            <c:spPr>
              <a:effectLst>
                <a:outerShdw blurRad="50800" dist="50800" dir="5400000" algn="ctr" rotWithShape="0">
                  <a:srgbClr val="00B050"/>
                </a:outerShdw>
              </a:effectLst>
            </c:spPr>
          </c:marker>
          <c:val>
            <c:numRef>
              <c:f>SIMULADOR_sinJC!$H$38:$H$48</c:f>
              <c:numCache>
                <c:formatCode>0.0%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7857656"/>
        <c:axId val="467855696"/>
      </c:lineChart>
      <c:catAx>
        <c:axId val="467857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7855696"/>
        <c:crosses val="autoZero"/>
        <c:auto val="1"/>
        <c:lblAlgn val="ctr"/>
        <c:lblOffset val="100"/>
        <c:noMultiLvlLbl val="0"/>
      </c:catAx>
      <c:valAx>
        <c:axId val="467855696"/>
        <c:scaling>
          <c:orientation val="minMax"/>
        </c:scaling>
        <c:delete val="0"/>
        <c:axPos val="l"/>
        <c:majorGridlines/>
        <c:numFmt formatCode="0.0%" sourceLinked="1"/>
        <c:majorTickMark val="out"/>
        <c:minorTickMark val="none"/>
        <c:tickLblPos val="nextTo"/>
        <c:crossAx val="467857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88" l="0.70000000000000062" r="0.70000000000000062" t="0.75000000000001388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FF00"/>
              </a:solidFill>
            </c:spPr>
          </c:dPt>
          <c:dPt>
            <c:idx val="1"/>
            <c:bubble3D val="0"/>
            <c:spPr>
              <a:solidFill>
                <a:srgbClr val="00B050"/>
              </a:solidFill>
            </c:spPr>
          </c:dPt>
          <c:dPt>
            <c:idx val="2"/>
            <c:bubble3D val="0"/>
            <c:spPr>
              <a:solidFill>
                <a:srgbClr val="FF0000"/>
              </a:solidFill>
            </c:spPr>
          </c:dPt>
          <c:val>
            <c:numRef>
              <c:f>SIMULADOR_sinJC!$B$37:$B$39</c:f>
              <c:numCache>
                <c:formatCode>0.0%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000000000001388" l="0.70000000000000062" r="0.70000000000000062" t="0.7500000000000138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23813</xdr:colOff>
      <xdr:row>22</xdr:row>
      <xdr:rowOff>23813</xdr:rowOff>
    </xdr:from>
    <xdr:to>
      <xdr:col>31</xdr:col>
      <xdr:colOff>535782</xdr:colOff>
      <xdr:row>48</xdr:row>
      <xdr:rowOff>78241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163286</xdr:colOff>
      <xdr:row>34</xdr:row>
      <xdr:rowOff>176894</xdr:rowOff>
    </xdr:from>
    <xdr:to>
      <xdr:col>5</xdr:col>
      <xdr:colOff>299357</xdr:colOff>
      <xdr:row>43</xdr:row>
      <xdr:rowOff>13607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23813</xdr:colOff>
      <xdr:row>22</xdr:row>
      <xdr:rowOff>23813</xdr:rowOff>
    </xdr:from>
    <xdr:to>
      <xdr:col>31</xdr:col>
      <xdr:colOff>535782</xdr:colOff>
      <xdr:row>48</xdr:row>
      <xdr:rowOff>78241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163286</xdr:colOff>
      <xdr:row>34</xdr:row>
      <xdr:rowOff>176894</xdr:rowOff>
    </xdr:from>
    <xdr:to>
      <xdr:col>5</xdr:col>
      <xdr:colOff>299357</xdr:colOff>
      <xdr:row>43</xdr:row>
      <xdr:rowOff>13607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23813</xdr:colOff>
      <xdr:row>22</xdr:row>
      <xdr:rowOff>23813</xdr:rowOff>
    </xdr:from>
    <xdr:to>
      <xdr:col>31</xdr:col>
      <xdr:colOff>535782</xdr:colOff>
      <xdr:row>48</xdr:row>
      <xdr:rowOff>78241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163286</xdr:colOff>
      <xdr:row>34</xdr:row>
      <xdr:rowOff>176894</xdr:rowOff>
    </xdr:from>
    <xdr:to>
      <xdr:col>5</xdr:col>
      <xdr:colOff>299357</xdr:colOff>
      <xdr:row>43</xdr:row>
      <xdr:rowOff>13607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23813</xdr:colOff>
      <xdr:row>22</xdr:row>
      <xdr:rowOff>23813</xdr:rowOff>
    </xdr:from>
    <xdr:to>
      <xdr:col>31</xdr:col>
      <xdr:colOff>535782</xdr:colOff>
      <xdr:row>48</xdr:row>
      <xdr:rowOff>78241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163286</xdr:colOff>
      <xdr:row>34</xdr:row>
      <xdr:rowOff>176894</xdr:rowOff>
    </xdr:from>
    <xdr:to>
      <xdr:col>5</xdr:col>
      <xdr:colOff>299357</xdr:colOff>
      <xdr:row>43</xdr:row>
      <xdr:rowOff>13607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23813</xdr:colOff>
      <xdr:row>22</xdr:row>
      <xdr:rowOff>23813</xdr:rowOff>
    </xdr:from>
    <xdr:to>
      <xdr:col>31</xdr:col>
      <xdr:colOff>535782</xdr:colOff>
      <xdr:row>48</xdr:row>
      <xdr:rowOff>78241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163286</xdr:colOff>
      <xdr:row>34</xdr:row>
      <xdr:rowOff>176894</xdr:rowOff>
    </xdr:from>
    <xdr:to>
      <xdr:col>5</xdr:col>
      <xdr:colOff>299357</xdr:colOff>
      <xdr:row>43</xdr:row>
      <xdr:rowOff>13607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23813</xdr:colOff>
      <xdr:row>21</xdr:row>
      <xdr:rowOff>23813</xdr:rowOff>
    </xdr:from>
    <xdr:to>
      <xdr:col>31</xdr:col>
      <xdr:colOff>535782</xdr:colOff>
      <xdr:row>47</xdr:row>
      <xdr:rowOff>78241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163286</xdr:colOff>
      <xdr:row>34</xdr:row>
      <xdr:rowOff>176894</xdr:rowOff>
    </xdr:from>
    <xdr:to>
      <xdr:col>5</xdr:col>
      <xdr:colOff>299357</xdr:colOff>
      <xdr:row>43</xdr:row>
      <xdr:rowOff>13607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BR59"/>
  <sheetViews>
    <sheetView tabSelected="1" zoomScale="80" zoomScaleNormal="80" workbookViewId="0"/>
  </sheetViews>
  <sheetFormatPr baseColWidth="10" defaultColWidth="9.140625" defaultRowHeight="15" x14ac:dyDescent="0.25"/>
  <cols>
    <col min="1" max="1" width="22.7109375" bestFit="1" customWidth="1"/>
    <col min="2" max="3" width="9.140625" bestFit="1" customWidth="1"/>
    <col min="4" max="4" width="11.28515625" bestFit="1" customWidth="1"/>
    <col min="5" max="5" width="10.140625" bestFit="1" customWidth="1"/>
    <col min="6" max="6" width="4.85546875" bestFit="1" customWidth="1"/>
    <col min="7" max="7" width="6" bestFit="1" customWidth="1"/>
    <col min="8" max="8" width="9.140625" bestFit="1" customWidth="1"/>
    <col min="9" max="9" width="4.42578125" bestFit="1" customWidth="1"/>
    <col min="10" max="10" width="9.140625" bestFit="1" customWidth="1"/>
    <col min="11" max="11" width="6" bestFit="1" customWidth="1"/>
    <col min="12" max="12" width="9.140625" bestFit="1" customWidth="1"/>
    <col min="13" max="13" width="5.7109375" bestFit="1" customWidth="1"/>
    <col min="14" max="14" width="9.140625" bestFit="1" customWidth="1"/>
    <col min="15" max="15" width="7.140625" bestFit="1" customWidth="1"/>
    <col min="16" max="16" width="9.140625" bestFit="1" customWidth="1"/>
    <col min="17" max="17" width="8.85546875" bestFit="1" customWidth="1"/>
    <col min="18" max="18" width="9.140625" bestFit="1" customWidth="1"/>
    <col min="19" max="19" width="8.85546875" bestFit="1" customWidth="1"/>
    <col min="20" max="20" width="9.140625" bestFit="1" customWidth="1"/>
    <col min="21" max="21" width="8.85546875" bestFit="1" customWidth="1"/>
    <col min="22" max="22" width="9.140625" bestFit="1" customWidth="1"/>
    <col min="23" max="23" width="17.42578125" customWidth="1"/>
    <col min="24" max="24" width="7.140625" bestFit="1" customWidth="1"/>
    <col min="25" max="25" width="9.140625" bestFit="1" customWidth="1"/>
    <col min="26" max="26" width="8.7109375" bestFit="1" customWidth="1"/>
    <col min="27" max="27" width="8" bestFit="1" customWidth="1"/>
    <col min="28" max="28" width="10" customWidth="1"/>
    <col min="29" max="29" width="8.42578125" bestFit="1" customWidth="1"/>
    <col min="30" max="30" width="8.85546875" bestFit="1" customWidth="1"/>
    <col min="31" max="31" width="8.42578125" bestFit="1" customWidth="1"/>
    <col min="32" max="32" width="8.7109375" bestFit="1" customWidth="1"/>
    <col min="33" max="33" width="8.42578125" bestFit="1" customWidth="1"/>
    <col min="34" max="34" width="3.7109375" bestFit="1" customWidth="1"/>
    <col min="35" max="35" width="8.42578125" bestFit="1" customWidth="1"/>
    <col min="36" max="36" width="3.7109375" bestFit="1" customWidth="1"/>
    <col min="37" max="37" width="8.42578125" bestFit="1" customWidth="1"/>
    <col min="38" max="38" width="4.85546875" bestFit="1" customWidth="1"/>
    <col min="39" max="39" width="9.140625" bestFit="1" customWidth="1"/>
    <col min="42" max="42" width="4.5703125" bestFit="1" customWidth="1"/>
    <col min="43" max="43" width="8.42578125" bestFit="1" customWidth="1"/>
    <col min="44" max="44" width="5.42578125" bestFit="1" customWidth="1"/>
    <col min="45" max="45" width="8.42578125" bestFit="1" customWidth="1"/>
    <col min="46" max="46" width="2.28515625" bestFit="1" customWidth="1"/>
    <col min="47" max="47" width="3.42578125" bestFit="1" customWidth="1"/>
    <col min="48" max="48" width="4.28515625" bestFit="1" customWidth="1"/>
    <col min="49" max="52" width="3" bestFit="1" customWidth="1"/>
    <col min="53" max="56" width="3.42578125" bestFit="1" customWidth="1"/>
    <col min="57" max="58" width="4.42578125" bestFit="1" customWidth="1"/>
    <col min="60" max="60" width="2.42578125" bestFit="1" customWidth="1"/>
    <col min="61" max="61" width="3.42578125" bestFit="1" customWidth="1"/>
    <col min="62" max="62" width="6.140625" bestFit="1" customWidth="1"/>
    <col min="63" max="63" width="4.7109375" customWidth="1"/>
    <col min="64" max="65" width="3.42578125" bestFit="1" customWidth="1"/>
    <col min="66" max="66" width="6.140625" bestFit="1" customWidth="1"/>
    <col min="67" max="67" width="4.42578125" customWidth="1"/>
    <col min="68" max="69" width="2.42578125" bestFit="1" customWidth="1"/>
    <col min="70" max="70" width="5.28515625" bestFit="1" customWidth="1"/>
  </cols>
  <sheetData>
    <row r="1" spans="1:70" x14ac:dyDescent="0.25">
      <c r="A1" s="195" t="s">
        <v>150</v>
      </c>
      <c r="B1" t="s">
        <v>146</v>
      </c>
      <c r="F1" s="10" t="s">
        <v>123</v>
      </c>
      <c r="G1" s="70">
        <f>IF(D3="SI",COUNTIF($F$6:$F$18,"RAP"),0)</f>
        <v>0</v>
      </c>
      <c r="H1" s="70">
        <f>G1+G2+G3</f>
        <v>0</v>
      </c>
      <c r="J1" s="11" t="s">
        <v>123</v>
      </c>
      <c r="K1" s="70">
        <f>IF(D3="SI",COUNTIF($J$6:$J$18,"RAP"),0)</f>
        <v>0</v>
      </c>
      <c r="L1" s="70">
        <f>K1+K2+K3</f>
        <v>0</v>
      </c>
      <c r="M1" s="150">
        <f>L1+H1</f>
        <v>0</v>
      </c>
      <c r="P1" s="199" t="s">
        <v>135</v>
      </c>
      <c r="Q1" s="199"/>
      <c r="R1" s="152">
        <v>-0.12364059050405629</v>
      </c>
      <c r="S1" s="153">
        <f>1+R1</f>
        <v>0.87635940949594371</v>
      </c>
      <c r="U1" s="160" t="s">
        <v>145</v>
      </c>
      <c r="V1">
        <f>IF(B17="JC",IF(C17="JC",1.2,1.1),IF(C17="JC",1.1,1))</f>
        <v>1</v>
      </c>
      <c r="AF1">
        <f>COUNTA(J16:J18)</f>
        <v>2</v>
      </c>
    </row>
    <row r="2" spans="1:70" x14ac:dyDescent="0.25">
      <c r="A2" s="195" t="s">
        <v>151</v>
      </c>
      <c r="B2" t="s">
        <v>146</v>
      </c>
      <c r="F2" s="10" t="s">
        <v>21</v>
      </c>
      <c r="G2" s="70">
        <f>IF(D3="SI",COUNTIF($F$6:$F$18,"TEC"),0)</f>
        <v>0</v>
      </c>
      <c r="H2" s="13"/>
      <c r="J2" s="11" t="s">
        <v>21</v>
      </c>
      <c r="K2" s="70">
        <f>IF(D3="SI",COUNTIF($J$6:$J$18,"TEC"),0)</f>
        <v>0</v>
      </c>
      <c r="L2" s="13" t="s">
        <v>134</v>
      </c>
      <c r="M2" s="163" t="str">
        <f>IF(M1&lt;&gt;0,"SI","NO")</f>
        <v>NO</v>
      </c>
      <c r="O2" t="s">
        <v>148</v>
      </c>
      <c r="P2" s="165" t="s">
        <v>149</v>
      </c>
      <c r="R2" s="152">
        <v>7.3959748117051513E-2</v>
      </c>
      <c r="S2" s="153">
        <f>1+R2</f>
        <v>1.0739597481170515</v>
      </c>
      <c r="Y2" t="s">
        <v>148</v>
      </c>
      <c r="Z2" s="164" t="s">
        <v>149</v>
      </c>
    </row>
    <row r="3" spans="1:70" x14ac:dyDescent="0.25">
      <c r="A3" s="162" t="s">
        <v>108</v>
      </c>
      <c r="B3" s="200" t="s">
        <v>23</v>
      </c>
      <c r="C3" s="200"/>
      <c r="D3" t="str">
        <f>IF(B3="Sol","SI",IF(B3="Lluvia","SI","NO"))</f>
        <v>NO</v>
      </c>
      <c r="F3" s="10" t="s">
        <v>131</v>
      </c>
      <c r="G3" s="70">
        <f>IF(D3="SI",COUNTIF($F$6:$F$18,"POT"),0)</f>
        <v>0</v>
      </c>
      <c r="H3" s="13"/>
      <c r="J3" s="11" t="s">
        <v>131</v>
      </c>
      <c r="K3" s="70">
        <f>IF(D3="SI",COUNTIF($J$6:$J$18,"POT"),0)</f>
        <v>0</v>
      </c>
      <c r="L3" s="13"/>
      <c r="O3" t="s">
        <v>132</v>
      </c>
      <c r="P3" s="165" t="s">
        <v>138</v>
      </c>
      <c r="Q3" t="s">
        <v>133</v>
      </c>
      <c r="R3" s="165" t="s">
        <v>139</v>
      </c>
      <c r="Y3" t="s">
        <v>132</v>
      </c>
      <c r="Z3" s="164" t="s">
        <v>138</v>
      </c>
      <c r="AA3" t="s">
        <v>133</v>
      </c>
      <c r="AB3" s="164" t="s">
        <v>139</v>
      </c>
    </row>
    <row r="4" spans="1:70" ht="15.75" x14ac:dyDescent="0.25">
      <c r="A4" s="124"/>
      <c r="B4" s="8" t="s">
        <v>106</v>
      </c>
      <c r="C4" s="9" t="s">
        <v>107</v>
      </c>
      <c r="D4" s="13"/>
      <c r="E4" s="13"/>
      <c r="F4" s="8" t="s">
        <v>13</v>
      </c>
      <c r="G4" s="8" t="s">
        <v>128</v>
      </c>
      <c r="H4" s="8" t="s">
        <v>127</v>
      </c>
      <c r="I4" s="8" t="s">
        <v>129</v>
      </c>
      <c r="J4" s="9" t="s">
        <v>14</v>
      </c>
      <c r="K4" s="9" t="s">
        <v>128</v>
      </c>
      <c r="L4" s="9" t="s">
        <v>127</v>
      </c>
      <c r="M4" s="9" t="s">
        <v>129</v>
      </c>
      <c r="N4" s="13"/>
      <c r="O4" s="8" t="s">
        <v>28</v>
      </c>
      <c r="P4" s="8" t="s">
        <v>29</v>
      </c>
      <c r="Q4" s="8" t="s">
        <v>30</v>
      </c>
      <c r="R4" s="8" t="s">
        <v>70</v>
      </c>
      <c r="S4" s="8" t="s">
        <v>31</v>
      </c>
      <c r="T4" s="8" t="s">
        <v>32</v>
      </c>
      <c r="U4" s="8" t="s">
        <v>33</v>
      </c>
      <c r="V4" s="195"/>
      <c r="W4" s="125"/>
      <c r="X4" s="12" t="s">
        <v>72</v>
      </c>
      <c r="Y4" s="9" t="s">
        <v>28</v>
      </c>
      <c r="Z4" s="9" t="s">
        <v>29</v>
      </c>
      <c r="AA4" s="9" t="s">
        <v>34</v>
      </c>
      <c r="AB4" s="9" t="s">
        <v>35</v>
      </c>
      <c r="AC4" s="9" t="s">
        <v>31</v>
      </c>
      <c r="AD4" s="9" t="s">
        <v>32</v>
      </c>
      <c r="AE4" s="9" t="s">
        <v>33</v>
      </c>
      <c r="AF4" s="14"/>
      <c r="BH4">
        <v>0</v>
      </c>
      <c r="BI4">
        <v>1</v>
      </c>
      <c r="BJ4" s="107">
        <f t="shared" ref="BJ4:BJ13" si="0">$H$25*H40</f>
        <v>9.0580087495689392E-3</v>
      </c>
      <c r="BL4">
        <v>0</v>
      </c>
      <c r="BM4">
        <v>0</v>
      </c>
      <c r="BN4" s="107">
        <f>H25*H39</f>
        <v>2.3410510171970674E-3</v>
      </c>
      <c r="BP4">
        <v>1</v>
      </c>
      <c r="BQ4">
        <v>0</v>
      </c>
      <c r="BR4" s="107">
        <f>$H$26*H39</f>
        <v>7.0580969936739008E-3</v>
      </c>
    </row>
    <row r="5" spans="1:70" x14ac:dyDescent="0.25">
      <c r="A5" s="188" t="s">
        <v>140</v>
      </c>
      <c r="B5" s="161">
        <v>352</v>
      </c>
      <c r="C5" s="161">
        <v>352</v>
      </c>
      <c r="E5" s="192" t="s">
        <v>15</v>
      </c>
      <c r="F5" s="167" t="s">
        <v>144</v>
      </c>
      <c r="G5" s="167">
        <v>12</v>
      </c>
      <c r="H5" s="10"/>
      <c r="I5" s="10"/>
      <c r="J5" s="166" t="s">
        <v>16</v>
      </c>
      <c r="K5" s="166">
        <v>12</v>
      </c>
      <c r="L5" s="10"/>
      <c r="M5" s="10"/>
      <c r="O5" s="67">
        <f>COUNTIF(F5:F18,"IMP")*0.017</f>
        <v>6.8000000000000005E-2</v>
      </c>
      <c r="P5" s="16" t="str">
        <f>P3</f>
        <v>0,6</v>
      </c>
      <c r="Q5" s="16">
        <f>P5*O5</f>
        <v>4.0800000000000003E-2</v>
      </c>
      <c r="R5" s="157">
        <f>IF($M$2="SI",Q5*$B$22/0.5*$S$1,Q5*$B$22/0.5*$S$2)</f>
        <v>4.3710424330209503E-2</v>
      </c>
      <c r="S5" s="176">
        <f>(1-R5)</f>
        <v>0.95628957566979045</v>
      </c>
      <c r="T5" s="177">
        <f>R5*PRODUCT(S6:S19)</f>
        <v>2.0337979066122981E-2</v>
      </c>
      <c r="U5" s="177">
        <f>R5*R6*PRODUCT(S7:S19)+R5*R7*PRODUCT(S8:S19)*PRODUCT(S6)+R5*R8*PRODUCT(S9:S19)*PRODUCT(S6:S7)+R5*R9*PRODUCT(S10:S19)*PRODUCT(S6:S8)+R5*R10*PRODUCT(S11:S19)*PRODUCT(S6:S9)+R5*R11*PRODUCT(S12:S19)*PRODUCT(S6:S10)+R5*R12*PRODUCT(S13:S19)*PRODUCT(S6:S11)+R5*R13*PRODUCT(S14:S19)*PRODUCT(S6:S12)+R5*R14*PRODUCT(S15:S19)*PRODUCT(S6:S13)+R5*R15*PRODUCT(S16:S19)*PRODUCT(S6:S14)+R5*R16*PRODUCT(S17:S19)*PRODUCT(S6:S15)+R5*R17*PRODUCT(S18:S19)*PRODUCT(S6:S16)+R5*R18*PRODUCT(S19)*PRODUCT(S6:S17)+R5*R19*PRODUCT(S6:S18)</f>
        <v>1.8594328654169958E-2</v>
      </c>
      <c r="V5" s="18"/>
      <c r="W5" s="186" t="s">
        <v>36</v>
      </c>
      <c r="X5" s="15" t="s">
        <v>37</v>
      </c>
      <c r="Y5" s="69">
        <f>COUNTIF(J5:J18,"IMP")*0.017</f>
        <v>0</v>
      </c>
      <c r="Z5" s="146" t="str">
        <f>Z3</f>
        <v>0,6</v>
      </c>
      <c r="AA5" s="19">
        <f>Z5*Y5</f>
        <v>0</v>
      </c>
      <c r="AB5" s="157">
        <f>IF($M$2="SI",AA5*$C$22/0.5*$S$1,AA5*$C$22/0.5*$S$2)</f>
        <v>0</v>
      </c>
      <c r="AC5" s="176">
        <f>(1-AB5)</f>
        <v>1</v>
      </c>
      <c r="AD5" s="177">
        <f>AB5*PRODUCT(AC6:AC19)</f>
        <v>0</v>
      </c>
      <c r="AE5" s="177">
        <f>AB5*AB6*PRODUCT(AC7:AC19)+AB5*AB7*PRODUCT(AC8:AC19)*PRODUCT(AC6)+AB5*AB8*PRODUCT(AC9:AC19)*PRODUCT(AC6:AC7)+AB5*AB9*PRODUCT(AC10:AC19)*PRODUCT(AC6:AC8)+AB5*AB10*PRODUCT(AC11:AC19)*PRODUCT(AC6:AC9)+AB5*AB11*PRODUCT(AC12:AC19)*PRODUCT(AC6:AC10)+AB5*AB12*PRODUCT(AC13:AC19)*PRODUCT(AC6:AC11)+AB5*AB13*PRODUCT(AC14:AC19)*PRODUCT(AC6:AC12)+AB5*AB14*PRODUCT(AC15:AC19)*PRODUCT(AC6:AC13)+AB5*AB15*PRODUCT(AC16:AC19)*PRODUCT(AC6:AC14)+AB5*AB16*PRODUCT(AC17:AC19)*PRODUCT(AC6:AC15)+AB5*AB17*PRODUCT(AC18:AC19)*PRODUCT(AC6:AC16)+AB5*AB18*PRODUCT(AC19)*PRODUCT(AC6:AC17)+AB5*AB19*PRODUCT(AC6:AC18)</f>
        <v>0</v>
      </c>
      <c r="AF5" s="18"/>
      <c r="BH5">
        <v>0</v>
      </c>
      <c r="BI5">
        <v>2</v>
      </c>
      <c r="BJ5" s="107">
        <f t="shared" si="0"/>
        <v>1.6129283789302555E-2</v>
      </c>
      <c r="BL5">
        <v>1</v>
      </c>
      <c r="BM5">
        <v>1</v>
      </c>
      <c r="BN5" s="107">
        <f>$H$26*H40</f>
        <v>2.7309231560681817E-2</v>
      </c>
      <c r="BP5">
        <f>BP4+1</f>
        <v>2</v>
      </c>
      <c r="BQ5">
        <v>0</v>
      </c>
      <c r="BR5" s="107">
        <f>$H$27*H39</f>
        <v>9.6609218309028598E-3</v>
      </c>
    </row>
    <row r="6" spans="1:70" x14ac:dyDescent="0.25">
      <c r="A6" s="2" t="s">
        <v>1</v>
      </c>
      <c r="B6" s="168">
        <f>8.5*1.2</f>
        <v>10.199999999999999</v>
      </c>
      <c r="C6" s="169">
        <v>10.25</v>
      </c>
      <c r="E6" s="192" t="s">
        <v>17</v>
      </c>
      <c r="F6" s="167" t="s">
        <v>144</v>
      </c>
      <c r="G6" s="167"/>
      <c r="H6" s="10"/>
      <c r="I6" s="10"/>
      <c r="J6" s="166" t="s">
        <v>16</v>
      </c>
      <c r="K6" s="166"/>
      <c r="L6" s="10"/>
      <c r="M6" s="10"/>
      <c r="O6" s="67">
        <f>COUNTIF(F14:F18,"IMP")*0.017</f>
        <v>5.1000000000000004E-2</v>
      </c>
      <c r="P6" s="16" t="str">
        <f>P3</f>
        <v>0,6</v>
      </c>
      <c r="Q6" s="16">
        <f t="shared" ref="Q6:Q19" si="1">P6*O6</f>
        <v>3.0600000000000002E-2</v>
      </c>
      <c r="R6" s="157">
        <f>IF($M$2="SI",Q6*$B$22/0.5*$S$1,Q6*$B$22/0.5*$S$2)</f>
        <v>3.2782818247657129E-2</v>
      </c>
      <c r="S6" s="176">
        <f t="shared" ref="S6:S19" si="2">(1-R6)</f>
        <v>0.96721718175234284</v>
      </c>
      <c r="T6" s="177">
        <f>R6*S5*PRODUCT(S7:S19)</f>
        <v>1.508115064903575E-2</v>
      </c>
      <c r="U6" s="177">
        <f>R6*R7*PRODUCT(S8:S19)*PRODUCT(S5)+R6*R8*PRODUCT(S9:S19)*S5*PRODUCT(S7)+R6*R9*PRODUCT(S10:S19)*S5*PRODUCT(S7:S8)+R6*R10*PRODUCT(S11:S19)*S5*PRODUCT(S7:S9)+R6*R11*PRODUCT(S12:S19)*S5*PRODUCT(S7:S10)+R6*R12*PRODUCT(S13:S19)*S5*PRODUCT(S7:S11)+R6*R13*PRODUCT(S14:S19)*S5*PRODUCT(S7:S12)+R6*R14*PRODUCT(S15:S19)*S5*PRODUCT(S7:S13)+R6*R15*PRODUCT(S16:S19)*S5*PRODUCT(S7:S14)+R6*R16*PRODUCT(S17:S19)*S5*PRODUCT(S7:S15)+R6*R17*PRODUCT(S18:S19)*S5*PRODUCT(S7:S16)+R6*R18*PRODUCT(S19)*S5*PRODUCT(S7:S17)+R6*R19*S5*PRODUCT(S7:S18)</f>
        <v>1.3277027761191992E-2</v>
      </c>
      <c r="V6" s="18"/>
      <c r="W6" s="186" t="s">
        <v>38</v>
      </c>
      <c r="X6" s="15" t="s">
        <v>39</v>
      </c>
      <c r="Y6" s="69">
        <f>COUNTIF(J14:J18,"IMP")*0.017</f>
        <v>0</v>
      </c>
      <c r="Z6" s="146" t="str">
        <f>Z3</f>
        <v>0,6</v>
      </c>
      <c r="AA6" s="19">
        <f t="shared" ref="AA6:AA19" si="3">Z6*Y6</f>
        <v>0</v>
      </c>
      <c r="AB6" s="157">
        <f t="shared" ref="AB6:AB19" si="4">IF($M$2="SI",AA6*$C$22/0.5*$S$1,AA6*$C$22/0.5*$S$2)</f>
        <v>0</v>
      </c>
      <c r="AC6" s="176">
        <f t="shared" ref="AC6:AC19" si="5">(1-AB6)</f>
        <v>1</v>
      </c>
      <c r="AD6" s="177">
        <f>AB6*AC5*PRODUCT(AC7:AC19)</f>
        <v>0</v>
      </c>
      <c r="AE6" s="177">
        <f>AB6*AB7*PRODUCT(AC8:AC19)*PRODUCT(AC5)+AB6*AB8*PRODUCT(AC9:AC19)*AC5*PRODUCT(AC7)+AB6*AB9*PRODUCT(AC10:AC19)*AC5*PRODUCT(AC7:AC8)+AB6*AB10*PRODUCT(AC11:AC19)*AC5*PRODUCT(AC7:AC9)+AB6*AB11*PRODUCT(AC12:AC19)*AC5*PRODUCT(AC7:AC10)+AB6*AB12*PRODUCT(AC13:AC19)*AC5*PRODUCT(AC7:AC11)+AB6*AB13*PRODUCT(AC14:AC19)*AC5*PRODUCT(AC7:AC12)+AB6*AB14*PRODUCT(AC15:AC19)*AC5*PRODUCT(AC7:AC13)+AB6*AB15*PRODUCT(AC16:AC19)*AC5*PRODUCT(AC7:AC14)+AB6*AB16*PRODUCT(AC17:AC19)*AC5*PRODUCT(AC7:AC15)+AB6*AB17*PRODUCT(AC18:AC19)*AC5*PRODUCT(AC7:AC16)+AB6*AB18*PRODUCT(AC19)*AC5*PRODUCT(AC7:AC17)+AB6*AB19*AC5*PRODUCT(AC7:AC18)</f>
        <v>0</v>
      </c>
      <c r="AF6" s="18"/>
      <c r="BH6">
        <v>0</v>
      </c>
      <c r="BI6">
        <v>3</v>
      </c>
      <c r="BJ6" s="107">
        <f t="shared" si="0"/>
        <v>1.7511809304896597E-2</v>
      </c>
      <c r="BL6">
        <f>BH14+1</f>
        <v>2</v>
      </c>
      <c r="BM6">
        <v>2</v>
      </c>
      <c r="BN6" s="107">
        <f>$H$27*H41</f>
        <v>6.6561449849763588E-2</v>
      </c>
      <c r="BP6">
        <f>BL5+1</f>
        <v>2</v>
      </c>
      <c r="BQ6">
        <v>1</v>
      </c>
      <c r="BR6" s="107">
        <f>$H$27*H40</f>
        <v>3.738009715738428E-2</v>
      </c>
    </row>
    <row r="7" spans="1:70" x14ac:dyDescent="0.25">
      <c r="A7" s="5" t="s">
        <v>2</v>
      </c>
      <c r="B7" s="168">
        <v>12</v>
      </c>
      <c r="C7" s="169">
        <v>13</v>
      </c>
      <c r="E7" s="192" t="s">
        <v>18</v>
      </c>
      <c r="F7" s="167"/>
      <c r="G7" s="167"/>
      <c r="H7" s="10"/>
      <c r="I7" s="10"/>
      <c r="J7" s="166"/>
      <c r="K7" s="166"/>
      <c r="L7" s="10"/>
      <c r="M7" s="10"/>
      <c r="O7" s="67">
        <v>0</v>
      </c>
      <c r="P7" s="144">
        <v>0.5</v>
      </c>
      <c r="Q7" s="16">
        <f t="shared" si="1"/>
        <v>0</v>
      </c>
      <c r="R7" s="157">
        <f t="shared" ref="R7:R19" si="6">IF($M$2="SI",Q7*$B$22/0.5*$S$1,Q7*$B$22/0.5*$S$2)</f>
        <v>0</v>
      </c>
      <c r="S7" s="176">
        <f t="shared" si="2"/>
        <v>1</v>
      </c>
      <c r="T7" s="177">
        <f>R7*PRODUCT(S5:S6)*PRODUCT(S8:S19)</f>
        <v>0</v>
      </c>
      <c r="U7" s="177">
        <f>R7*R8*PRODUCT(S9:S19)*PRODUCT(S5:S6)+R7*R9*PRODUCT(S10:S19)*PRODUCT(S5:S6)*PRODUCT(S8)+R7*R10*PRODUCT(S11:S19)*PRODUCT(S5:S6)*PRODUCT(S8:S9)+R7*R11*PRODUCT(S12:S19)*PRODUCT(S5:S6)*PRODUCT(S8:S10)+R7*R12*PRODUCT(S13:S19)*PRODUCT(S5:S6)*PRODUCT(S8:S11)+R7*R13*PRODUCT(S14:S19)*PRODUCT(S5:S6)*PRODUCT(S8:S12)+R7*R14*PRODUCT(S15:S19)*PRODUCT(S5:S6)*PRODUCT(S8:S13)+R7*R15*PRODUCT(S16:S19)*PRODUCT(S5:S6)*PRODUCT(S8:S14)+R7*R16*PRODUCT(S17:S19)*PRODUCT(S5:S6)*PRODUCT(S8:S15)+R7*R17*PRODUCT(S18:S19)*PRODUCT(S5:S6)*PRODUCT(S8:S16)+R7*R18*PRODUCT(S19)*PRODUCT(S5:S6)*PRODUCT(S8:S17)+R7*R19*PRODUCT(S5:S6)*PRODUCT(S8:S18)</f>
        <v>0</v>
      </c>
      <c r="W7" s="186" t="s">
        <v>40</v>
      </c>
      <c r="X7" s="15" t="s">
        <v>41</v>
      </c>
      <c r="Y7" s="69">
        <v>0</v>
      </c>
      <c r="Z7" s="146">
        <v>0.5</v>
      </c>
      <c r="AA7" s="19">
        <f t="shared" si="3"/>
        <v>0</v>
      </c>
      <c r="AB7" s="157">
        <f t="shared" si="4"/>
        <v>0</v>
      </c>
      <c r="AC7" s="176">
        <f t="shared" si="5"/>
        <v>1</v>
      </c>
      <c r="AD7" s="177">
        <f>AB7*PRODUCT(AC5:AC6)*PRODUCT(AC8:AC19)</f>
        <v>0</v>
      </c>
      <c r="AE7" s="177">
        <f>AB7*AB8*PRODUCT(AC9:AC19)*PRODUCT(AC5:AC6)+AB7*AB9*PRODUCT(AC10:AC19)*PRODUCT(AC5:AC6)*PRODUCT(AC8)+AB7*AB10*PRODUCT(AC11:AC19)*PRODUCT(AC5:AC6)*PRODUCT(AC8:AC9)+AB7*AB11*PRODUCT(AC12:AC19)*PRODUCT(AC5:AC6)*PRODUCT(AC8:AC10)+AB7*AB12*PRODUCT(AC13:AC19)*PRODUCT(AC5:AC6)*PRODUCT(AC8:AC11)+AB7*AB13*PRODUCT(AC14:AC19)*PRODUCT(AC5:AC6)*PRODUCT(AC8:AC12)+AB7*AB14*PRODUCT(AC15:AC19)*PRODUCT(AC5:AC6)*PRODUCT(AC8:AC13)+AB7*AB15*PRODUCT(AC16:AC19)*PRODUCT(AC5:AC6)*PRODUCT(AC8:AC14)+AB7*AB16*PRODUCT(AC17:AC19)*PRODUCT(AC5:AC6)*PRODUCT(AC8:AC15)+AB7*AB17*PRODUCT(AC18:AC19)*PRODUCT(AC5:AC6)*PRODUCT(AC8:AC16)+AB7*AB18*PRODUCT(AC19)*PRODUCT(AC5:AC6)*PRODUCT(AC8:AC17)+AB7*AB19*PRODUCT(AC5:AC6)*PRODUCT(AC8:AC18)</f>
        <v>0</v>
      </c>
      <c r="BH7">
        <v>0</v>
      </c>
      <c r="BI7">
        <v>4</v>
      </c>
      <c r="BJ7" s="107">
        <f t="shared" si="0"/>
        <v>1.2944711189073359E-2</v>
      </c>
      <c r="BL7">
        <f>BH23+1</f>
        <v>3</v>
      </c>
      <c r="BM7">
        <v>3</v>
      </c>
      <c r="BN7" s="107">
        <f>$H$28*H42</f>
        <v>5.9924537978396038E-2</v>
      </c>
      <c r="BP7">
        <f>BP5+1</f>
        <v>3</v>
      </c>
      <c r="BQ7">
        <v>0</v>
      </c>
      <c r="BR7" s="107">
        <f>$H$28*H39</f>
        <v>8.0109598127111811E-3</v>
      </c>
    </row>
    <row r="8" spans="1:70" x14ac:dyDescent="0.25">
      <c r="A8" s="5" t="s">
        <v>3</v>
      </c>
      <c r="B8" s="168">
        <v>12.5</v>
      </c>
      <c r="C8" s="169">
        <v>12.5</v>
      </c>
      <c r="E8" s="192" t="s">
        <v>18</v>
      </c>
      <c r="F8" s="167" t="s">
        <v>16</v>
      </c>
      <c r="G8" s="167"/>
      <c r="H8" s="10"/>
      <c r="I8" s="10"/>
      <c r="J8" s="166" t="s">
        <v>144</v>
      </c>
      <c r="K8" s="166"/>
      <c r="L8" s="10"/>
      <c r="M8" s="10"/>
      <c r="O8" s="67">
        <f>COUNTIF(F6:F18,"IMP")*0.01</f>
        <v>0.04</v>
      </c>
      <c r="P8" s="16" t="str">
        <f>P3</f>
        <v>0,6</v>
      </c>
      <c r="Q8" s="16">
        <f t="shared" si="1"/>
        <v>2.4E-2</v>
      </c>
      <c r="R8" s="157">
        <f t="shared" si="6"/>
        <v>2.5712014311887944E-2</v>
      </c>
      <c r="S8" s="176">
        <f t="shared" si="2"/>
        <v>0.97428798568811203</v>
      </c>
      <c r="T8" s="177">
        <f>R8*PRODUCT(S5:S7)*PRODUCT(S9:S19)</f>
        <v>1.1742510281306823E-2</v>
      </c>
      <c r="U8" s="177">
        <f>R8*R9*PRODUCT(S5:S7)*PRODUCT(S10:S19)+R8*R10*PRODUCT(S5:S7)*PRODUCT(S9)*PRODUCT(S11:S19)+R8*R11*PRODUCT(S5:S7)*PRODUCT(S9:S10)*PRODUCT(S12:S19)+R8*R12*PRODUCT(S5:S7)*PRODUCT(S9:S11)*PRODUCT(S13:S19)+R8*R13*PRODUCT(S5:S7)*PRODUCT(S9:S12)*PRODUCT(S14:S19)+R8*R14*PRODUCT(S5:S7)*PRODUCT(S9:S13)*PRODUCT(S15:S19)+R8*R15*PRODUCT(S5:S7)*PRODUCT(S9:S14)*PRODUCT(S16:S19)+R8*R16*PRODUCT(S5:S7)*PRODUCT(S9:S15)*PRODUCT(S17:S19)+R8*R17*PRODUCT(S5:S7)*PRODUCT(S9:S16)*PRODUCT(S18:S19)+R8*R18*PRODUCT(S5:S7)*PRODUCT(S9:S17)*PRODUCT(S19)+R8*R19*PRODUCT(S5:S7)*PRODUCT(S9:S18)</f>
        <v>1.0027889628230795E-2</v>
      </c>
      <c r="W8" s="186" t="s">
        <v>42</v>
      </c>
      <c r="X8" s="15" t="s">
        <v>43</v>
      </c>
      <c r="Y8" s="69">
        <f>COUNTIF(J6:J18,"IMP")*0.01</f>
        <v>0</v>
      </c>
      <c r="Z8" s="146" t="str">
        <f>Z3</f>
        <v>0,6</v>
      </c>
      <c r="AA8" s="19">
        <f t="shared" si="3"/>
        <v>0</v>
      </c>
      <c r="AB8" s="157">
        <f t="shared" si="4"/>
        <v>0</v>
      </c>
      <c r="AC8" s="176">
        <f t="shared" si="5"/>
        <v>1</v>
      </c>
      <c r="AD8" s="177">
        <f>AB8*PRODUCT(AC5:AC7)*PRODUCT(AC9:AC19)</f>
        <v>0</v>
      </c>
      <c r="AE8" s="177">
        <f>AB8*AB9*PRODUCT(AC5:AC7)*PRODUCT(AC10:AC19)+AB8*AB10*PRODUCT(AC5:AC7)*PRODUCT(AC9)*PRODUCT(AC11:AC19)+AB8*AB11*PRODUCT(AC5:AC7)*PRODUCT(AC9:AC10)*PRODUCT(AC12:AC19)+AB8*AB12*PRODUCT(AC5:AC7)*PRODUCT(AC9:AC11)*PRODUCT(AC13:AC19)+AB8*AB13*PRODUCT(AC5:AC7)*PRODUCT(AC9:AC12)*PRODUCT(AC14:AC19)+AB8*AB14*PRODUCT(AC5:AC7)*PRODUCT(AC9:AC13)*PRODUCT(AC15:AC19)+AB8*AB15*PRODUCT(AC5:AC7)*PRODUCT(AC9:AC14)*PRODUCT(AC16:AC19)+AB8*AB16*PRODUCT(AC5:AC7)*PRODUCT(AC9:AC15)*PRODUCT(AC17:AC19)+AB8*AB17*PRODUCT(AC5:AC7)*PRODUCT(AC9:AC16)*PRODUCT(AC18:AC19)+AB8*AB18*PRODUCT(AC5:AC7)*PRODUCT(AC9:AC17)*PRODUCT(AC19)+AB8*AB19*PRODUCT(AC5:AC7)*PRODUCT(AC9:AC18)</f>
        <v>0</v>
      </c>
      <c r="BH8">
        <v>0</v>
      </c>
      <c r="BI8">
        <v>5</v>
      </c>
      <c r="BJ8" s="107">
        <f t="shared" si="0"/>
        <v>6.8875199545176081E-3</v>
      </c>
      <c r="BL8">
        <f>BH31+1</f>
        <v>4</v>
      </c>
      <c r="BM8">
        <v>4</v>
      </c>
      <c r="BN8" s="107">
        <f>$H$29*H43</f>
        <v>2.4959896437611213E-2</v>
      </c>
      <c r="BP8">
        <f>BP6+1</f>
        <v>3</v>
      </c>
      <c r="BQ8">
        <v>1</v>
      </c>
      <c r="BR8" s="107">
        <f>$H$28*H40</f>
        <v>3.0996054141042544E-2</v>
      </c>
    </row>
    <row r="9" spans="1:70" x14ac:dyDescent="0.25">
      <c r="A9" s="5" t="s">
        <v>4</v>
      </c>
      <c r="B9" s="168">
        <v>12.75</v>
      </c>
      <c r="C9" s="169">
        <v>12.5</v>
      </c>
      <c r="E9" s="192" t="s">
        <v>18</v>
      </c>
      <c r="F9" s="167"/>
      <c r="G9" s="167"/>
      <c r="H9" s="10"/>
      <c r="I9" s="10"/>
      <c r="J9" s="166"/>
      <c r="K9" s="166"/>
      <c r="L9" s="10"/>
      <c r="M9" s="10"/>
      <c r="O9" s="67">
        <f>COUNTIF(J6:J13,"IMP")*0.025</f>
        <v>0</v>
      </c>
      <c r="P9" s="144">
        <v>0.5</v>
      </c>
      <c r="Q9" s="16">
        <f t="shared" si="1"/>
        <v>0</v>
      </c>
      <c r="R9" s="157">
        <f t="shared" si="6"/>
        <v>0</v>
      </c>
      <c r="S9" s="176">
        <f t="shared" si="2"/>
        <v>1</v>
      </c>
      <c r="T9" s="177">
        <f>R9*PRODUCT(S5:S8)*PRODUCT(S10:S19)</f>
        <v>0</v>
      </c>
      <c r="U9" s="177">
        <f>R9*R10*PRODUCT(S5:S8)*PRODUCT(S11:S19)+R9*R11*PRODUCT(S5:S8)*PRODUCT(S10)*PRODUCT(S12:S19)+R9*R12*PRODUCT(S5:S8)*PRODUCT(S10:S11)*PRODUCT(S13:S19)+R9*R13*PRODUCT(S5:S8)*PRODUCT(S10:S12)*PRODUCT(S14:S19)+R9*R14*PRODUCT(S5:S8)*PRODUCT(S10:S13)*PRODUCT(S15:S19)+R9*R15*PRODUCT(S5:S8)*PRODUCT(S10:S14)*PRODUCT(S16:S19)+R9*R16*PRODUCT(S5:S8)*PRODUCT(S10:S15)*PRODUCT(S17:S19)+R9*R17*PRODUCT(S5:S8)*PRODUCT(S10:S16)*PRODUCT(S18:S19)+R9*R18*PRODUCT(S5:S8)*PRODUCT(S10:S17)*PRODUCT(S19)+R9*R19*PRODUCT(S5:S8)*PRODUCT(S10:S18)</f>
        <v>0</v>
      </c>
      <c r="W9" s="187" t="s">
        <v>44</v>
      </c>
      <c r="X9" s="15" t="s">
        <v>45</v>
      </c>
      <c r="Y9" s="69">
        <f>COUNTIF(F6:F13,"IMP")*0.025</f>
        <v>2.5000000000000001E-2</v>
      </c>
      <c r="Z9" s="146">
        <v>0.5</v>
      </c>
      <c r="AA9" s="19">
        <f t="shared" si="3"/>
        <v>1.2500000000000001E-2</v>
      </c>
      <c r="AB9" s="157">
        <f t="shared" si="4"/>
        <v>1.3457319582151321E-2</v>
      </c>
      <c r="AC9" s="176">
        <f t="shared" si="5"/>
        <v>0.98654268041784865</v>
      </c>
      <c r="AD9" s="177">
        <f>AB9*PRODUCT(AC5:AC8)*PRODUCT(AC10:AC19)</f>
        <v>7.3712289552852793E-3</v>
      </c>
      <c r="AE9" s="177">
        <f>AB9*AB10*PRODUCT(AC5:AC8)*PRODUCT(AC11:AC19)+AB9*AB11*PRODUCT(AC5:AC8)*PRODUCT(AC10)*PRODUCT(AC12:AC19)+AB9*AB12*PRODUCT(AC5:AC8)*PRODUCT(AC10:AC11)*PRODUCT(AC13:AC19)+AB9*AB13*PRODUCT(AC5:AC8)*PRODUCT(AC10:AC12)*PRODUCT(AC14:AC19)+AB9*AB14*PRODUCT(AC5:AC8)*PRODUCT(AC10:AC13)*PRODUCT(AC15:AC19)+AB9*AB15*PRODUCT(AC5:AC8)*PRODUCT(AC10:AC14)*PRODUCT(AC16:AC19)+AB9*AB16*PRODUCT(AC5:AC8)*PRODUCT(AC10:AC15)*PRODUCT(AC17:AC19)+AB9*AB17*PRODUCT(AC5:AC8)*PRODUCT(AC10:AC16)*PRODUCT(AC18:AC19)+AB9*AB18*PRODUCT(AC5:AC8)*PRODUCT(AC10:AC17)*PRODUCT(AC19)+AB9*AB19*PRODUCT(AC5:AC8)*PRODUCT(AC10:AC18)</f>
        <v>4.9844789270532099E-3</v>
      </c>
      <c r="BH9">
        <v>0</v>
      </c>
      <c r="BI9">
        <v>6</v>
      </c>
      <c r="BJ9" s="107">
        <f t="shared" si="0"/>
        <v>2.718023587848823E-3</v>
      </c>
      <c r="BL9">
        <f>BH38+1</f>
        <v>5</v>
      </c>
      <c r="BM9">
        <v>5</v>
      </c>
      <c r="BN9" s="107">
        <f>$H$30*H44</f>
        <v>5.3902069632428187E-3</v>
      </c>
      <c r="BP9">
        <f>BL6+1</f>
        <v>3</v>
      </c>
      <c r="BQ9">
        <v>2</v>
      </c>
      <c r="BR9" s="107">
        <f>$H$28*H41</f>
        <v>5.5193604622346341E-2</v>
      </c>
    </row>
    <row r="10" spans="1:70" x14ac:dyDescent="0.25">
      <c r="A10" s="6" t="s">
        <v>5</v>
      </c>
      <c r="B10" s="168">
        <v>12.25</v>
      </c>
      <c r="C10" s="169">
        <v>13</v>
      </c>
      <c r="E10" s="192" t="s">
        <v>17</v>
      </c>
      <c r="F10" s="167" t="s">
        <v>144</v>
      </c>
      <c r="G10" s="167"/>
      <c r="H10" s="10"/>
      <c r="I10" s="10"/>
      <c r="J10" s="166" t="s">
        <v>21</v>
      </c>
      <c r="K10" s="166"/>
      <c r="L10" s="10"/>
      <c r="M10" s="10"/>
      <c r="O10" s="67">
        <f>COUNTIF(F14:F18,"RAP")*0.085</f>
        <v>8.5000000000000006E-2</v>
      </c>
      <c r="P10" s="16" t="str">
        <f>R3</f>
        <v>0,72</v>
      </c>
      <c r="Q10" s="16">
        <f t="shared" si="1"/>
        <v>6.1200000000000004E-2</v>
      </c>
      <c r="R10" s="157">
        <f t="shared" si="6"/>
        <v>6.5565636495314258E-2</v>
      </c>
      <c r="S10" s="176">
        <f t="shared" si="2"/>
        <v>0.93443436350468578</v>
      </c>
      <c r="T10" s="177">
        <f>R10*PRODUCT(S5:S9)*PRODUCT(S11:S19)</f>
        <v>3.1220487169658175E-2</v>
      </c>
      <c r="U10" s="177">
        <f>R10*R11*PRODUCT(S5:S9)*PRODUCT(S12:S19)+R10*R12*PRODUCT(S5:S9)*S11*PRODUCT(S13:S19)+R10*R13*PRODUCT(S5:S9)*PRODUCT(S11:S12)*PRODUCT(S14:S19)+R10*R14*PRODUCT(S5:S9)*PRODUCT(S11:S13)*PRODUCT(S15:S19)+R10*R15*PRODUCT(S5:S9)*PRODUCT(S11:S14)*PRODUCT(S16:S19)+R10*R16*PRODUCT(S5:S9)*PRODUCT(S11:S15)*PRODUCT(S17:S19)+R10*R17*PRODUCT(S5:S9)*PRODUCT(S11:S16)*PRODUCT(S18:S19)+R10*R18*PRODUCT(S5:S9)*PRODUCT(S11:S17)*PRODUCT(S19)+R10*R19*PRODUCT(S5:S9)*PRODUCT(S11:S18)</f>
        <v>2.4471106121432488E-2</v>
      </c>
      <c r="W10" s="186" t="s">
        <v>46</v>
      </c>
      <c r="X10" s="15" t="s">
        <v>47</v>
      </c>
      <c r="Y10" s="69">
        <f>COUNTIF(J14:J18,"RAP")*0.085</f>
        <v>8.5000000000000006E-2</v>
      </c>
      <c r="Z10" s="146" t="str">
        <f>AB3</f>
        <v>0,72</v>
      </c>
      <c r="AA10" s="19">
        <f t="shared" si="3"/>
        <v>6.1200000000000004E-2</v>
      </c>
      <c r="AB10" s="157">
        <f t="shared" si="4"/>
        <v>6.5887036674212862E-2</v>
      </c>
      <c r="AC10" s="176">
        <f t="shared" si="5"/>
        <v>0.93411296332578719</v>
      </c>
      <c r="AD10" s="177">
        <f>AB10*PRODUCT(AC5:AC9)*PRODUCT(AC11:AC19)</f>
        <v>3.8115163722600424E-2</v>
      </c>
      <c r="AE10" s="177">
        <f>AB10*AB11*PRODUCT(AC5:AC9)*PRODUCT(AC12:AC19)+AB10*AB12*PRODUCT(AC5:AC9)*AC11*PRODUCT(AC13:AC19)+AB10*AB13*PRODUCT(AC5:AC9)*PRODUCT(AC11:AC12)*PRODUCT(AC14:AC19)+AB10*AB14*PRODUCT(AC5:AC9)*PRODUCT(AC11:AC13)*PRODUCT(AC15:AC19)+AB10*AB15*PRODUCT(AC5:AC9)*PRODUCT(AC11:AC14)*PRODUCT(AC16:AC19)+AB10*AB16*PRODUCT(AC5:AC9)*PRODUCT(AC11:AC15)*PRODUCT(AC17:AC19)+AB10*AB17*PRODUCT(AC5:AC9)*PRODUCT(AC11:AC16)*PRODUCT(AC18:AC19)+AB10*AB18*PRODUCT(AC5:AC9)*PRODUCT(AC11:AC17)*PRODUCT(AC19)+AB10*AB19*PRODUCT(AC5:AC9)*PRODUCT(AC11:AC18)</f>
        <v>2.3085324727934876E-2</v>
      </c>
      <c r="BH10">
        <v>0</v>
      </c>
      <c r="BI10">
        <v>7</v>
      </c>
      <c r="BJ10" s="107">
        <f t="shared" si="0"/>
        <v>8.0715822321006262E-4</v>
      </c>
      <c r="BL10">
        <f>BH44+1</f>
        <v>6</v>
      </c>
      <c r="BM10">
        <v>6</v>
      </c>
      <c r="BN10" s="107">
        <f>$H$31*H45</f>
        <v>6.4146910179583086E-4</v>
      </c>
      <c r="BP10">
        <f>BP7+1</f>
        <v>4</v>
      </c>
      <c r="BQ10">
        <v>0</v>
      </c>
      <c r="BR10" s="107">
        <f>$H$29*H39</f>
        <v>4.5139972681450032E-3</v>
      </c>
    </row>
    <row r="11" spans="1:70" x14ac:dyDescent="0.25">
      <c r="A11" s="6" t="s">
        <v>6</v>
      </c>
      <c r="B11" s="168">
        <v>9</v>
      </c>
      <c r="C11" s="169">
        <v>13</v>
      </c>
      <c r="E11" s="192" t="s">
        <v>19</v>
      </c>
      <c r="F11" s="167" t="s">
        <v>147</v>
      </c>
      <c r="G11" s="167"/>
      <c r="H11" s="10"/>
      <c r="I11" s="10"/>
      <c r="J11" s="166" t="s">
        <v>144</v>
      </c>
      <c r="K11" s="166"/>
      <c r="L11" s="10"/>
      <c r="M11" s="10"/>
      <c r="O11" s="67">
        <f>IF(COUNTA(F16:F18)=0,0,COUNTIF(F14:F15,"RAP")*0.085)+IF(COUNTA(F17:F18)=0,0,COUNTIF(F16:F16,"RAP")*0.085)+IF(COUNTA(F16:F17)=0,0,COUNTIF(F18:F18,"RAP")*0.085)+IF(COUNTA(F16,F18)=0,0,COUNTIF(F17:F17,"RAP")*0.085)</f>
        <v>8.5000000000000006E-2</v>
      </c>
      <c r="P11" s="16" t="str">
        <f>R3</f>
        <v>0,72</v>
      </c>
      <c r="Q11" s="16">
        <f t="shared" si="1"/>
        <v>6.1200000000000004E-2</v>
      </c>
      <c r="R11" s="157">
        <f t="shared" si="6"/>
        <v>6.5565636495314258E-2</v>
      </c>
      <c r="S11" s="176">
        <f t="shared" si="2"/>
        <v>0.93443436350468578</v>
      </c>
      <c r="T11" s="177">
        <f>R11*PRODUCT(S5:S10)*PRODUCT(S12:S19)</f>
        <v>3.1220487169658175E-2</v>
      </c>
      <c r="U11" s="177">
        <f>R11*R12*PRODUCT(S5:S10)*PRODUCT(S13:S19)+R11*R13*PRODUCT(S5:S10)*S12*PRODUCT(S14:S19)+R11*R14*PRODUCT(S5:S10)*PRODUCT(S12:S13)*PRODUCT(S15:S19)+R11*R15*PRODUCT(S5:S10)*PRODUCT(S12:S14)*PRODUCT(S16:S19)+R11*R16*PRODUCT(S5:S10)*PRODUCT(S12:S15)*PRODUCT(S17:S19)+R11*R17*PRODUCT(S5:S10)*PRODUCT(S12:S16)*PRODUCT(S18:S19)+R11*R18*PRODUCT(S5:S10)*PRODUCT(S12:S17)*PRODUCT(S19)+R11*R19*PRODUCT(S5:S10)*PRODUCT(S12:S18)</f>
        <v>2.2280485578224943E-2</v>
      </c>
      <c r="W11" s="186" t="s">
        <v>48</v>
      </c>
      <c r="X11" s="15" t="s">
        <v>49</v>
      </c>
      <c r="Y11" s="69">
        <f>IF(COUNTA(J16:J18)=0,0,COUNTIF(J14:J15,"RAP")*0.085)+IF(COUNTA(J17:J18)=0,0,COUNTIF(J16:J16,"RAP")*0.085)+IF(COUNTA(J16:J17)=0,0,COUNTIF(J18:J18,"RAP")*0.085)+IF(COUNTA(J16,J18)=0,0,COUNTIF(J17:J17,"RAP")*0.085)</f>
        <v>8.5000000000000006E-2</v>
      </c>
      <c r="Z11" s="146" t="str">
        <f>AB3</f>
        <v>0,72</v>
      </c>
      <c r="AA11" s="19">
        <f t="shared" si="3"/>
        <v>6.1200000000000004E-2</v>
      </c>
      <c r="AB11" s="157">
        <f t="shared" si="4"/>
        <v>6.5887036674212862E-2</v>
      </c>
      <c r="AC11" s="176">
        <f t="shared" si="5"/>
        <v>0.93411296332578719</v>
      </c>
      <c r="AD11" s="177">
        <f>AB11*PRODUCT(AC5:AC10)*PRODUCT(AC12:AC19)</f>
        <v>3.8115163722600424E-2</v>
      </c>
      <c r="AE11" s="177">
        <f>AB11*AB12*PRODUCT(AC5:AC10)*PRODUCT(AC13:AC19)+AB11*AB13*PRODUCT(AC5:AC10)*AC12*PRODUCT(AC14:AC19)+AB11*AB14*PRODUCT(AC5:AC10)*PRODUCT(AC12:AC13)*PRODUCT(AC15:AC19)+AB11*AB15*PRODUCT(AC5:AC10)*PRODUCT(AC12:AC14)*PRODUCT(AC16:AC19)+AB11*AB16*PRODUCT(AC5:AC10)*PRODUCT(AC12:AC15)*PRODUCT(AC17:AC19)+AB11*AB17*PRODUCT(AC5:AC10)*PRODUCT(AC12:AC16)*PRODUCT(AC18:AC19)+AB11*AB18*PRODUCT(AC5:AC10)*PRODUCT(AC12:AC17)*PRODUCT(AC19)+AB11*AB19*PRODUCT(AC5:AC10)*PRODUCT(AC12:AC18)</f>
        <v>2.0396897001706278E-2</v>
      </c>
      <c r="BH11">
        <v>0</v>
      </c>
      <c r="BI11">
        <v>8</v>
      </c>
      <c r="BJ11" s="107">
        <f t="shared" si="0"/>
        <v>1.8086312024825048E-4</v>
      </c>
      <c r="BL11">
        <f>BH50+1</f>
        <v>7</v>
      </c>
      <c r="BM11">
        <v>7</v>
      </c>
      <c r="BN11" s="107">
        <f>$H$32*H46</f>
        <v>4.3290954082361327E-5</v>
      </c>
      <c r="BP11">
        <f>BP8+1</f>
        <v>4</v>
      </c>
      <c r="BQ11">
        <v>1</v>
      </c>
      <c r="BR11" s="107">
        <f>$H$29*H40</f>
        <v>1.7465585521217127E-2</v>
      </c>
    </row>
    <row r="12" spans="1:70" x14ac:dyDescent="0.25">
      <c r="A12" s="6" t="s">
        <v>7</v>
      </c>
      <c r="B12" s="168">
        <v>10.75</v>
      </c>
      <c r="C12" s="169">
        <v>12.25</v>
      </c>
      <c r="E12" s="192" t="s">
        <v>19</v>
      </c>
      <c r="F12" s="167" t="s">
        <v>144</v>
      </c>
      <c r="G12" s="167"/>
      <c r="H12" s="10"/>
      <c r="I12" s="10"/>
      <c r="J12" s="166" t="s">
        <v>131</v>
      </c>
      <c r="K12" s="166"/>
      <c r="L12" s="10"/>
      <c r="M12" s="10"/>
      <c r="O12" s="67"/>
      <c r="P12" s="144">
        <v>0.5</v>
      </c>
      <c r="Q12" s="16">
        <f t="shared" si="1"/>
        <v>0</v>
      </c>
      <c r="R12" s="157">
        <f t="shared" si="6"/>
        <v>0</v>
      </c>
      <c r="S12" s="176">
        <f t="shared" si="2"/>
        <v>1</v>
      </c>
      <c r="T12" s="177">
        <f>R12*PRODUCT(S5:S11)*PRODUCT(S13:S19)</f>
        <v>0</v>
      </c>
      <c r="U12" s="177">
        <f>R12*R13*PRODUCT(S5:S11)*PRODUCT(S14:S19)+R12*R14*PRODUCT(S5:S11)*S13*PRODUCT(S15:S19)+R12*R15*PRODUCT(S5:S11)*PRODUCT(S13:S14)*PRODUCT(S16:S19)+R12*R16*PRODUCT(S5:S11)*PRODUCT(S13:S15)*PRODUCT(S17:S19)+R12*R17*PRODUCT(S5:S11)*PRODUCT(S13:S16)*PRODUCT(S18:S19)+R12*R18*PRODUCT(S5:S11)*PRODUCT(S13:S17)*PRODUCT(S19)+R12*R19*PRODUCT(S5:S11)*PRODUCT(S13:S18)</f>
        <v>0</v>
      </c>
      <c r="W12" s="187" t="s">
        <v>50</v>
      </c>
      <c r="X12" s="15" t="s">
        <v>51</v>
      </c>
      <c r="Y12" s="69"/>
      <c r="Z12" s="146">
        <v>0.5</v>
      </c>
      <c r="AA12" s="19">
        <f t="shared" si="3"/>
        <v>0</v>
      </c>
      <c r="AB12" s="157">
        <f t="shared" si="4"/>
        <v>0</v>
      </c>
      <c r="AC12" s="176">
        <f t="shared" si="5"/>
        <v>1</v>
      </c>
      <c r="AD12" s="177">
        <f>AB12*PRODUCT(AC5:AC11)*PRODUCT(AC13:AC19)</f>
        <v>0</v>
      </c>
      <c r="AE12" s="177">
        <f>AB12*AB13*PRODUCT(AC5:AC11)*PRODUCT(AC14:AC19)+AB12*AB14*PRODUCT(AC5:AC11)*AC13*PRODUCT(AC15:AC19)+AB12*AB15*PRODUCT(AC5:AC11)*PRODUCT(AC13:AC14)*PRODUCT(AC16:AC19)+AB12*AB16*PRODUCT(AC5:AC11)*PRODUCT(AC13:AC15)*PRODUCT(AC17:AC19)+AB12*AB17*PRODUCT(AC5:AC11)*PRODUCT(AC13:AC16)*PRODUCT(AC18:AC19)+AB12*AB18*PRODUCT(AC5:AC11)*PRODUCT(AC13:AC17)*PRODUCT(AC19)+AB12*AB19*PRODUCT(AC5:AC11)*PRODUCT(AC13:AC18)</f>
        <v>0</v>
      </c>
      <c r="BH12">
        <v>0</v>
      </c>
      <c r="BI12">
        <v>9</v>
      </c>
      <c r="BJ12" s="107">
        <f t="shared" si="0"/>
        <v>3.0305006442300617E-5</v>
      </c>
      <c r="BL12">
        <f>BH54+1</f>
        <v>8</v>
      </c>
      <c r="BM12">
        <v>8</v>
      </c>
      <c r="BN12" s="107">
        <f>$H$33*H47</f>
        <v>1.6630554629607789E-6</v>
      </c>
      <c r="BP12">
        <f>BP9+1</f>
        <v>4</v>
      </c>
      <c r="BQ12">
        <v>2</v>
      </c>
      <c r="BR12" s="107">
        <f>$H$29*H41</f>
        <v>3.110036578750831E-2</v>
      </c>
    </row>
    <row r="13" spans="1:70" x14ac:dyDescent="0.25">
      <c r="A13" s="7" t="s">
        <v>8</v>
      </c>
      <c r="B13" s="168">
        <v>11.5</v>
      </c>
      <c r="C13" s="169">
        <v>11</v>
      </c>
      <c r="E13" s="192" t="s">
        <v>19</v>
      </c>
      <c r="F13" s="167" t="s">
        <v>144</v>
      </c>
      <c r="G13" s="167"/>
      <c r="H13" s="10"/>
      <c r="I13" s="10"/>
      <c r="J13" s="166" t="s">
        <v>123</v>
      </c>
      <c r="K13" s="166"/>
      <c r="L13" s="10"/>
      <c r="M13" s="10"/>
      <c r="O13" s="67">
        <v>0.125</v>
      </c>
      <c r="P13" s="16" t="str">
        <f>P2</f>
        <v>0,4</v>
      </c>
      <c r="Q13" s="16">
        <f t="shared" si="1"/>
        <v>0.05</v>
      </c>
      <c r="R13" s="157">
        <f t="shared" si="6"/>
        <v>5.3566696483099877E-2</v>
      </c>
      <c r="S13" s="176">
        <f t="shared" si="2"/>
        <v>0.94643330351690014</v>
      </c>
      <c r="T13" s="177">
        <f>R13*PRODUCT(S5:S12)*PRODUCT(S14:S19)</f>
        <v>2.5183555474325964E-2</v>
      </c>
      <c r="U13" s="177">
        <f>R13*R14*PRODUCT(S5:S12)*PRODUCT(S15:S19)+R13*R15*PRODUCT(S5:S12)*S14*PRODUCT(S16:S19)+R13*R16*PRODUCT(S5:S12)*PRODUCT(S14:S15)*PRODUCT(S17:S19)+R13*R17*PRODUCT(S5:S12)*PRODUCT(S14:S16)*PRODUCT(S18:S19)+R13*R18*PRODUCT(S5:S12)*PRODUCT(S14:S17)*PRODUCT(S19)+R13*R19*PRODUCT(S5:S12)*PRODUCT(S14:S18)</f>
        <v>1.6546880962666797E-2</v>
      </c>
      <c r="W13" s="186" t="s">
        <v>52</v>
      </c>
      <c r="X13" s="15" t="s">
        <v>53</v>
      </c>
      <c r="Y13" s="69">
        <v>0.125</v>
      </c>
      <c r="Z13" s="19" t="str">
        <f>Z2</f>
        <v>0,4</v>
      </c>
      <c r="AA13" s="19">
        <f t="shared" si="3"/>
        <v>0.05</v>
      </c>
      <c r="AB13" s="157">
        <f t="shared" si="4"/>
        <v>5.3829278328605283E-2</v>
      </c>
      <c r="AC13" s="176">
        <f t="shared" si="5"/>
        <v>0.94617072167139471</v>
      </c>
      <c r="AD13" s="177">
        <f>AB13*PRODUCT(AC5:AC12)*PRODUCT(AC14:AC19)</f>
        <v>3.0743001468804168E-2</v>
      </c>
      <c r="AE13" s="177">
        <f>AB13*AB14*PRODUCT(AC5:AC12)*PRODUCT(AC15:AC19)+AB13*AB15*PRODUCT(AC5:AC12)*AC14*PRODUCT(AC16:AC19)+AB13*AB16*PRODUCT(AC5:AC12)*PRODUCT(AC14:AC15)*PRODUCT(AC17:AC19)+AB13*AB17*PRODUCT(AC5:AC12)*PRODUCT(AC14:AC16)*PRODUCT(AC18:AC19)+AB13*AB18*PRODUCT(AC5:AC12)*PRODUCT(AC14:AC17)*PRODUCT(AC19)+AB13*AB19*PRODUCT(AC5:AC12)*PRODUCT(AC14:AC18)</f>
        <v>1.4702745910697717E-2</v>
      </c>
      <c r="BH13">
        <v>0</v>
      </c>
      <c r="BI13">
        <v>10</v>
      </c>
      <c r="BJ13" s="107">
        <f t="shared" si="0"/>
        <v>3.7062964259007963E-6</v>
      </c>
      <c r="BL13">
        <f>BH57+1</f>
        <v>9</v>
      </c>
      <c r="BM13">
        <v>9</v>
      </c>
      <c r="BN13" s="107">
        <f>$H$34*H48</f>
        <v>3.5619142992425744E-8</v>
      </c>
      <c r="BP13">
        <f>BL7+1</f>
        <v>4</v>
      </c>
      <c r="BQ13">
        <v>3</v>
      </c>
      <c r="BR13" s="107">
        <f>$H$29*H42</f>
        <v>3.3766141268131655E-2</v>
      </c>
    </row>
    <row r="14" spans="1:70" x14ac:dyDescent="0.25">
      <c r="A14" s="7" t="s">
        <v>9</v>
      </c>
      <c r="B14" s="168">
        <v>8.5</v>
      </c>
      <c r="C14" s="169">
        <v>9</v>
      </c>
      <c r="E14" s="192" t="s">
        <v>20</v>
      </c>
      <c r="F14" s="167" t="s">
        <v>147</v>
      </c>
      <c r="G14" s="167"/>
      <c r="H14" s="10"/>
      <c r="I14" s="10"/>
      <c r="J14" s="166" t="s">
        <v>144</v>
      </c>
      <c r="K14" s="166"/>
      <c r="L14" s="10"/>
      <c r="M14" s="10"/>
      <c r="O14" s="67">
        <f>COUNTIF(F6:F18,"CAB")*0.095</f>
        <v>0.38</v>
      </c>
      <c r="P14" s="144">
        <v>0.95</v>
      </c>
      <c r="Q14" s="16">
        <f t="shared" si="1"/>
        <v>0.36099999999999999</v>
      </c>
      <c r="R14" s="157">
        <f t="shared" si="6"/>
        <v>0.38675154860798111</v>
      </c>
      <c r="S14" s="176">
        <f t="shared" si="2"/>
        <v>0.61324845139201889</v>
      </c>
      <c r="T14" s="177">
        <f>R14*PRODUCT(S5:S13)*PRODUCT(S15:S19)</f>
        <v>0.28061300612315332</v>
      </c>
      <c r="U14" s="177">
        <f>R14*R15*PRODUCT(S5:S13)*PRODUCT(S16:S19)+R14*R16*PRODUCT(S5:S13)*S15*PRODUCT(S17:S19)+R14*R17*PRODUCT(S5:S13)*PRODUCT(S15:S16)*PRODUCT(S18:S19)+R14*R18*PRODUCT(S5:S13)*PRODUCT(S15:S17)*PRODUCT(S19)+R14*R19*PRODUCT(S5:S13)*PRODUCT(S15:S18)</f>
        <v>7.4055369003083607E-3</v>
      </c>
      <c r="W14" s="186" t="s">
        <v>54</v>
      </c>
      <c r="X14" s="15" t="s">
        <v>55</v>
      </c>
      <c r="Y14" s="69">
        <f>COUNTIF(J6:J18,"CAB")*0.095</f>
        <v>0.28500000000000003</v>
      </c>
      <c r="Z14" s="147">
        <v>0.95</v>
      </c>
      <c r="AA14" s="19">
        <f t="shared" si="3"/>
        <v>0.27074999999999999</v>
      </c>
      <c r="AB14" s="157">
        <f t="shared" si="4"/>
        <v>0.29148554214939754</v>
      </c>
      <c r="AC14" s="176">
        <f t="shared" si="5"/>
        <v>0.70851445785060241</v>
      </c>
      <c r="AD14" s="177">
        <f>AB14*PRODUCT(AC5:AC13)*PRODUCT(AC15:AC19)</f>
        <v>0.22231333568122263</v>
      </c>
      <c r="AE14" s="177">
        <f>AB14*AB15*PRODUCT(AC5:AC13)*PRODUCT(AC16:AC19)+AB14*AB16*PRODUCT(AC5:AC13)*AC15*PRODUCT(AC17:AC19)+AB14*AB17*PRODUCT(AC5:AC13)*PRODUCT(AC15:AC16)*PRODUCT(AC18:AC19)+AB14*AB18*PRODUCT(AC5:AC13)*PRODUCT(AC15:AC17)*PRODUCT(AC19)+AB14*AB19*PRODUCT(AC5:AC13)*PRODUCT(AC15:AC18)</f>
        <v>1.4860117459595215E-2</v>
      </c>
      <c r="BH14">
        <v>1</v>
      </c>
      <c r="BI14">
        <v>2</v>
      </c>
      <c r="BJ14" s="107">
        <f t="shared" ref="BJ14:BJ22" si="7">$H$26*H41</f>
        <v>4.8628606804003882E-2</v>
      </c>
      <c r="BL14">
        <f>BP39+1</f>
        <v>10</v>
      </c>
      <c r="BM14">
        <v>10</v>
      </c>
      <c r="BN14" s="107">
        <f>$H$35*H49</f>
        <v>4.0376313745024382E-10</v>
      </c>
      <c r="BP14">
        <f>BP10+1</f>
        <v>5</v>
      </c>
      <c r="BQ14">
        <v>0</v>
      </c>
      <c r="BR14" s="107">
        <f>$H$30*H39</f>
        <v>1.8321180305148192E-3</v>
      </c>
    </row>
    <row r="15" spans="1:70" x14ac:dyDescent="0.25">
      <c r="A15" s="189" t="s">
        <v>71</v>
      </c>
      <c r="B15" s="170">
        <v>11.5</v>
      </c>
      <c r="C15" s="171">
        <v>8.25</v>
      </c>
      <c r="E15" s="192" t="s">
        <v>20</v>
      </c>
      <c r="F15" s="167" t="s">
        <v>123</v>
      </c>
      <c r="G15" s="167"/>
      <c r="H15" s="10"/>
      <c r="I15" s="10"/>
      <c r="J15" s="166" t="s">
        <v>16</v>
      </c>
      <c r="K15" s="166"/>
      <c r="L15" s="10"/>
      <c r="M15" s="10"/>
      <c r="O15" s="67"/>
      <c r="P15" s="144">
        <v>0.5</v>
      </c>
      <c r="Q15" s="16">
        <f t="shared" si="1"/>
        <v>0</v>
      </c>
      <c r="R15" s="157">
        <f t="shared" si="6"/>
        <v>0</v>
      </c>
      <c r="S15" s="176">
        <f t="shared" si="2"/>
        <v>1</v>
      </c>
      <c r="T15" s="177">
        <f>R15*PRODUCT(S5:S14)*PRODUCT(S16:S19)</f>
        <v>0</v>
      </c>
      <c r="U15" s="177">
        <f>R15*R16*PRODUCT(S5:S14)*PRODUCT(S17:S19)+R15*R17*PRODUCT(S5:S14)*S16*PRODUCT(S18:S19)+R15*R18*PRODUCT(S5:S14)*S16*S17*S19+R15*R19*PRODUCT(S5:S14)*S16*S17*S18</f>
        <v>0</v>
      </c>
      <c r="W15" s="186" t="s">
        <v>56</v>
      </c>
      <c r="X15" s="15" t="s">
        <v>57</v>
      </c>
      <c r="Y15" s="69"/>
      <c r="Z15" s="146">
        <v>0.5</v>
      </c>
      <c r="AA15" s="19">
        <f t="shared" si="3"/>
        <v>0</v>
      </c>
      <c r="AB15" s="157">
        <f t="shared" si="4"/>
        <v>0</v>
      </c>
      <c r="AC15" s="176">
        <f t="shared" si="5"/>
        <v>1</v>
      </c>
      <c r="AD15" s="177">
        <f>AB15*PRODUCT(AC5:AC14)*PRODUCT(AC16:AC19)</f>
        <v>0</v>
      </c>
      <c r="AE15" s="177">
        <f>AB15*AB16*PRODUCT(AC5:AC14)*PRODUCT(AC17:AC19)+AB15*AB17*PRODUCT(AC5:AC14)*AC16*PRODUCT(AC18:AC19)+AB15*AB18*PRODUCT(AC5:AC14)*AC16*AC17*AC19+AB15*AB19*PRODUCT(AC5:AC14)*AC16*AC17*AC18</f>
        <v>0</v>
      </c>
      <c r="BH15">
        <v>1</v>
      </c>
      <c r="BI15">
        <v>3</v>
      </c>
      <c r="BJ15" s="107">
        <f t="shared" si="7"/>
        <v>5.279681976203459E-2</v>
      </c>
      <c r="BP15">
        <f>BP11+1</f>
        <v>5</v>
      </c>
      <c r="BQ15">
        <v>1</v>
      </c>
      <c r="BR15" s="107">
        <f>$H$30*H40</f>
        <v>7.0888421605248874E-3</v>
      </c>
    </row>
    <row r="16" spans="1:70" x14ac:dyDescent="0.25">
      <c r="A16" s="189" t="s">
        <v>82</v>
      </c>
      <c r="B16" s="52">
        <f>AVERAGE(G5:G18)</f>
        <v>12</v>
      </c>
      <c r="C16" s="54">
        <f>AVERAGE(K5:K18)</f>
        <v>12</v>
      </c>
      <c r="E16" s="192" t="s">
        <v>22</v>
      </c>
      <c r="F16" s="167" t="s">
        <v>147</v>
      </c>
      <c r="G16" s="167"/>
      <c r="H16" s="10"/>
      <c r="I16" s="10"/>
      <c r="J16" s="166" t="s">
        <v>123</v>
      </c>
      <c r="K16" s="166"/>
      <c r="L16" s="10"/>
      <c r="M16" s="10"/>
      <c r="O16" s="67">
        <f>COUNTA(L6:L13)*0.03</f>
        <v>0</v>
      </c>
      <c r="P16" s="144">
        <v>0.25</v>
      </c>
      <c r="Q16" s="16">
        <f t="shared" si="1"/>
        <v>0</v>
      </c>
      <c r="R16" s="157">
        <f t="shared" si="6"/>
        <v>0</v>
      </c>
      <c r="S16" s="176">
        <f t="shared" si="2"/>
        <v>1</v>
      </c>
      <c r="T16" s="177">
        <f>R16*PRODUCT(S5:S15)*PRODUCT(S17:S19)</f>
        <v>0</v>
      </c>
      <c r="U16" s="177">
        <f>R16*R17*PRODUCT(S5:S15)*PRODUCT(S18:S19)+R16*R18*PRODUCT(S5:S15)*S17*S19+R16*R19*PRODUCT(S5:S15)*S17*S18</f>
        <v>0</v>
      </c>
      <c r="W16" s="187" t="s">
        <v>58</v>
      </c>
      <c r="X16" s="15" t="s">
        <v>59</v>
      </c>
      <c r="Y16" s="69">
        <f>COUNTA(H6:H13)*0.03</f>
        <v>0</v>
      </c>
      <c r="Z16" s="146">
        <v>0.25</v>
      </c>
      <c r="AA16" s="19">
        <f t="shared" si="3"/>
        <v>0</v>
      </c>
      <c r="AB16" s="157">
        <f t="shared" si="4"/>
        <v>0</v>
      </c>
      <c r="AC16" s="176">
        <f t="shared" si="5"/>
        <v>1</v>
      </c>
      <c r="AD16" s="177">
        <f>AB16*PRODUCT(AC5:AC15)*PRODUCT(AC17:AC19)</f>
        <v>0</v>
      </c>
      <c r="AE16" s="177">
        <f>AB16*AB17*PRODUCT(AC5:AC15)*PRODUCT(AC18:AC19)+AB16*AB18*PRODUCT(AC5:AC15)*AC17*AC19+AB16*AB19*PRODUCT(AC5:AC15)*AC17*AC18</f>
        <v>0</v>
      </c>
      <c r="BH16">
        <v>1</v>
      </c>
      <c r="BI16">
        <v>4</v>
      </c>
      <c r="BJ16" s="107">
        <f t="shared" si="7"/>
        <v>3.9027354148380163E-2</v>
      </c>
      <c r="BP16">
        <f>BP12+1</f>
        <v>5</v>
      </c>
      <c r="BQ16">
        <v>2</v>
      </c>
      <c r="BR16" s="107">
        <f>$H$30*H41</f>
        <v>1.2622856756471975E-2</v>
      </c>
    </row>
    <row r="17" spans="1:70" x14ac:dyDescent="0.25">
      <c r="A17" s="188" t="s">
        <v>10</v>
      </c>
      <c r="B17" s="172" t="s">
        <v>11</v>
      </c>
      <c r="C17" s="173" t="s">
        <v>11</v>
      </c>
      <c r="E17" s="192" t="s">
        <v>22</v>
      </c>
      <c r="F17" s="167"/>
      <c r="G17" s="167"/>
      <c r="H17" s="10"/>
      <c r="I17" s="10"/>
      <c r="J17" s="166"/>
      <c r="K17" s="166"/>
      <c r="L17" s="10"/>
      <c r="M17" s="10"/>
      <c r="O17" s="67">
        <f>(0.02*2)*IF(COUNTBLANK(F14:F15)&lt;&gt;0, (2-COUNTBLANK(F14:F15))/2,1)</f>
        <v>0.04</v>
      </c>
      <c r="P17" s="16" t="str">
        <f>P3</f>
        <v>0,6</v>
      </c>
      <c r="Q17" s="16">
        <f t="shared" si="1"/>
        <v>2.4E-2</v>
      </c>
      <c r="R17" s="157">
        <f t="shared" si="6"/>
        <v>2.5712014311887944E-2</v>
      </c>
      <c r="S17" s="176">
        <f t="shared" si="2"/>
        <v>0.97428798568811203</v>
      </c>
      <c r="T17" s="177">
        <f>R17*PRODUCT(S5:S16)*PRODUCT(S18:S19)</f>
        <v>1.1742510281306824E-2</v>
      </c>
      <c r="U17" s="177">
        <f>R17*R18*PRODUCT(S5:S16)*S19+R17*R19*PRODUCT(S5:S16)*S18</f>
        <v>0</v>
      </c>
      <c r="W17" s="186" t="s">
        <v>60</v>
      </c>
      <c r="X17" s="15" t="s">
        <v>61</v>
      </c>
      <c r="Y17" s="69">
        <f>(0.02*2)*IF(COUNTBLANK(J14:J15)&lt;&gt;0, (2-COUNTBLANK(J14:J15))/2,1)</f>
        <v>0.04</v>
      </c>
      <c r="Z17" s="146" t="str">
        <f>Z3</f>
        <v>0,6</v>
      </c>
      <c r="AA17" s="19">
        <f t="shared" si="3"/>
        <v>2.4E-2</v>
      </c>
      <c r="AB17" s="157">
        <f t="shared" si="4"/>
        <v>2.5838053597730531E-2</v>
      </c>
      <c r="AC17" s="176">
        <f t="shared" si="5"/>
        <v>0.9741619464022695</v>
      </c>
      <c r="AD17" s="177">
        <f>AB17*PRODUCT(AC5:AC16)*PRODUCT(AC18:AC19)</f>
        <v>1.4332628611582361E-2</v>
      </c>
      <c r="AE17" s="177">
        <f>AB17*AB18*PRODUCT(AC5:AC16)*AC19+AB17*AB19*PRODUCT(AC5:AC16)*AC18</f>
        <v>5.7788809474178986E-4</v>
      </c>
      <c r="BH17">
        <v>1</v>
      </c>
      <c r="BI17">
        <v>5</v>
      </c>
      <c r="BJ17" s="107">
        <f t="shared" si="7"/>
        <v>2.0765367148236544E-2</v>
      </c>
      <c r="BP17">
        <f>BP13+1</f>
        <v>5</v>
      </c>
      <c r="BQ17">
        <v>3</v>
      </c>
      <c r="BR17" s="107">
        <f>$H$30*H42</f>
        <v>1.3704828019020255E-2</v>
      </c>
    </row>
    <row r="18" spans="1:70" x14ac:dyDescent="0.25">
      <c r="A18" s="188" t="s">
        <v>12</v>
      </c>
      <c r="B18" s="172">
        <v>20</v>
      </c>
      <c r="C18" s="173">
        <v>20</v>
      </c>
      <c r="E18" s="192" t="s">
        <v>22</v>
      </c>
      <c r="F18" s="167" t="s">
        <v>147</v>
      </c>
      <c r="G18" s="167"/>
      <c r="H18" s="10"/>
      <c r="I18" s="10"/>
      <c r="J18" s="166" t="s">
        <v>21</v>
      </c>
      <c r="K18" s="166"/>
      <c r="L18" s="10"/>
      <c r="M18" s="10"/>
      <c r="O18" s="67">
        <v>0</v>
      </c>
      <c r="P18" s="144">
        <v>0.5</v>
      </c>
      <c r="Q18" s="16">
        <f t="shared" si="1"/>
        <v>0</v>
      </c>
      <c r="R18" s="157">
        <f t="shared" si="6"/>
        <v>0</v>
      </c>
      <c r="S18" s="176">
        <f t="shared" si="2"/>
        <v>1</v>
      </c>
      <c r="T18" s="177">
        <f>R18*PRODUCT(S5:S17)*PRODUCT(S19:S19)</f>
        <v>0</v>
      </c>
      <c r="U18" s="177">
        <f>R18*R19*PRODUCT(S5:S17)</f>
        <v>0</v>
      </c>
      <c r="W18" s="186" t="s">
        <v>62</v>
      </c>
      <c r="X18" s="15" t="s">
        <v>63</v>
      </c>
      <c r="Y18" s="69">
        <v>0</v>
      </c>
      <c r="Z18" s="146">
        <v>0.5</v>
      </c>
      <c r="AA18" s="19">
        <f t="shared" si="3"/>
        <v>0</v>
      </c>
      <c r="AB18" s="157">
        <f t="shared" si="4"/>
        <v>0</v>
      </c>
      <c r="AC18" s="176">
        <f t="shared" si="5"/>
        <v>1</v>
      </c>
      <c r="AD18" s="177">
        <f>AB18*PRODUCT(AC5:AC17)*PRODUCT(AC19:AC19)</f>
        <v>0</v>
      </c>
      <c r="AE18" s="177">
        <f>AB18*AB19*PRODUCT(AC5:AC17)</f>
        <v>0</v>
      </c>
      <c r="BH18">
        <v>1</v>
      </c>
      <c r="BI18">
        <v>6</v>
      </c>
      <c r="BJ18" s="107">
        <f t="shared" si="7"/>
        <v>8.1946416260076024E-3</v>
      </c>
      <c r="BP18">
        <f>BL8+1</f>
        <v>5</v>
      </c>
      <c r="BQ18">
        <v>4</v>
      </c>
      <c r="BR18" s="107">
        <f>$H$30*H43</f>
        <v>1.0130594589819575E-2</v>
      </c>
    </row>
    <row r="19" spans="1:70" x14ac:dyDescent="0.25">
      <c r="H19" s="13" t="s">
        <v>141</v>
      </c>
      <c r="L19" s="13" t="s">
        <v>141</v>
      </c>
      <c r="O19" s="67">
        <f>COUNTIF(F14:F18,"TEC")*0.06*IF(COUNTIF(J6:J13,"CAB")&lt;&gt;0,1,0)</f>
        <v>0</v>
      </c>
      <c r="P19" s="16" t="str">
        <f>P3</f>
        <v>0,6</v>
      </c>
      <c r="Q19" s="16">
        <f t="shared" si="1"/>
        <v>0</v>
      </c>
      <c r="R19" s="157">
        <f t="shared" si="6"/>
        <v>0</v>
      </c>
      <c r="S19" s="178">
        <f t="shared" si="2"/>
        <v>1</v>
      </c>
      <c r="T19" s="179">
        <f>R19*PRODUCT(S5:S18)</f>
        <v>0</v>
      </c>
      <c r="U19" s="179">
        <v>0</v>
      </c>
      <c r="V19" s="1" t="s">
        <v>66</v>
      </c>
      <c r="W19" s="186" t="s">
        <v>64</v>
      </c>
      <c r="X19" s="15" t="s">
        <v>65</v>
      </c>
      <c r="Y19" s="69">
        <f>COUNTIF(J14:J18,"TEC")*0.06*IF(COUNTIF(F6:F13,"CAB")&lt;&gt;0,1,0)</f>
        <v>0.06</v>
      </c>
      <c r="Z19" s="146" t="str">
        <f>Z3</f>
        <v>0,6</v>
      </c>
      <c r="AA19" s="19">
        <f t="shared" si="3"/>
        <v>3.5999999999999997E-2</v>
      </c>
      <c r="AB19" s="157">
        <f t="shared" si="4"/>
        <v>3.8757080396595797E-2</v>
      </c>
      <c r="AC19" s="178">
        <f t="shared" si="5"/>
        <v>0.96124291960340424</v>
      </c>
      <c r="AD19" s="179">
        <f>AB19*PRODUCT(AC5:AC18)</f>
        <v>2.1787886964744433E-2</v>
      </c>
      <c r="AE19" s="179">
        <v>0</v>
      </c>
      <c r="AF19" s="1" t="s">
        <v>66</v>
      </c>
      <c r="BH19">
        <v>1</v>
      </c>
      <c r="BI19">
        <v>7</v>
      </c>
      <c r="BJ19" s="107">
        <f t="shared" si="7"/>
        <v>2.4335228010020516E-3</v>
      </c>
      <c r="BP19">
        <f>BP15+1</f>
        <v>6</v>
      </c>
      <c r="BQ19">
        <v>1</v>
      </c>
      <c r="BR19" s="107">
        <f>$H$31*H40</f>
        <v>2.1377418366127668E-3</v>
      </c>
    </row>
    <row r="20" spans="1:70" x14ac:dyDescent="0.25">
      <c r="A20" s="190" t="s">
        <v>81</v>
      </c>
      <c r="B20">
        <f>IF(B17="Pres",IF(C17="Pres",2,1),IF(C17="Pres",1,0))</f>
        <v>0</v>
      </c>
      <c r="D20" s="36"/>
      <c r="O20" s="22"/>
      <c r="P20" s="22"/>
      <c r="Q20" s="22"/>
      <c r="S20" s="180">
        <f>PRODUCT(S5:S19)</f>
        <v>0.44495100812100974</v>
      </c>
      <c r="T20" s="181">
        <f>SUM(T5:T19)</f>
        <v>0.42714168621456799</v>
      </c>
      <c r="U20" s="181">
        <f>SUM(U5:U19)</f>
        <v>0.11260325560622533</v>
      </c>
      <c r="V20" s="181">
        <f>1-S20-T20-U20</f>
        <v>1.5304050058196933E-2</v>
      </c>
      <c r="W20" s="21"/>
      <c r="X20" s="22"/>
      <c r="Y20" s="22"/>
      <c r="Z20" s="22"/>
      <c r="AA20" s="22"/>
      <c r="AB20" s="23"/>
      <c r="AC20" s="184">
        <f>PRODUCT(AC5:AC19)</f>
        <v>0.54037744493827888</v>
      </c>
      <c r="AD20" s="181">
        <f>SUM(AD5:AD19)</f>
        <v>0.37277840912683974</v>
      </c>
      <c r="AE20" s="181">
        <f>SUM(AE5:AE19)</f>
        <v>7.8607452121729093E-2</v>
      </c>
      <c r="AF20" s="181">
        <f>1-AC20-AD20-AE20</f>
        <v>8.2366938131522849E-3</v>
      </c>
      <c r="BH20">
        <v>1</v>
      </c>
      <c r="BI20">
        <v>8</v>
      </c>
      <c r="BJ20" s="107">
        <f t="shared" si="7"/>
        <v>5.4528903296565756E-4</v>
      </c>
      <c r="BP20">
        <f>BP16+1</f>
        <v>6</v>
      </c>
      <c r="BQ20">
        <v>2</v>
      </c>
      <c r="BR20" s="107">
        <f>$H$31*H41</f>
        <v>3.806603162381913E-3</v>
      </c>
    </row>
    <row r="21" spans="1:70" x14ac:dyDescent="0.25">
      <c r="A21" s="190" t="s">
        <v>78</v>
      </c>
      <c r="B21" s="191">
        <f>5-B20</f>
        <v>5</v>
      </c>
      <c r="C21" s="35"/>
      <c r="D21" s="24"/>
      <c r="E21" s="24"/>
      <c r="O21" s="22"/>
      <c r="P21" s="22"/>
      <c r="Q21" s="22"/>
      <c r="S21" s="182">
        <f>1-T21-U21-V21</f>
        <v>0.44495100812100974</v>
      </c>
      <c r="T21" s="183">
        <f>T20*V1</f>
        <v>0.42714168621456799</v>
      </c>
      <c r="U21" s="183">
        <f>U20*V1</f>
        <v>0.11260325560622533</v>
      </c>
      <c r="V21" s="183">
        <f>V20*V1</f>
        <v>1.5304050058196933E-2</v>
      </c>
      <c r="W21" s="21"/>
      <c r="X21" s="22"/>
      <c r="Y21" s="22"/>
      <c r="Z21" s="22"/>
      <c r="AA21" s="22"/>
      <c r="AB21" s="23"/>
      <c r="AC21" s="185">
        <f>1-AD21-AE21-AF21</f>
        <v>0.54037744493827888</v>
      </c>
      <c r="AD21" s="183">
        <f>AD20*V1</f>
        <v>0.37277840912683974</v>
      </c>
      <c r="AE21" s="183">
        <f>AE20*V1</f>
        <v>7.8607452121729093E-2</v>
      </c>
      <c r="AF21" s="183">
        <f>AF20*V1</f>
        <v>8.2366938131522849E-3</v>
      </c>
      <c r="BH21" s="18">
        <v>1</v>
      </c>
      <c r="BI21">
        <v>9</v>
      </c>
      <c r="BJ21" s="107">
        <f t="shared" si="7"/>
        <v>9.1367370165117872E-5</v>
      </c>
      <c r="BP21">
        <f>BP17+1</f>
        <v>6</v>
      </c>
      <c r="BQ21">
        <v>3</v>
      </c>
      <c r="BR21" s="107">
        <f>$H$31*H42</f>
        <v>4.1328870859882651E-3</v>
      </c>
    </row>
    <row r="22" spans="1:70" x14ac:dyDescent="0.25">
      <c r="A22" s="26" t="s">
        <v>77</v>
      </c>
      <c r="B22" s="62">
        <f>(B6)/((B6)+(C6))</f>
        <v>0.4987775061124694</v>
      </c>
      <c r="C22" s="63">
        <f>1-B22</f>
        <v>0.5012224938875306</v>
      </c>
      <c r="D22" s="24"/>
      <c r="E22" s="24"/>
      <c r="V22" s="59">
        <f>SUM(V25:V35)</f>
        <v>1</v>
      </c>
      <c r="AS22" s="82">
        <f>Y23+AA23+AC23+AE23+AG23+AI23+AK23+AM23+AO23+AQ23+AS23</f>
        <v>1.0000000000000004</v>
      </c>
      <c r="BH22">
        <v>1</v>
      </c>
      <c r="BI22">
        <v>10</v>
      </c>
      <c r="BJ22" s="107">
        <f t="shared" si="7"/>
        <v>1.1174211697716564E-5</v>
      </c>
      <c r="BP22">
        <f>BP18+1</f>
        <v>6</v>
      </c>
      <c r="BQ22">
        <v>4</v>
      </c>
      <c r="BR22" s="107">
        <f>$H$31*H43</f>
        <v>3.0550258270691569E-3</v>
      </c>
    </row>
    <row r="23" spans="1:70" ht="15.75" thickBot="1" x14ac:dyDescent="0.3">
      <c r="A23" s="40" t="s">
        <v>67</v>
      </c>
      <c r="B23" s="56">
        <f>((B22^2.8)/((B22^2.8)+(C22^2.8)))*B21</f>
        <v>2.4828853188432234</v>
      </c>
      <c r="C23" s="57">
        <f>B21-B23</f>
        <v>2.5171146811567766</v>
      </c>
      <c r="D23" s="151">
        <f>SUM(D25:D30)</f>
        <v>1</v>
      </c>
      <c r="E23" s="151">
        <f>SUM(E25:E30)</f>
        <v>1</v>
      </c>
      <c r="H23" s="59">
        <f>SUM(H25:H35)</f>
        <v>0.9999995047775101</v>
      </c>
      <c r="J23" s="59">
        <f>SUM(J25:J35)</f>
        <v>1.0000000000000002</v>
      </c>
      <c r="K23" s="59"/>
      <c r="L23" s="59">
        <f>SUM(L25:L35)</f>
        <v>1</v>
      </c>
      <c r="N23" s="59">
        <f>SUM(N25:N35)</f>
        <v>1.0000000000000002</v>
      </c>
      <c r="O23" s="34"/>
      <c r="P23" s="59">
        <f>SUM(P25:P35)</f>
        <v>1.0000000000000002</v>
      </c>
      <c r="R23" s="59">
        <f>SUM(R25:R35)</f>
        <v>1.0000000000000002</v>
      </c>
      <c r="T23" s="59">
        <f>SUM(T25:T35)</f>
        <v>1</v>
      </c>
      <c r="V23" s="59">
        <f>SUM(V25:V34)</f>
        <v>0.99899501624774656</v>
      </c>
      <c r="Y23" s="80">
        <f>SUM(Y25:Y35)</f>
        <v>1.0350853100753986E-3</v>
      </c>
      <c r="Z23" s="81"/>
      <c r="AA23" s="80">
        <f>SUM(AA25:AA35)</f>
        <v>1.0220498336570136E-2</v>
      </c>
      <c r="AB23" s="81"/>
      <c r="AC23" s="80">
        <f>SUM(AC25:AC35)</f>
        <v>4.5423273943612626E-2</v>
      </c>
      <c r="AD23" s="81"/>
      <c r="AE23" s="80">
        <f>SUM(AE25:AE35)</f>
        <v>0.11966729979620694</v>
      </c>
      <c r="AF23" s="81"/>
      <c r="AG23" s="80">
        <f>SUM(AG25:AG35)</f>
        <v>0.20698252391050637</v>
      </c>
      <c r="AH23" s="81"/>
      <c r="AI23" s="80">
        <f>SUM(AI25:AI35)</f>
        <v>0.24565306223155631</v>
      </c>
      <c r="AJ23" s="81"/>
      <c r="AK23" s="80">
        <f>SUM(AK25:AK35)</f>
        <v>0.20267783343666682</v>
      </c>
      <c r="AL23" s="81"/>
      <c r="AM23" s="80">
        <f>SUM(AM25:AM35)</f>
        <v>0.11487662617546486</v>
      </c>
      <c r="AN23" s="81"/>
      <c r="AO23" s="80">
        <f>SUM(AO25:AO35)</f>
        <v>4.2885602441975326E-2</v>
      </c>
      <c r="AP23" s="81"/>
      <c r="AQ23" s="80">
        <f>SUM(AQ25:AQ35)</f>
        <v>9.5732106651121255E-3</v>
      </c>
      <c r="AR23" s="81"/>
      <c r="AS23" s="80">
        <f>SUM(AS25:AS35)</f>
        <v>1.0049837522534419E-3</v>
      </c>
      <c r="BH23">
        <f t="shared" ref="BH23:BH30" si="8">BH15+1</f>
        <v>2</v>
      </c>
      <c r="BI23">
        <v>3</v>
      </c>
      <c r="BJ23" s="107">
        <f t="shared" ref="BJ23:BJ30" si="9">$H$27*H42</f>
        <v>7.2266780847365847E-2</v>
      </c>
      <c r="BP23">
        <f>BL9+1</f>
        <v>6</v>
      </c>
      <c r="BQ23">
        <v>5</v>
      </c>
      <c r="BR23" s="107">
        <f>$H$31*H44</f>
        <v>1.6254940753924793E-3</v>
      </c>
    </row>
    <row r="24" spans="1:70" ht="15.75" thickBot="1" x14ac:dyDescent="0.3">
      <c r="A24" s="26" t="s">
        <v>76</v>
      </c>
      <c r="B24" s="64">
        <f>B23/B21</f>
        <v>0.49657706376864469</v>
      </c>
      <c r="C24" s="65">
        <f>C23/B21</f>
        <v>0.50342293623135537</v>
      </c>
      <c r="D24" s="13" t="s">
        <v>79</v>
      </c>
      <c r="E24" s="13" t="s">
        <v>80</v>
      </c>
      <c r="G24" s="99" t="s">
        <v>103</v>
      </c>
      <c r="H24" s="100" t="s">
        <v>75</v>
      </c>
      <c r="I24" s="99" t="s">
        <v>100</v>
      </c>
      <c r="J24" s="101" t="s">
        <v>101</v>
      </c>
      <c r="K24" s="99" t="s">
        <v>102</v>
      </c>
      <c r="L24" s="101" t="s">
        <v>75</v>
      </c>
      <c r="M24" s="83" t="s">
        <v>99</v>
      </c>
      <c r="N24" s="27" t="s">
        <v>74</v>
      </c>
      <c r="O24" s="27" t="s">
        <v>126</v>
      </c>
      <c r="P24" s="27" t="s">
        <v>75</v>
      </c>
      <c r="Q24" s="27" t="s">
        <v>87</v>
      </c>
      <c r="R24" s="27" t="s">
        <v>75</v>
      </c>
      <c r="S24" s="27" t="s">
        <v>83</v>
      </c>
      <c r="T24" s="134" t="s">
        <v>75</v>
      </c>
      <c r="U24" s="138" t="s">
        <v>85</v>
      </c>
      <c r="V24" s="139" t="s">
        <v>74</v>
      </c>
      <c r="W24" s="83" t="s">
        <v>73</v>
      </c>
      <c r="X24" s="27" t="s">
        <v>88</v>
      </c>
      <c r="Y24" s="27" t="s">
        <v>75</v>
      </c>
      <c r="Z24" s="27" t="s">
        <v>89</v>
      </c>
      <c r="AA24" s="27" t="s">
        <v>75</v>
      </c>
      <c r="AB24" s="27" t="s">
        <v>90</v>
      </c>
      <c r="AC24" s="27" t="s">
        <v>75</v>
      </c>
      <c r="AD24" s="27" t="s">
        <v>91</v>
      </c>
      <c r="AE24" s="27" t="s">
        <v>75</v>
      </c>
      <c r="AF24" s="27" t="s">
        <v>92</v>
      </c>
      <c r="AG24" s="27" t="s">
        <v>75</v>
      </c>
      <c r="AH24" s="27" t="s">
        <v>93</v>
      </c>
      <c r="AI24" s="27" t="s">
        <v>75</v>
      </c>
      <c r="AJ24" s="27" t="s">
        <v>94</v>
      </c>
      <c r="AK24" s="27" t="s">
        <v>75</v>
      </c>
      <c r="AL24" s="27" t="s">
        <v>95</v>
      </c>
      <c r="AM24" s="27" t="s">
        <v>75</v>
      </c>
      <c r="AN24" s="27" t="s">
        <v>96</v>
      </c>
      <c r="AO24" s="27" t="s">
        <v>75</v>
      </c>
      <c r="AP24" s="27" t="s">
        <v>97</v>
      </c>
      <c r="AQ24" s="27" t="s">
        <v>75</v>
      </c>
      <c r="AR24" s="27" t="s">
        <v>98</v>
      </c>
      <c r="AS24" s="27" t="s">
        <v>75</v>
      </c>
      <c r="AV24" s="14">
        <v>0</v>
      </c>
      <c r="AW24" s="14">
        <v>1</v>
      </c>
      <c r="AX24" s="14">
        <v>2</v>
      </c>
      <c r="AY24" s="14">
        <v>3</v>
      </c>
      <c r="AZ24" s="14">
        <v>4</v>
      </c>
      <c r="BA24" s="14">
        <v>5</v>
      </c>
      <c r="BB24" s="14">
        <v>6</v>
      </c>
      <c r="BC24" s="14">
        <v>7</v>
      </c>
      <c r="BD24" s="14">
        <v>8</v>
      </c>
      <c r="BE24" s="14">
        <v>9</v>
      </c>
      <c r="BF24" s="14">
        <v>10</v>
      </c>
      <c r="BH24">
        <f t="shared" si="8"/>
        <v>2</v>
      </c>
      <c r="BI24">
        <v>4</v>
      </c>
      <c r="BJ24" s="107">
        <f t="shared" si="9"/>
        <v>5.341952909295529E-2</v>
      </c>
      <c r="BP24">
        <f>BH49+1</f>
        <v>7</v>
      </c>
      <c r="BQ24">
        <v>0</v>
      </c>
      <c r="BR24" s="107">
        <f t="shared" ref="BR24:BR30" si="10">$H$32*H39</f>
        <v>1.2555943701705706E-4</v>
      </c>
    </row>
    <row r="25" spans="1:70" x14ac:dyDescent="0.25">
      <c r="A25" s="26" t="s">
        <v>69</v>
      </c>
      <c r="B25" s="117">
        <f>1/(1+EXP(-3.1416*4*((B11/(B11+C8))-(3.1416/6))))</f>
        <v>0.21091587975125142</v>
      </c>
      <c r="C25" s="118">
        <f>1/(1+EXP(-3.1416*4*((C11/(C11+B8))-(3.1416/6))))</f>
        <v>0.4567664718416985</v>
      </c>
      <c r="D25" s="153">
        <f>IF(B17="AOW", 0.36-0.08, IF(B17="AIM", 0.36+0.08, IF(B17="TL",(0.361)-(0.36*B32),0.36)))</f>
        <v>0.36</v>
      </c>
      <c r="E25" s="153">
        <f>IF(C17="AOW", 0.36-0.08, IF(C17="AIM", 0.36+0.08, IF(C17="TL",(0.361)-(0.36*C32),0.36)))</f>
        <v>0.36</v>
      </c>
      <c r="G25" s="126">
        <v>0</v>
      </c>
      <c r="H25" s="127">
        <f>L25*J25</f>
        <v>6.8612772326054922E-2</v>
      </c>
      <c r="I25" s="97">
        <v>0</v>
      </c>
      <c r="J25" s="98">
        <f t="shared" ref="J25:J35" si="11">Y25+AA25+AC25+AE25+AG25+AI25+AK25+AM25+AO25+AQ25+AS25</f>
        <v>0.1542029820671737</v>
      </c>
      <c r="K25" s="97">
        <v>0</v>
      </c>
      <c r="L25" s="98">
        <f>S21</f>
        <v>0.44495100812100974</v>
      </c>
      <c r="M25" s="84">
        <v>0</v>
      </c>
      <c r="N25" s="71">
        <f>(1-$B$24)^$B$21</f>
        <v>3.2334413793530054E-2</v>
      </c>
      <c r="O25" s="70">
        <v>0</v>
      </c>
      <c r="P25" s="71">
        <f>N25</f>
        <v>3.2334413793530054E-2</v>
      </c>
      <c r="Q25" s="12">
        <v>0</v>
      </c>
      <c r="R25" s="73">
        <f>P25*N25</f>
        <v>1.0455143153712265E-3</v>
      </c>
      <c r="S25" s="70">
        <v>0</v>
      </c>
      <c r="T25" s="135">
        <f>(1-$B$33)^(INT(C23*2*(1-C31)))</f>
        <v>0.99002500000000004</v>
      </c>
      <c r="U25" s="140">
        <v>0</v>
      </c>
      <c r="V25" s="86">
        <f>R25*T25</f>
        <v>1.0350853100753986E-3</v>
      </c>
      <c r="W25" s="136">
        <f>B31</f>
        <v>0.34280473173322573</v>
      </c>
      <c r="X25" s="12">
        <v>0</v>
      </c>
      <c r="Y25" s="79">
        <f>V25</f>
        <v>1.0350853100753986E-3</v>
      </c>
      <c r="Z25" s="12">
        <v>0</v>
      </c>
      <c r="AA25" s="78">
        <f>((1-W25)^Z26)*V26</f>
        <v>6.7168631461223312E-3</v>
      </c>
      <c r="AB25" s="12">
        <v>0</v>
      </c>
      <c r="AC25" s="79">
        <f>(((1-$W$25)^AB27))*V27</f>
        <v>1.9618567323764151E-2</v>
      </c>
      <c r="AD25" s="12">
        <v>0</v>
      </c>
      <c r="AE25" s="79">
        <f>(((1-$W$25)^AB28))*V28</f>
        <v>3.3967123894170496E-2</v>
      </c>
      <c r="AF25" s="12">
        <v>0</v>
      </c>
      <c r="AG25" s="79">
        <f>(((1-$W$25)^AB29))*V29</f>
        <v>3.8611030249864634E-2</v>
      </c>
      <c r="AH25" s="12">
        <v>0</v>
      </c>
      <c r="AI25" s="79">
        <f>(((1-$W$25)^AB30))*V30</f>
        <v>3.011579427735522E-2</v>
      </c>
      <c r="AJ25" s="12">
        <v>0</v>
      </c>
      <c r="AK25" s="79">
        <f>(((1-$W$25)^AB31))*V31</f>
        <v>1.632949749928974E-2</v>
      </c>
      <c r="AL25" s="12">
        <v>0</v>
      </c>
      <c r="AM25" s="79">
        <f>(((1-$W$25)^AB32))*V32</f>
        <v>6.082647758894456E-3</v>
      </c>
      <c r="AN25" s="12">
        <v>0</v>
      </c>
      <c r="AO25" s="79">
        <f>(((1-$W$25)^AB33))*V33</f>
        <v>1.4923371091526427E-3</v>
      </c>
      <c r="AP25" s="12">
        <v>0</v>
      </c>
      <c r="AQ25" s="79">
        <f>(((1-$W$25)^AB34))*V34</f>
        <v>2.1893110400494461E-4</v>
      </c>
      <c r="AR25" s="12">
        <v>0</v>
      </c>
      <c r="AS25" s="79">
        <f>(((1-$W$25)^AB35))*V35</f>
        <v>1.5104394479681515E-5</v>
      </c>
      <c r="AV25" s="14">
        <v>1</v>
      </c>
      <c r="AW25">
        <v>1</v>
      </c>
      <c r="AX25">
        <v>2</v>
      </c>
      <c r="AY25">
        <v>3</v>
      </c>
      <c r="AZ25">
        <v>4</v>
      </c>
      <c r="BA25">
        <v>5</v>
      </c>
      <c r="BB25">
        <v>6</v>
      </c>
      <c r="BC25">
        <f>7</f>
        <v>7</v>
      </c>
      <c r="BD25">
        <v>8</v>
      </c>
      <c r="BE25">
        <v>9</v>
      </c>
      <c r="BF25">
        <v>10</v>
      </c>
      <c r="BH25">
        <f t="shared" si="8"/>
        <v>2</v>
      </c>
      <c r="BI25">
        <v>5</v>
      </c>
      <c r="BJ25" s="107">
        <f t="shared" si="9"/>
        <v>2.8423042215050102E-2</v>
      </c>
      <c r="BP25">
        <f>BP19+1</f>
        <v>7</v>
      </c>
      <c r="BQ25">
        <v>1</v>
      </c>
      <c r="BR25" s="107">
        <f t="shared" si="10"/>
        <v>4.8581533282993577E-4</v>
      </c>
    </row>
    <row r="26" spans="1:70" x14ac:dyDescent="0.25">
      <c r="A26" s="40" t="s">
        <v>24</v>
      </c>
      <c r="B26" s="119">
        <f>1/(1+EXP(-3.1416*4*((B10/(B10+C9))-(3.1416/6))))</f>
        <v>0.41095140653231521</v>
      </c>
      <c r="C26" s="120">
        <f>1/(1+EXP(-3.1416*4*((C10/(C10+B9))-(3.1416/6))))</f>
        <v>0.44137955026611614</v>
      </c>
      <c r="D26" s="153">
        <f>IF(B17="AOW", 0.257+0.04, IF(B17="AIM", 0.257-0.04, IF(B17="TL",(0.257)-(0.257*B32),0.257)))</f>
        <v>0.25700000000000001</v>
      </c>
      <c r="E26" s="153">
        <f>IF(C17="AOW", 0.257+0.04, IF(C17="AIM", 0.257-0.04, IF(C17="TL",(0.257)-(0.257*C32),0.257)))</f>
        <v>0.25700000000000001</v>
      </c>
      <c r="G26" s="87">
        <v>1</v>
      </c>
      <c r="H26" s="128">
        <f>L25*J26+L26*J25</f>
        <v>0.20686247267775548</v>
      </c>
      <c r="I26" s="93">
        <v>1</v>
      </c>
      <c r="J26" s="86">
        <f t="shared" si="11"/>
        <v>0.316879720070041</v>
      </c>
      <c r="K26" s="93">
        <v>1</v>
      </c>
      <c r="L26" s="86">
        <f>T21</f>
        <v>0.42714168621456799</v>
      </c>
      <c r="M26" s="85">
        <v>1</v>
      </c>
      <c r="N26" s="71">
        <f>(($B$24)^M26)*((1-($B$24))^($B$21-M26))*HLOOKUP($B$21,$AV$24:$BF$34,M26+1)</f>
        <v>0.15947354703851341</v>
      </c>
      <c r="O26" s="72">
        <v>1</v>
      </c>
      <c r="P26" s="71">
        <f t="shared" ref="P26:P30" si="12">N26</f>
        <v>0.15947354703851341</v>
      </c>
      <c r="Q26" s="28">
        <v>1</v>
      </c>
      <c r="R26" s="37">
        <f>N26*P25+P26*N25</f>
        <v>1.0312967318130544E-2</v>
      </c>
      <c r="S26" s="72">
        <v>1</v>
      </c>
      <c r="T26" s="135">
        <f t="shared" ref="T26:T35" si="13">(($B$33)^S26)*((1-($B$33))^(INT($C$23*2*(1-$C$31))-S26))*HLOOKUP(INT($C$23*2*(1-$C$31)),$AV$24:$BF$34,S26+1)</f>
        <v>9.9500000000000005E-3</v>
      </c>
      <c r="U26" s="93">
        <v>1</v>
      </c>
      <c r="V26" s="86">
        <f>R26*T25+T26*R25</f>
        <v>1.0220498336570136E-2</v>
      </c>
      <c r="W26" s="137"/>
      <c r="X26" s="28">
        <v>1</v>
      </c>
      <c r="Y26" s="73"/>
      <c r="Z26" s="28">
        <v>1</v>
      </c>
      <c r="AA26" s="79">
        <f>(1-((1-W25)^Z26))*V26</f>
        <v>3.5036351904478048E-3</v>
      </c>
      <c r="AB26" s="28">
        <v>1</v>
      </c>
      <c r="AC26" s="79">
        <f>((($W$25)^M26)*((1-($W$25))^($U$27-M26))*HLOOKUP($U$27,$AV$24:$BF$34,M26+1))*V27</f>
        <v>2.0466786762327053E-2</v>
      </c>
      <c r="AD26" s="28">
        <v>1</v>
      </c>
      <c r="AE26" s="79">
        <f>((($W$25)^M26)*((1-($W$25))^($U$28-M26))*HLOOKUP($U$28,$AV$24:$BF$34,M26+1))*V28</f>
        <v>5.315356648108286E-2</v>
      </c>
      <c r="AF26" s="28">
        <v>1</v>
      </c>
      <c r="AG26" s="79">
        <f>((($W$25)^M26)*((1-($W$25))^($U$29-M26))*HLOOKUP($U$29,$AV$24:$BF$34,M26+1))*V29</f>
        <v>8.0560798325014227E-2</v>
      </c>
      <c r="AH26" s="28">
        <v>1</v>
      </c>
      <c r="AI26" s="79">
        <f>((($W$25)^M26)*((1-($W$25))^($U$30-M26))*HLOOKUP($U$30,$AV$24:$BF$34,M26+1))*V30</f>
        <v>7.8544667594829906E-2</v>
      </c>
      <c r="AJ26" s="28">
        <v>1</v>
      </c>
      <c r="AK26" s="79">
        <f>((($W$25)^M26)*((1-($W$25))^($U$31-M26))*HLOOKUP($U$31,$AV$24:$BF$34,M26+1))*V31</f>
        <v>5.1106536640279775E-2</v>
      </c>
      <c r="AL26" s="28">
        <v>1</v>
      </c>
      <c r="AM26" s="79">
        <f>((($W$25)^Q26)*((1-($W$25))^($U$32-Q26))*HLOOKUP($U$32,$AV$24:$BF$34,Q26+1))*V32</f>
        <v>2.2209720211472467E-2</v>
      </c>
      <c r="AN26" s="28">
        <v>1</v>
      </c>
      <c r="AO26" s="79">
        <f>((($W$25)^Q26)*((1-($W$25))^($U$33-Q26))*HLOOKUP($U$33,$AV$24:$BF$34,Q26+1))*V33</f>
        <v>6.22743646597217E-3</v>
      </c>
      <c r="AP26" s="28">
        <v>1</v>
      </c>
      <c r="AQ26" s="79">
        <f>((($W$25)^Q26)*((1-($W$25))^($U$34-Q26))*HLOOKUP($U$34,$AV$24:$BF$34,Q26+1))*V34</f>
        <v>1.0277851926257008E-3</v>
      </c>
      <c r="AR26" s="28">
        <v>1</v>
      </c>
      <c r="AS26" s="79">
        <f>((($W$25)^Q26)*((1-($W$25))^($U$35-Q26))*HLOOKUP($U$35,$AV$24:$BF$34,Q26+1))*V35</f>
        <v>7.8787205989106377E-5</v>
      </c>
      <c r="AV26" s="14">
        <v>2</v>
      </c>
      <c r="AX26">
        <v>1</v>
      </c>
      <c r="AY26">
        <v>3</v>
      </c>
      <c r="AZ26">
        <v>6</v>
      </c>
      <c r="BA26">
        <v>10</v>
      </c>
      <c r="BB26">
        <v>15</v>
      </c>
      <c r="BC26">
        <f>6+15</f>
        <v>21</v>
      </c>
      <c r="BD26">
        <f>21+7</f>
        <v>28</v>
      </c>
      <c r="BE26">
        <f>28+8</f>
        <v>36</v>
      </c>
      <c r="BF26">
        <f>36+9</f>
        <v>45</v>
      </c>
      <c r="BH26">
        <f t="shared" si="8"/>
        <v>2</v>
      </c>
      <c r="BI26">
        <v>6</v>
      </c>
      <c r="BJ26" s="107">
        <f t="shared" si="9"/>
        <v>1.1216591703412325E-2</v>
      </c>
      <c r="BP26">
        <f>BP20+1</f>
        <v>7</v>
      </c>
      <c r="BQ26">
        <v>2</v>
      </c>
      <c r="BR26" s="107">
        <f t="shared" si="10"/>
        <v>8.6507460845424843E-4</v>
      </c>
    </row>
    <row r="27" spans="1:70" x14ac:dyDescent="0.25">
      <c r="A27" s="26" t="s">
        <v>25</v>
      </c>
      <c r="B27" s="119">
        <f>1/(1+EXP(-3.1416*4*((B12/(B12+C7))-(3.1416/6))))</f>
        <v>0.29073488800762715</v>
      </c>
      <c r="C27" s="120">
        <f>1/(1+EXP(-3.1416*4*((C12/(C12+B7))-(3.1416/6))))</f>
        <v>0.44231011753223809</v>
      </c>
      <c r="D27" s="153">
        <f>D26</f>
        <v>0.25700000000000001</v>
      </c>
      <c r="E27" s="153">
        <f>E26</f>
        <v>0.25700000000000001</v>
      </c>
      <c r="G27" s="87">
        <v>2</v>
      </c>
      <c r="H27" s="128">
        <f>L25*J27+J26*L26+J25*L27</f>
        <v>0.28314745179590095</v>
      </c>
      <c r="I27" s="93">
        <v>2</v>
      </c>
      <c r="J27" s="86">
        <f t="shared" si="11"/>
        <v>0.29313599396893358</v>
      </c>
      <c r="K27" s="93">
        <v>2</v>
      </c>
      <c r="L27" s="86">
        <f>U21</f>
        <v>0.11260325560622533</v>
      </c>
      <c r="M27" s="85">
        <v>2</v>
      </c>
      <c r="N27" s="71">
        <f>(($B$24)^M27)*((1-($B$24))^($B$21-M27))*HLOOKUP($B$21,$AV$24:$BF$34,M27+1)</f>
        <v>0.31460984408053472</v>
      </c>
      <c r="O27" s="72">
        <v>2</v>
      </c>
      <c r="P27" s="71">
        <f t="shared" si="12"/>
        <v>0.31460984408053472</v>
      </c>
      <c r="Q27" s="28">
        <v>2</v>
      </c>
      <c r="R27" s="37">
        <f>P25*N27+P26*N26+P27*N25</f>
        <v>4.5777261969080912E-2</v>
      </c>
      <c r="S27" s="72">
        <v>2</v>
      </c>
      <c r="T27" s="135">
        <f t="shared" si="13"/>
        <v>2.5000000000000001E-5</v>
      </c>
      <c r="U27" s="93">
        <v>2</v>
      </c>
      <c r="V27" s="86">
        <f>R27*T25+T26*R26+R25*T27</f>
        <v>4.5423273943612619E-2</v>
      </c>
      <c r="W27" s="137"/>
      <c r="X27" s="28">
        <v>2</v>
      </c>
      <c r="Y27" s="73"/>
      <c r="Z27" s="28">
        <v>2</v>
      </c>
      <c r="AA27" s="79"/>
      <c r="AB27" s="28">
        <v>2</v>
      </c>
      <c r="AC27" s="79">
        <f>((($W$25)^M27)*((1-($W$25))^($U$27-M27))*HLOOKUP($U$27,$AV$24:$BF$34,M27+1))*V27</f>
        <v>5.3379198575214193E-3</v>
      </c>
      <c r="AD27" s="28">
        <v>2</v>
      </c>
      <c r="AE27" s="79">
        <f>((($W$25)^M27)*((1-($W$25))^($U$28-M27))*HLOOKUP($U$28,$AV$24:$BF$34,M27+1))*V28</f>
        <v>2.7725844932308983E-2</v>
      </c>
      <c r="AF27" s="28">
        <v>2</v>
      </c>
      <c r="AG27" s="79">
        <f>((($W$25)^M27)*((1-($W$25))^($U$29-M27))*HLOOKUP($U$29,$AV$24:$BF$34,M27+1))*V29</f>
        <v>6.3032916223334623E-2</v>
      </c>
      <c r="AH27" s="28">
        <v>2</v>
      </c>
      <c r="AI27" s="79">
        <f>((($W$25)^M27)*((1-($W$25))^($U$30-M27))*HLOOKUP($U$30,$AV$24:$BF$34,M27+1))*V30</f>
        <v>8.1940589057896945E-2</v>
      </c>
      <c r="AJ27" s="28">
        <v>2</v>
      </c>
      <c r="AK27" s="79">
        <f>((($W$25)^M27)*((1-($W$25))^($U$31-M27))*HLOOKUP($U$31,$AV$24:$BF$34,M27+1))*V31</f>
        <v>6.6645194467809546E-2</v>
      </c>
      <c r="AL27" s="28">
        <v>2</v>
      </c>
      <c r="AM27" s="79">
        <f>((($W$25)^Q27)*((1-($W$25))^($U$32-Q27))*HLOOKUP($U$32,$AV$24:$BF$34,Q27+1))*V32</f>
        <v>3.4754954333633042E-2</v>
      </c>
      <c r="AN27" s="28">
        <v>2</v>
      </c>
      <c r="AO27" s="79">
        <f>((($W$25)^Q27)*((1-($W$25))^($U$33-Q27))*HLOOKUP($U$33,$AV$24:$BF$34,Q27+1))*V33</f>
        <v>1.1369195375625455E-2</v>
      </c>
      <c r="AP27" s="28">
        <v>2</v>
      </c>
      <c r="AQ27" s="79">
        <f>((($W$25)^Q27)*((1-($W$25))^($U$34-Q27))*HLOOKUP($U$34,$AV$24:$BF$34,Q27+1))*V34</f>
        <v>2.1444440899073204E-3</v>
      </c>
      <c r="AR27" s="28">
        <v>2</v>
      </c>
      <c r="AS27" s="79">
        <f>((($W$25)^Q27)*((1-($W$25))^($U$35-Q27))*HLOOKUP($U$35,$AV$24:$BF$34,Q27+1))*V35</f>
        <v>1.8493563089629693E-4</v>
      </c>
      <c r="AV27" s="14">
        <v>3</v>
      </c>
      <c r="AY27">
        <v>1</v>
      </c>
      <c r="AZ27">
        <v>4</v>
      </c>
      <c r="BA27">
        <v>10</v>
      </c>
      <c r="BB27">
        <v>20</v>
      </c>
      <c r="BC27">
        <f>15+20</f>
        <v>35</v>
      </c>
      <c r="BD27">
        <f>21+35</f>
        <v>56</v>
      </c>
      <c r="BE27">
        <f>28+56</f>
        <v>84</v>
      </c>
      <c r="BF27">
        <f>36+84</f>
        <v>120</v>
      </c>
      <c r="BH27">
        <f t="shared" si="8"/>
        <v>2</v>
      </c>
      <c r="BI27">
        <v>7</v>
      </c>
      <c r="BJ27" s="107">
        <f t="shared" si="9"/>
        <v>3.3309365931457773E-3</v>
      </c>
      <c r="BP27">
        <f>BP21+1</f>
        <v>7</v>
      </c>
      <c r="BQ27">
        <v>3</v>
      </c>
      <c r="BR27" s="107">
        <f t="shared" si="10"/>
        <v>9.3922469067139823E-4</v>
      </c>
    </row>
    <row r="28" spans="1:70" x14ac:dyDescent="0.25">
      <c r="A28" s="26" t="s">
        <v>26</v>
      </c>
      <c r="B28" s="174">
        <v>0.9</v>
      </c>
      <c r="C28" s="175">
        <v>0.9</v>
      </c>
      <c r="D28" s="153">
        <v>8.5000000000000006E-2</v>
      </c>
      <c r="E28" s="153">
        <v>8.5000000000000006E-2</v>
      </c>
      <c r="G28" s="87">
        <v>3</v>
      </c>
      <c r="H28" s="128">
        <f>J28*L25+J27*L26+L28*J25+L27*J26</f>
        <v>0.23478948459689139</v>
      </c>
      <c r="I28" s="93">
        <v>3</v>
      </c>
      <c r="J28" s="86">
        <f t="shared" si="11"/>
        <v>0.16077559611058809</v>
      </c>
      <c r="K28" s="93">
        <v>3</v>
      </c>
      <c r="L28" s="86">
        <f>V21</f>
        <v>1.5304050058196933E-2</v>
      </c>
      <c r="M28" s="85">
        <v>3</v>
      </c>
      <c r="N28" s="71">
        <f>(($B$24)^M28)*((1-($B$24))^($B$21-M28))*HLOOKUP($B$21,$AV$24:$BF$34,M28+1)</f>
        <v>0.31033157483000773</v>
      </c>
      <c r="O28" s="72">
        <v>3</v>
      </c>
      <c r="P28" s="71">
        <f t="shared" si="12"/>
        <v>0.31033157483000773</v>
      </c>
      <c r="Q28" s="28">
        <v>3</v>
      </c>
      <c r="R28" s="37">
        <f>P25*N28+P26*N27+P27*N26+P28*N25</f>
        <v>0.12041267464501565</v>
      </c>
      <c r="S28" s="72">
        <v>3</v>
      </c>
      <c r="T28" s="135">
        <f t="shared" si="13"/>
        <v>0</v>
      </c>
      <c r="U28" s="93">
        <v>3</v>
      </c>
      <c r="V28" s="86">
        <f>R28*T25+R27*T26+R26*T27+R25*T28</f>
        <v>0.11966729979620692</v>
      </c>
      <c r="W28" s="137"/>
      <c r="X28" s="28">
        <v>3</v>
      </c>
      <c r="Y28" s="73"/>
      <c r="Z28" s="28">
        <v>3</v>
      </c>
      <c r="AA28" s="79"/>
      <c r="AB28" s="28">
        <v>3</v>
      </c>
      <c r="AC28" s="79"/>
      <c r="AD28" s="28">
        <v>3</v>
      </c>
      <c r="AE28" s="79">
        <f>((($W$25)^M28)*((1-($W$25))^($U$28-M28))*HLOOKUP($U$28,$AV$24:$BF$34,M28+1))*V28</f>
        <v>4.8207644886446082E-3</v>
      </c>
      <c r="AF28" s="28">
        <v>3</v>
      </c>
      <c r="AG28" s="79">
        <f>((($W$25)^M28)*((1-($W$25))^($U$29-M28))*HLOOKUP($U$29,$AV$24:$BF$34,M28+1))*V29</f>
        <v>2.1919392890426614E-2</v>
      </c>
      <c r="AH28" s="28">
        <v>3</v>
      </c>
      <c r="AI28" s="79">
        <f>((($W$25)^M28)*((1-($W$25))^($U$30-M28))*HLOOKUP($U$30,$AV$24:$BF$34,M28+1))*V30</f>
        <v>4.2741667517077246E-2</v>
      </c>
      <c r="AJ28" s="28">
        <v>3</v>
      </c>
      <c r="AK28" s="79">
        <f>((($W$25)^M28)*((1-($W$25))^($U$31-M28))*HLOOKUP($U$31,$AV$24:$BF$34,M28+1))*V31</f>
        <v>4.6351090488115837E-2</v>
      </c>
      <c r="AL28" s="28">
        <v>3</v>
      </c>
      <c r="AM28" s="79">
        <f>((($W$25)^Q28)*((1-($W$25))^($U$32-Q28))*HLOOKUP($U$32,$AV$24:$BF$34,Q28+1))*V32</f>
        <v>3.0214669753995872E-2</v>
      </c>
      <c r="AN28" s="28">
        <v>3</v>
      </c>
      <c r="AO28" s="79">
        <f>((($W$25)^Q28)*((1-($W$25))^($U$33-Q28))*HLOOKUP($U$33,$AV$24:$BF$34,Q28+1))*V33</f>
        <v>1.1860748727064305E-2</v>
      </c>
      <c r="AP28" s="28">
        <v>3</v>
      </c>
      <c r="AQ28" s="79">
        <f>((($W$25)^Q28)*((1-($W$25))^($U$34-Q28))*HLOOKUP($U$34,$AV$24:$BF$34,Q28+1))*V34</f>
        <v>2.6100203471612154E-3</v>
      </c>
      <c r="AR28" s="28">
        <v>3</v>
      </c>
      <c r="AS28" s="79">
        <f>((($W$25)^Q28)*((1-($W$25))^($U$35-Q28))*HLOOKUP($U$35,$AV$24:$BF$34,Q28+1))*V35</f>
        <v>2.5724189810238804E-4</v>
      </c>
      <c r="AV28" s="14">
        <v>4</v>
      </c>
      <c r="AZ28">
        <v>1</v>
      </c>
      <c r="BA28">
        <v>5</v>
      </c>
      <c r="BB28">
        <v>15</v>
      </c>
      <c r="BC28">
        <f>20+15</f>
        <v>35</v>
      </c>
      <c r="BD28">
        <f>35+35</f>
        <v>70</v>
      </c>
      <c r="BE28">
        <f>56+70</f>
        <v>126</v>
      </c>
      <c r="BF28">
        <f>BE27+BE28</f>
        <v>210</v>
      </c>
      <c r="BH28">
        <f t="shared" si="8"/>
        <v>2</v>
      </c>
      <c r="BI28">
        <v>8</v>
      </c>
      <c r="BJ28" s="107">
        <f t="shared" si="9"/>
        <v>7.4637607381302339E-4</v>
      </c>
      <c r="BP28">
        <f>BP22+1</f>
        <v>7</v>
      </c>
      <c r="BQ28">
        <v>4</v>
      </c>
      <c r="BR28" s="107">
        <f t="shared" si="10"/>
        <v>6.9427391257558023E-4</v>
      </c>
    </row>
    <row r="29" spans="1:70" x14ac:dyDescent="0.25">
      <c r="A29" s="26" t="s">
        <v>27</v>
      </c>
      <c r="B29" s="123">
        <f>1/(1+EXP(-3.1416*4*((B14/(B14+C13))-(3.1416/6))))</f>
        <v>0.2493455947464728</v>
      </c>
      <c r="C29" s="118">
        <f>1/(1+EXP(-3.1416*4*((C14/(C14+B13))-(3.1416/6))))</f>
        <v>0.25677264650337078</v>
      </c>
      <c r="D29" s="153">
        <v>0.04</v>
      </c>
      <c r="E29" s="153">
        <v>0.04</v>
      </c>
      <c r="G29" s="87">
        <v>4</v>
      </c>
      <c r="H29" s="128">
        <f>J29*L25+J28*L26+J27*L27+J26*L28</f>
        <v>0.1322986404672595</v>
      </c>
      <c r="I29" s="93">
        <v>4</v>
      </c>
      <c r="J29" s="86">
        <f t="shared" si="11"/>
        <v>5.7909905624429561E-2</v>
      </c>
      <c r="K29" s="93">
        <v>4</v>
      </c>
      <c r="L29" s="86"/>
      <c r="M29" s="85">
        <v>4</v>
      </c>
      <c r="N29" s="71">
        <f>(($B$24)^M29)*((1-($B$24))^($B$21-M29))*HLOOKUP($B$21,$AV$24:$BF$34,M29+1)</f>
        <v>0.15305574213345352</v>
      </c>
      <c r="O29" s="72">
        <v>4</v>
      </c>
      <c r="P29" s="71">
        <f t="shared" si="12"/>
        <v>0.15305574213345352</v>
      </c>
      <c r="Q29" s="28">
        <v>4</v>
      </c>
      <c r="R29" s="37">
        <f>P25*N29+P26*N28+P27*N27+P28*N26+P29*N25</f>
        <v>0.20785664338399454</v>
      </c>
      <c r="S29" s="72">
        <v>4</v>
      </c>
      <c r="T29" s="135">
        <f t="shared" si="13"/>
        <v>0</v>
      </c>
      <c r="U29" s="93">
        <v>4</v>
      </c>
      <c r="V29" s="86">
        <f>T29*R25+T28*R26+T27*R27+T26*R28+T25*R29</f>
        <v>0.20698252391050634</v>
      </c>
      <c r="W29" s="137"/>
      <c r="X29" s="28">
        <v>4</v>
      </c>
      <c r="Y29" s="73"/>
      <c r="Z29" s="28">
        <v>4</v>
      </c>
      <c r="AA29" s="79"/>
      <c r="AB29" s="28">
        <v>4</v>
      </c>
      <c r="AC29" s="79"/>
      <c r="AD29" s="28">
        <v>4</v>
      </c>
      <c r="AE29" s="79"/>
      <c r="AF29" s="28">
        <v>4</v>
      </c>
      <c r="AG29" s="79">
        <f>((($W$25)^M29)*((1-($W$25))^($U$29-M29))*HLOOKUP($U$29,$AV$24:$BF$34,M29+1))*V29</f>
        <v>2.8583862218662893E-3</v>
      </c>
      <c r="AH29" s="28">
        <v>4</v>
      </c>
      <c r="AI29" s="79">
        <f>((($W$25)^M29)*((1-($W$25))^($U$30-M29))*HLOOKUP($U$30,$AV$24:$BF$34,M29+1))*V30</f>
        <v>1.114740669517017E-2</v>
      </c>
      <c r="AJ29" s="28">
        <v>4</v>
      </c>
      <c r="AK29" s="79">
        <f>((($W$25)^M29)*((1-($W$25))^($U$31-M29))*HLOOKUP($U$31,$AV$24:$BF$34,M29+1))*V31</f>
        <v>1.8133164419563808E-2</v>
      </c>
      <c r="AL29" s="28">
        <v>4</v>
      </c>
      <c r="AM29" s="79">
        <f>((($W$25)^Q29)*((1-($W$25))^($U$32-Q29))*HLOOKUP($U$32,$AV$24:$BF$34,Q29+1))*V32</f>
        <v>1.5760508724816418E-2</v>
      </c>
      <c r="AN29" s="28">
        <v>4</v>
      </c>
      <c r="AO29" s="79">
        <f>((($W$25)^Q29)*((1-($W$25))^($U$33-Q29))*HLOOKUP($U$33,$AV$24:$BF$34,Q29+1))*V33</f>
        <v>7.7334716595334734E-3</v>
      </c>
      <c r="AP29" s="28">
        <v>4</v>
      </c>
      <c r="AQ29" s="79">
        <f>((($W$25)^Q29)*((1-($W$25))^($U$34-Q29))*HLOOKUP($U$34,$AV$24:$BF$34,Q29+1))*V34</f>
        <v>2.0421494983215529E-3</v>
      </c>
      <c r="AR29" s="28">
        <v>4</v>
      </c>
      <c r="AS29" s="79">
        <f>((($W$25)^Q29)*((1-($W$25))^($U$35-Q29))*HLOOKUP($U$35,$AV$24:$BF$34,Q29+1))*V35</f>
        <v>2.348184051578451E-4</v>
      </c>
      <c r="AV29" s="14">
        <v>5</v>
      </c>
      <c r="BA29">
        <v>1</v>
      </c>
      <c r="BB29">
        <v>6</v>
      </c>
      <c r="BC29">
        <f>15+6</f>
        <v>21</v>
      </c>
      <c r="BD29">
        <f>35+21</f>
        <v>56</v>
      </c>
      <c r="BE29">
        <f>70+56</f>
        <v>126</v>
      </c>
      <c r="BF29">
        <f t="shared" ref="BF29:BF34" si="14">BE28+BE29</f>
        <v>252</v>
      </c>
      <c r="BH29">
        <f t="shared" si="8"/>
        <v>2</v>
      </c>
      <c r="BI29">
        <v>9</v>
      </c>
      <c r="BJ29" s="107">
        <f t="shared" si="9"/>
        <v>1.2506105000420346E-4</v>
      </c>
      <c r="BP29">
        <f>BP23+1</f>
        <v>7</v>
      </c>
      <c r="BQ29">
        <v>5</v>
      </c>
      <c r="BR29" s="107">
        <f t="shared" si="10"/>
        <v>3.6940379409945164E-4</v>
      </c>
    </row>
    <row r="30" spans="1:70" x14ac:dyDescent="0.25">
      <c r="A30" s="26" t="s">
        <v>136</v>
      </c>
      <c r="B30" s="174">
        <v>0.15</v>
      </c>
      <c r="C30" s="175">
        <v>0.15</v>
      </c>
      <c r="D30" s="153">
        <f>IF(B17="TL",0.875*B32,0.001)</f>
        <v>1E-3</v>
      </c>
      <c r="E30" s="153">
        <f>IF(C17="TL",0.875*C32,0.001)</f>
        <v>1E-3</v>
      </c>
      <c r="G30" s="87">
        <v>5</v>
      </c>
      <c r="H30" s="128">
        <f>J30*L25+J29*L26+J28*L27+J27*L28</f>
        <v>5.369669280111701E-2</v>
      </c>
      <c r="I30" s="93">
        <v>5</v>
      </c>
      <c r="J30" s="86">
        <f t="shared" si="11"/>
        <v>1.4318283312654848E-2</v>
      </c>
      <c r="K30" s="93">
        <v>5</v>
      </c>
      <c r="L30" s="86"/>
      <c r="M30" s="85">
        <v>5</v>
      </c>
      <c r="N30" s="71">
        <f>(($B$24)^M30)*((1-($B$24))^($B$21-M30))*HLOOKUP($B$21,$AV$24:$BF$34,M30+1)</f>
        <v>3.0194878123960742E-2</v>
      </c>
      <c r="O30" s="72">
        <v>5</v>
      </c>
      <c r="P30" s="71">
        <f t="shared" si="12"/>
        <v>3.0194878123960742E-2</v>
      </c>
      <c r="Q30" s="28">
        <v>5</v>
      </c>
      <c r="R30" s="37">
        <f>P25*N30+P26*N29+P27*N28+P28*N27+P29*N26+P30*N25</f>
        <v>0.24603608829374951</v>
      </c>
      <c r="S30" s="72">
        <v>5</v>
      </c>
      <c r="T30" s="135">
        <f t="shared" si="13"/>
        <v>0</v>
      </c>
      <c r="U30" s="93">
        <v>5</v>
      </c>
      <c r="V30" s="86">
        <f>T30*R25+T29*R26+T28*R27+T27*R28+T26*R29+T25*R30</f>
        <v>0.24565306223155622</v>
      </c>
      <c r="W30" s="137"/>
      <c r="X30" s="28">
        <v>5</v>
      </c>
      <c r="Y30" s="73"/>
      <c r="Z30" s="28">
        <v>5</v>
      </c>
      <c r="AA30" s="79"/>
      <c r="AB30" s="28">
        <v>5</v>
      </c>
      <c r="AC30" s="79"/>
      <c r="AD30" s="28">
        <v>5</v>
      </c>
      <c r="AE30" s="79"/>
      <c r="AF30" s="28">
        <v>5</v>
      </c>
      <c r="AG30" s="79"/>
      <c r="AH30" s="28">
        <v>5</v>
      </c>
      <c r="AI30" s="79">
        <f>((($W$25)^M30)*((1-($W$25))^($U$30-M30))*HLOOKUP($U$30,$AV$24:$BF$34,M30+1))*V30</f>
        <v>1.1629370892268099E-3</v>
      </c>
      <c r="AJ30" s="28">
        <v>5</v>
      </c>
      <c r="AK30" s="79">
        <f>((($W$25)^M30)*((1-($W$25))^($U$31-M30))*HLOOKUP($U$31,$AV$24:$BF$34,M30+1))*V31</f>
        <v>3.7834323309824799E-3</v>
      </c>
      <c r="AL30" s="28">
        <v>5</v>
      </c>
      <c r="AM30" s="79">
        <f>((($W$25)^Q30)*((1-($W$25))^($U$32-Q30))*HLOOKUP($U$32,$AV$24:$BF$34,Q30+1))*V32</f>
        <v>4.9325768698596732E-3</v>
      </c>
      <c r="AN30" s="28">
        <v>5</v>
      </c>
      <c r="AO30" s="79">
        <f>((($W$25)^Q30)*((1-($W$25))^($U$33-Q30))*HLOOKUP($U$33,$AV$24:$BF$34,Q30+1))*V33</f>
        <v>3.227133006729721E-3</v>
      </c>
      <c r="AP30" s="28">
        <v>5</v>
      </c>
      <c r="AQ30" s="79">
        <f>((($W$25)^Q30)*((1-($W$25))^($U$34-Q30))*HLOOKUP($U$34,$AV$24:$BF$34,Q30+1))*V34</f>
        <v>1.0652214718123742E-3</v>
      </c>
      <c r="AR30" s="28">
        <v>5</v>
      </c>
      <c r="AS30" s="79">
        <f>((($W$25)^Q30)*((1-($W$25))^($U$35-Q30))*HLOOKUP($U$35,$AV$24:$BF$34,Q30+1))*V35</f>
        <v>1.4698254404378887E-4</v>
      </c>
      <c r="AV30" s="29">
        <v>6</v>
      </c>
      <c r="BB30">
        <v>1</v>
      </c>
      <c r="BC30">
        <v>7</v>
      </c>
      <c r="BD30">
        <f>28</f>
        <v>28</v>
      </c>
      <c r="BE30">
        <f>56+28</f>
        <v>84</v>
      </c>
      <c r="BF30">
        <f t="shared" si="14"/>
        <v>210</v>
      </c>
      <c r="BH30">
        <f t="shared" si="8"/>
        <v>2</v>
      </c>
      <c r="BI30">
        <v>10</v>
      </c>
      <c r="BJ30" s="107">
        <f t="shared" si="9"/>
        <v>1.5294942224562427E-5</v>
      </c>
      <c r="BP30">
        <f>BL10+1</f>
        <v>7</v>
      </c>
      <c r="BQ30">
        <v>6</v>
      </c>
      <c r="BR30" s="107">
        <f t="shared" si="10"/>
        <v>1.457779044465188E-4</v>
      </c>
    </row>
    <row r="31" spans="1:70" x14ac:dyDescent="0.25">
      <c r="A31" s="189" t="s">
        <v>68</v>
      </c>
      <c r="B31" s="60">
        <f>(B25*D25)+(B26*D26)+(B27*D27)+(B28*D28)+(B29*D29)+(B30*D30)/(B25+B26+B27+B28+B29+B30)</f>
        <v>0.34280473173322573</v>
      </c>
      <c r="C31" s="61">
        <f>(C25*E25)+(C26*E26)+(C27*E27)+(C28*E28)+(C29*E29)+(C30*E30)/(C25+C26+C27+C28+C29+C30)</f>
        <v>0.47837174337576477</v>
      </c>
      <c r="G31" s="87">
        <v>6</v>
      </c>
      <c r="H31" s="128">
        <f>J31*L25+J30*L26+J29*L27+J28*L28</f>
        <v>1.6193006430290147E-2</v>
      </c>
      <c r="I31" s="93">
        <v>6</v>
      </c>
      <c r="J31" s="86">
        <f t="shared" si="11"/>
        <v>2.4625386980895079E-3</v>
      </c>
      <c r="K31" s="93">
        <v>6</v>
      </c>
      <c r="L31" s="86"/>
      <c r="M31" s="85"/>
      <c r="N31" s="73"/>
      <c r="O31" s="37"/>
      <c r="P31" s="37"/>
      <c r="Q31" s="28">
        <v>6</v>
      </c>
      <c r="R31" s="37">
        <f>P26*N30+P27*N29+P28*N28+P29*N27+P30*N26</f>
        <v>0.20224194130659262</v>
      </c>
      <c r="S31" s="70">
        <v>6</v>
      </c>
      <c r="T31" s="135">
        <f t="shared" si="13"/>
        <v>0</v>
      </c>
      <c r="U31" s="93">
        <v>6</v>
      </c>
      <c r="V31" s="86">
        <f>T31*R25+T30*R26+T29*R27+T28*R28+T27*R29+T26*R30+T25*R31</f>
        <v>0.20267783343666676</v>
      </c>
      <c r="W31" s="137"/>
      <c r="X31" s="28">
        <v>6</v>
      </c>
      <c r="Y31" s="73"/>
      <c r="Z31" s="28">
        <v>6</v>
      </c>
      <c r="AA31" s="79"/>
      <c r="AB31" s="28">
        <v>6</v>
      </c>
      <c r="AC31" s="79"/>
      <c r="AD31" s="28">
        <v>6</v>
      </c>
      <c r="AE31" s="79"/>
      <c r="AF31" s="28">
        <v>6</v>
      </c>
      <c r="AG31" s="79"/>
      <c r="AH31" s="28">
        <v>6</v>
      </c>
      <c r="AI31" s="79"/>
      <c r="AJ31" s="28">
        <v>6</v>
      </c>
      <c r="AK31" s="79">
        <f>((($W$25)^Q31)*((1-($W$25))^($U$31-Q31))*HLOOKUP($U$31,$AV$24:$BF$34,Q31+1))*V31</f>
        <v>3.2891759062563761E-4</v>
      </c>
      <c r="AL31" s="28">
        <v>6</v>
      </c>
      <c r="AM31" s="79">
        <f>((($W$25)^Q31)*((1-($W$25))^($U$32-Q31))*HLOOKUP($U$32,$AV$24:$BF$34,Q31+1))*V32</f>
        <v>8.5763991935264023E-4</v>
      </c>
      <c r="AN31" s="28">
        <v>6</v>
      </c>
      <c r="AO31" s="79">
        <f>((($W$25)^Q31)*((1-($W$25))^($U$33-Q31))*HLOOKUP($U$33,$AV$24:$BF$34,Q31+1))*V33</f>
        <v>8.4166496478056717E-4</v>
      </c>
      <c r="AP31" s="28">
        <v>6</v>
      </c>
      <c r="AQ31" s="79">
        <f>((($W$25)^Q31)*((1-($W$25))^($U$34-Q31))*HLOOKUP($U$34,$AV$24:$BF$34,Q31+1))*V34</f>
        <v>3.704256340170754E-4</v>
      </c>
      <c r="AR31" s="28">
        <v>6</v>
      </c>
      <c r="AS31" s="79">
        <f>((($W$25)^Q31)*((1-($W$25))^($U$35-Q31))*HLOOKUP($U$35,$AV$24:$BF$34,Q31+1))*V35</f>
        <v>6.3890589313586916E-5</v>
      </c>
      <c r="AV31" s="14">
        <v>7</v>
      </c>
      <c r="BC31">
        <v>1</v>
      </c>
      <c r="BD31">
        <v>8</v>
      </c>
      <c r="BE31">
        <f>28+8</f>
        <v>36</v>
      </c>
      <c r="BF31">
        <f t="shared" si="14"/>
        <v>120</v>
      </c>
      <c r="BH31">
        <f t="shared" ref="BH31:BH37" si="15">BH24+1</f>
        <v>3</v>
      </c>
      <c r="BI31">
        <v>4</v>
      </c>
      <c r="BJ31" s="107">
        <f t="shared" ref="BJ31:BJ37" si="16">$H$28*H43</f>
        <v>4.4296156026099154E-2</v>
      </c>
      <c r="BP31">
        <f t="shared" ref="BP31:BP37" si="17">BP24+1</f>
        <v>8</v>
      </c>
      <c r="BQ31">
        <v>0</v>
      </c>
      <c r="BR31" s="107">
        <f t="shared" ref="BR31:BR38" si="18">$H$33*H39</f>
        <v>2.1526210970349175E-5</v>
      </c>
    </row>
    <row r="32" spans="1:70" x14ac:dyDescent="0.25">
      <c r="A32" s="26" t="s">
        <v>137</v>
      </c>
      <c r="B32" s="75">
        <f>IF(B17&lt;&gt;"TL",0.001,IF(B18&lt;5,0.1,IF(B18&lt;10,0.2,IF(B18&lt;14,0.3,0.35))))</f>
        <v>1E-3</v>
      </c>
      <c r="C32" s="58">
        <f>IF(C17&lt;&gt;"TL",0.001,IF(C18&lt;5,0.1,IF(C18&lt;10,0.2,IF(C18&lt;14,0.3,0.35))))</f>
        <v>1E-3</v>
      </c>
      <c r="G32" s="87">
        <v>7</v>
      </c>
      <c r="H32" s="128">
        <f>J32*L25+J31*L26+J30*L27+J29*L28</f>
        <v>3.6799629748153271E-3</v>
      </c>
      <c r="I32" s="93">
        <v>7</v>
      </c>
      <c r="J32" s="86">
        <f t="shared" si="11"/>
        <v>2.9119752588706402E-4</v>
      </c>
      <c r="K32" s="93">
        <v>7</v>
      </c>
      <c r="L32" s="86"/>
      <c r="M32" s="85"/>
      <c r="N32" s="73"/>
      <c r="O32" s="37"/>
      <c r="P32" s="37"/>
      <c r="Q32" s="28">
        <v>7</v>
      </c>
      <c r="R32" s="37">
        <f>P27*N30+P28*N29+P29*N28+P30*N27</f>
        <v>0.11399527078332047</v>
      </c>
      <c r="S32" s="72">
        <v>7</v>
      </c>
      <c r="T32" s="135">
        <f t="shared" si="13"/>
        <v>0</v>
      </c>
      <c r="U32" s="93">
        <v>7</v>
      </c>
      <c r="V32" s="86">
        <f>T32*R25+T31*R26+T30*R27+T29*R28+T28*R29+T27*R30+T26*R31+T25*R32</f>
        <v>0.11487662617546479</v>
      </c>
      <c r="W32" s="137"/>
      <c r="X32" s="28">
        <v>7</v>
      </c>
      <c r="Y32" s="73"/>
      <c r="Z32" s="28">
        <v>7</v>
      </c>
      <c r="AA32" s="79"/>
      <c r="AB32" s="28">
        <v>7</v>
      </c>
      <c r="AC32" s="79"/>
      <c r="AD32" s="28">
        <v>7</v>
      </c>
      <c r="AE32" s="79"/>
      <c r="AF32" s="28">
        <v>7</v>
      </c>
      <c r="AG32" s="79"/>
      <c r="AH32" s="28">
        <v>7</v>
      </c>
      <c r="AI32" s="79"/>
      <c r="AJ32" s="28">
        <v>7</v>
      </c>
      <c r="AK32" s="79"/>
      <c r="AL32" s="28">
        <v>7</v>
      </c>
      <c r="AM32" s="79">
        <f>((($W$25)^Q32)*((1-($W$25))^($U$32-Q32))*HLOOKUP($U$32,$AV$24:$BF$34,Q32+1))*V32</f>
        <v>6.3908603440271139E-5</v>
      </c>
      <c r="AN32" s="28">
        <v>7</v>
      </c>
      <c r="AO32" s="79">
        <f>((($W$25)^Q32)*((1-($W$25))^($U$33-Q32))*HLOOKUP($U$33,$AV$24:$BF$34,Q32+1))*V33</f>
        <v>1.2543640110486526E-4</v>
      </c>
      <c r="AP32" s="28">
        <v>7</v>
      </c>
      <c r="AQ32" s="79">
        <f>((($W$25)^Q32)*((1-($W$25))^($U$34-Q32))*HLOOKUP($U$34,$AV$24:$BF$34,Q32+1))*V34</f>
        <v>8.280882599206897E-5</v>
      </c>
      <c r="AR32" s="28">
        <v>7</v>
      </c>
      <c r="AS32" s="79">
        <f>((($W$25)^Q32)*((1-($W$25))^($U$35-Q32))*HLOOKUP($U$35,$AV$24:$BF$34,Q32+1))*V35</f>
        <v>1.9043695349858629E-5</v>
      </c>
      <c r="AV32" s="14">
        <v>8</v>
      </c>
      <c r="BD32">
        <v>1</v>
      </c>
      <c r="BE32">
        <v>9</v>
      </c>
      <c r="BF32">
        <f t="shared" si="14"/>
        <v>45</v>
      </c>
      <c r="BH32">
        <f t="shared" si="15"/>
        <v>3</v>
      </c>
      <c r="BI32">
        <v>5</v>
      </c>
      <c r="BJ32" s="107">
        <f t="shared" si="16"/>
        <v>2.3568749745124528E-2</v>
      </c>
      <c r="BP32">
        <f t="shared" si="17"/>
        <v>8</v>
      </c>
      <c r="BQ32">
        <v>1</v>
      </c>
      <c r="BR32" s="107">
        <f t="shared" si="18"/>
        <v>8.3289345632434845E-5</v>
      </c>
    </row>
    <row r="33" spans="1:70" x14ac:dyDescent="0.25">
      <c r="A33" s="26" t="s">
        <v>84</v>
      </c>
      <c r="B33" s="75">
        <f>IF(B17&lt;&gt;"CA",0.005,IF((B18-B16)&lt;0,0.1,0.1+0.055*(B18-B16)))</f>
        <v>5.0000000000000001E-3</v>
      </c>
      <c r="C33" s="58">
        <f>IF(C17&lt;&gt;"CA",0.005,IF((C18-C16)&lt;0,0.1,0.1+0.055*(C18-C16)))</f>
        <v>5.0000000000000001E-3</v>
      </c>
      <c r="G33" s="87">
        <v>8</v>
      </c>
      <c r="H33" s="128">
        <f>J33*L25+J32*L26+J31*L27+J30*L28</f>
        <v>6.3090167685434233E-4</v>
      </c>
      <c r="I33" s="93">
        <v>8</v>
      </c>
      <c r="J33" s="86">
        <f t="shared" si="11"/>
        <v>2.2702444573795421E-5</v>
      </c>
      <c r="K33" s="93">
        <v>8</v>
      </c>
      <c r="L33" s="86"/>
      <c r="M33" s="85"/>
      <c r="N33" s="73"/>
      <c r="O33" s="37"/>
      <c r="P33" s="37"/>
      <c r="Q33" s="28">
        <v>8</v>
      </c>
      <c r="R33" s="37">
        <f>P28*N30+P29*N29+P30*N28</f>
        <v>4.2166908360040001E-2</v>
      </c>
      <c r="S33" s="72">
        <v>8</v>
      </c>
      <c r="T33" s="135">
        <f t="shared" si="13"/>
        <v>0</v>
      </c>
      <c r="U33" s="93">
        <v>8</v>
      </c>
      <c r="V33" s="86">
        <f>T33*R25+T32*R26+T31*R27+T30*R28+T29*R29+T28*R30+T27*R31+T26*R32+T25*R33</f>
        <v>4.2885602441975305E-2</v>
      </c>
      <c r="W33" s="137"/>
      <c r="X33" s="28">
        <v>8</v>
      </c>
      <c r="Y33" s="73"/>
      <c r="Z33" s="28">
        <v>8</v>
      </c>
      <c r="AA33" s="79"/>
      <c r="AB33" s="28">
        <v>8</v>
      </c>
      <c r="AC33" s="79"/>
      <c r="AD33" s="28">
        <v>8</v>
      </c>
      <c r="AE33" s="79"/>
      <c r="AF33" s="28">
        <v>8</v>
      </c>
      <c r="AG33" s="79"/>
      <c r="AH33" s="28">
        <v>8</v>
      </c>
      <c r="AI33" s="79"/>
      <c r="AJ33" s="28">
        <v>8</v>
      </c>
      <c r="AK33" s="79"/>
      <c r="AL33" s="28">
        <v>8</v>
      </c>
      <c r="AM33" s="79"/>
      <c r="AN33" s="28">
        <v>8</v>
      </c>
      <c r="AO33" s="79">
        <f>((($W$25)^Q33)*((1-($W$25))^($U$33-Q33))*HLOOKUP($U$33,$AV$24:$BF$34,Q33+1))*V33</f>
        <v>8.1787320121269548E-6</v>
      </c>
      <c r="AP33" s="28">
        <v>8</v>
      </c>
      <c r="AQ33" s="79">
        <f>((($W$25)^Q33)*((1-($W$25))^($U$34-Q33))*HLOOKUP($U$34,$AV$24:$BF$34,Q33+1))*V34</f>
        <v>1.0798638833105295E-5</v>
      </c>
      <c r="AR33" s="28">
        <v>8</v>
      </c>
      <c r="AS33" s="79">
        <f>((($W$25)^Q33)*((1-($W$25))^($U$35-Q33))*HLOOKUP($U$35,$AV$24:$BF$34,Q33+1))*V35</f>
        <v>3.7250737285631712E-6</v>
      </c>
      <c r="AV33" s="29">
        <v>9</v>
      </c>
      <c r="BE33">
        <v>1</v>
      </c>
      <c r="BF33">
        <f t="shared" si="14"/>
        <v>10</v>
      </c>
      <c r="BH33">
        <f t="shared" si="15"/>
        <v>3</v>
      </c>
      <c r="BI33">
        <v>6</v>
      </c>
      <c r="BJ33" s="107">
        <f t="shared" si="16"/>
        <v>9.3009411466512554E-3</v>
      </c>
      <c r="BP33">
        <f t="shared" si="17"/>
        <v>8</v>
      </c>
      <c r="BQ33">
        <v>2</v>
      </c>
      <c r="BR33" s="107">
        <f t="shared" si="18"/>
        <v>1.4831046529898521E-4</v>
      </c>
    </row>
    <row r="34" spans="1:70" x14ac:dyDescent="0.25">
      <c r="A34" s="40" t="s">
        <v>86</v>
      </c>
      <c r="B34" s="56">
        <f>B23*2</f>
        <v>4.9657706376864468</v>
      </c>
      <c r="C34" s="57">
        <f>C23*2</f>
        <v>5.0342293623135532</v>
      </c>
      <c r="G34" s="87">
        <v>9</v>
      </c>
      <c r="H34" s="128">
        <f>J34*L25+J33*L26+J32*L27+J31*L28</f>
        <v>8.0644369874714687E-5</v>
      </c>
      <c r="I34" s="93">
        <v>9</v>
      </c>
      <c r="J34" s="86">
        <f t="shared" si="11"/>
        <v>1.057654583339052E-6</v>
      </c>
      <c r="K34" s="93">
        <v>9</v>
      </c>
      <c r="L34" s="86"/>
      <c r="M34" s="85"/>
      <c r="N34" s="73"/>
      <c r="O34" s="37"/>
      <c r="P34" s="37"/>
      <c r="Q34" s="28">
        <v>9</v>
      </c>
      <c r="R34" s="37">
        <f>P29*N30+P30*N29</f>
        <v>9.2429989597839837E-3</v>
      </c>
      <c r="S34" s="72">
        <v>9</v>
      </c>
      <c r="T34" s="135">
        <f t="shared" si="13"/>
        <v>0</v>
      </c>
      <c r="U34" s="93">
        <v>9</v>
      </c>
      <c r="V34" s="86">
        <f>T34*R25+T33*R26+T32*R27+T31*R28+T30*R29+T29*R30+T28*R31+T27*R32+T26*R33+T25*R34</f>
        <v>9.5732106651121203E-3</v>
      </c>
      <c r="W34" s="137"/>
      <c r="X34" s="28">
        <v>9</v>
      </c>
      <c r="Y34" s="73"/>
      <c r="Z34" s="28">
        <v>9</v>
      </c>
      <c r="AA34" s="79"/>
      <c r="AB34" s="28">
        <v>9</v>
      </c>
      <c r="AC34" s="79"/>
      <c r="AD34" s="28">
        <v>9</v>
      </c>
      <c r="AE34" s="79"/>
      <c r="AF34" s="28">
        <v>9</v>
      </c>
      <c r="AG34" s="79"/>
      <c r="AH34" s="28">
        <v>9</v>
      </c>
      <c r="AI34" s="79"/>
      <c r="AJ34" s="28">
        <v>9</v>
      </c>
      <c r="AK34" s="79"/>
      <c r="AL34" s="28">
        <v>9</v>
      </c>
      <c r="AM34" s="79"/>
      <c r="AN34" s="28">
        <v>9</v>
      </c>
      <c r="AO34" s="79"/>
      <c r="AP34" s="28">
        <v>9</v>
      </c>
      <c r="AQ34" s="79">
        <f>((($W$25)^Q34)*((1-($W$25))^($U$34-Q34))*HLOOKUP($U$34,$AV$24:$BF$34,Q34+1))*V34</f>
        <v>6.2586243676767371E-7</v>
      </c>
      <c r="AR34" s="28">
        <v>9</v>
      </c>
      <c r="AS34" s="79">
        <f>((($W$25)^Q34)*((1-($W$25))^($U$35-Q34))*HLOOKUP($U$35,$AV$24:$BF$34,Q34+1))*V35</f>
        <v>4.3179214657137834E-7</v>
      </c>
      <c r="AV34" s="14">
        <v>10</v>
      </c>
      <c r="BF34">
        <f t="shared" si="14"/>
        <v>1</v>
      </c>
      <c r="BH34">
        <f t="shared" si="15"/>
        <v>3</v>
      </c>
      <c r="BI34">
        <v>7</v>
      </c>
      <c r="BJ34" s="107">
        <f t="shared" si="16"/>
        <v>2.7620551799751149E-3</v>
      </c>
      <c r="BP34">
        <f t="shared" si="17"/>
        <v>8</v>
      </c>
      <c r="BQ34">
        <v>3</v>
      </c>
      <c r="BR34" s="107">
        <f t="shared" si="18"/>
        <v>1.6102293320419147E-4</v>
      </c>
    </row>
    <row r="35" spans="1:70" ht="15.75" thickBot="1" x14ac:dyDescent="0.3">
      <c r="G35" s="88">
        <v>10</v>
      </c>
      <c r="H35" s="129">
        <f>J35*L25+J34*L26+J33*L27+J32*L28</f>
        <v>7.4746606963025232E-6</v>
      </c>
      <c r="I35" s="94">
        <v>10</v>
      </c>
      <c r="J35" s="89">
        <f t="shared" si="11"/>
        <v>2.252304575477091E-8</v>
      </c>
      <c r="K35" s="94">
        <v>10</v>
      </c>
      <c r="L35" s="89"/>
      <c r="M35" s="85"/>
      <c r="N35" s="73"/>
      <c r="O35" s="37"/>
      <c r="P35" s="37"/>
      <c r="Q35" s="28">
        <v>10</v>
      </c>
      <c r="R35" s="37">
        <f>P30*N30</f>
        <v>9.1173066492084302E-4</v>
      </c>
      <c r="S35" s="72">
        <v>10</v>
      </c>
      <c r="T35" s="135">
        <f t="shared" si="13"/>
        <v>0</v>
      </c>
      <c r="U35" s="94">
        <v>10</v>
      </c>
      <c r="V35" s="89">
        <f>IF(((T35*R25+T34*R26+T33*R27+T32*R28+T31*R29+T30*R30+T29*R31+T28*R32+T27*R33+T26*R34+T25*R35)+V23)&lt;&gt;1,1-V23,(T35*R25+T34*R26+T33*R27+T32*R28+T31*R29+T30*R30+T29*R31+T28*R32+T27*R33+T26*R34+T25*R35))</f>
        <v>1.0049837522534411E-3</v>
      </c>
      <c r="W35" s="137"/>
      <c r="X35" s="28">
        <v>10</v>
      </c>
      <c r="Y35" s="73"/>
      <c r="Z35" s="28">
        <v>10</v>
      </c>
      <c r="AA35" s="79"/>
      <c r="AB35" s="28">
        <v>10</v>
      </c>
      <c r="AC35" s="79"/>
      <c r="AD35" s="28">
        <v>10</v>
      </c>
      <c r="AE35" s="79"/>
      <c r="AF35" s="28">
        <v>10</v>
      </c>
      <c r="AG35" s="79"/>
      <c r="AH35" s="28">
        <v>10</v>
      </c>
      <c r="AI35" s="79"/>
      <c r="AJ35" s="28">
        <v>10</v>
      </c>
      <c r="AK35" s="79"/>
      <c r="AL35" s="28">
        <v>10</v>
      </c>
      <c r="AM35" s="79"/>
      <c r="AN35" s="28">
        <v>10</v>
      </c>
      <c r="AO35" s="79"/>
      <c r="AP35" s="28">
        <v>10</v>
      </c>
      <c r="AQ35" s="79"/>
      <c r="AR35" s="28">
        <v>10</v>
      </c>
      <c r="AS35" s="79">
        <f>((($W$25)^Q35)*((1-($W$25))^($U$35-Q35))*HLOOKUP($U$35,$AV$24:$BF$34,Q35+1))*V35</f>
        <v>2.252304575477091E-8</v>
      </c>
      <c r="BH35">
        <f t="shared" si="15"/>
        <v>3</v>
      </c>
      <c r="BI35">
        <v>8</v>
      </c>
      <c r="BJ35" s="107">
        <f t="shared" si="16"/>
        <v>6.1890457630651389E-4</v>
      </c>
      <c r="BP35">
        <f t="shared" si="17"/>
        <v>8</v>
      </c>
      <c r="BQ35">
        <v>4</v>
      </c>
      <c r="BR35" s="107">
        <f t="shared" si="18"/>
        <v>1.1902798442208237E-4</v>
      </c>
    </row>
    <row r="36" spans="1:70" x14ac:dyDescent="0.25">
      <c r="A36" s="1"/>
      <c r="B36" s="108">
        <f>SUM(B37:B39)</f>
        <v>0.99998719053721075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59">
        <f>SUM(V39:V49)</f>
        <v>1</v>
      </c>
      <c r="W36" s="13"/>
      <c r="X36" s="13"/>
      <c r="AS36" s="82">
        <f>Y37+AA37+AC37+AE37+AG37+AI37+AK37+AM37+AO37+AQ37+AS37</f>
        <v>0.99999999999999967</v>
      </c>
      <c r="BH36">
        <f t="shared" si="15"/>
        <v>3</v>
      </c>
      <c r="BI36">
        <v>9</v>
      </c>
      <c r="BJ36" s="107">
        <f t="shared" si="16"/>
        <v>1.0370222047697789E-4</v>
      </c>
      <c r="BP36">
        <f t="shared" si="17"/>
        <v>8</v>
      </c>
      <c r="BQ36">
        <v>5</v>
      </c>
      <c r="BR36" s="107">
        <f t="shared" si="18"/>
        <v>6.3331472280749198E-5</v>
      </c>
    </row>
    <row r="37" spans="1:70" ht="15.75" thickBot="1" x14ac:dyDescent="0.3">
      <c r="A37" s="109" t="s">
        <v>104</v>
      </c>
      <c r="B37" s="107">
        <f>SUM(BN4:BN14)</f>
        <v>0.18717283294113982</v>
      </c>
      <c r="G37" s="13"/>
      <c r="H37" s="59">
        <f>SUM(H39:H49)</f>
        <v>0.99999515997805954</v>
      </c>
      <c r="I37" s="13"/>
      <c r="J37" s="59">
        <f>SUM(J39:J49)</f>
        <v>0.99999999999999967</v>
      </c>
      <c r="K37" s="59"/>
      <c r="L37" s="59">
        <f>SUM(L39:L49)</f>
        <v>0.99999999999999989</v>
      </c>
      <c r="M37" s="13"/>
      <c r="N37" s="74">
        <f>SUM(N39:N49)</f>
        <v>0.99999999999999989</v>
      </c>
      <c r="O37" s="13"/>
      <c r="P37" s="74">
        <f>SUM(P39:P49)</f>
        <v>0.99999999999999989</v>
      </c>
      <c r="Q37" s="13"/>
      <c r="R37" s="59">
        <f>SUM(R39:R49)</f>
        <v>0.99999999999999978</v>
      </c>
      <c r="S37" s="13"/>
      <c r="T37" s="59">
        <f>SUM(T39:T49)</f>
        <v>1</v>
      </c>
      <c r="U37" s="13"/>
      <c r="V37" s="59">
        <f>SUM(V39:V48)</f>
        <v>0.99879712645636798</v>
      </c>
      <c r="W37" s="13"/>
      <c r="X37" s="13"/>
      <c r="Y37" s="80">
        <f>SUM(Y39:Y49)</f>
        <v>8.9812297078056531E-4</v>
      </c>
      <c r="Z37" s="81"/>
      <c r="AA37" s="80">
        <f>SUM(AA39:AA49)</f>
        <v>9.118585587207401E-3</v>
      </c>
      <c r="AB37" s="81"/>
      <c r="AC37" s="80">
        <f>SUM(AC39:AC49)</f>
        <v>4.1674892020481073E-2</v>
      </c>
      <c r="AD37" s="81"/>
      <c r="AE37" s="80">
        <f>SUM(AE39:AE49)</f>
        <v>0.11292076139197138</v>
      </c>
      <c r="AF37" s="81"/>
      <c r="AG37" s="80">
        <f>SUM(AG39:AG49)</f>
        <v>0.20091947543261893</v>
      </c>
      <c r="AH37" s="81"/>
      <c r="AI37" s="80">
        <f>SUM(AI39:AI49)</f>
        <v>0.24537584975853063</v>
      </c>
      <c r="AJ37" s="81"/>
      <c r="AK37" s="80">
        <f>SUM(AK39:AK49)</f>
        <v>0.20842319172838195</v>
      </c>
      <c r="AL37" s="81"/>
      <c r="AM37" s="80">
        <f>SUM(AM39:AM49)</f>
        <v>0.12172063524817953</v>
      </c>
      <c r="AN37" s="81"/>
      <c r="AO37" s="80">
        <f>SUM(AO39:AO49)</f>
        <v>4.6897746041789624E-2</v>
      </c>
      <c r="AP37" s="81"/>
      <c r="AQ37" s="80">
        <f>SUM(AQ39:AQ49)</f>
        <v>1.0847866276426423E-2</v>
      </c>
      <c r="AR37" s="81"/>
      <c r="AS37" s="80">
        <f>SUM(AS39:AS49)</f>
        <v>1.2028735436320208E-3</v>
      </c>
      <c r="BH37">
        <f t="shared" si="15"/>
        <v>3</v>
      </c>
      <c r="BI37">
        <v>10</v>
      </c>
      <c r="BJ37" s="107">
        <f t="shared" si="16"/>
        <v>1.2682761504888213E-5</v>
      </c>
      <c r="BP37">
        <f t="shared" si="17"/>
        <v>8</v>
      </c>
      <c r="BQ37">
        <v>6</v>
      </c>
      <c r="BR37" s="107">
        <f t="shared" si="18"/>
        <v>2.4992513509795908E-5</v>
      </c>
    </row>
    <row r="38" spans="1:70" ht="15.75" thickBot="1" x14ac:dyDescent="0.3">
      <c r="A38" s="110" t="s">
        <v>105</v>
      </c>
      <c r="B38" s="107">
        <f>SUM(BJ4:BJ59)</f>
        <v>0.51319688513462347</v>
      </c>
      <c r="G38" s="103" t="str">
        <f t="shared" ref="G38:T38" si="19">G24</f>
        <v>G</v>
      </c>
      <c r="H38" s="104" t="str">
        <f t="shared" si="19"/>
        <v>p</v>
      </c>
      <c r="I38" s="103" t="str">
        <f t="shared" si="19"/>
        <v>GT</v>
      </c>
      <c r="J38" s="105" t="str">
        <f t="shared" si="19"/>
        <v>p(x)</v>
      </c>
      <c r="K38" s="106" t="str">
        <f t="shared" si="19"/>
        <v>EE(x)</v>
      </c>
      <c r="L38" s="105" t="str">
        <f t="shared" si="19"/>
        <v>p</v>
      </c>
      <c r="M38" s="90" t="str">
        <f t="shared" si="19"/>
        <v>OcaS</v>
      </c>
      <c r="N38" s="30" t="str">
        <f t="shared" si="19"/>
        <v>P</v>
      </c>
      <c r="O38" s="30" t="str">
        <f t="shared" si="19"/>
        <v>O_CA</v>
      </c>
      <c r="P38" s="30" t="str">
        <f t="shared" si="19"/>
        <v>p</v>
      </c>
      <c r="Q38" s="30" t="str">
        <f t="shared" si="19"/>
        <v>TotalN</v>
      </c>
      <c r="R38" s="30" t="str">
        <f t="shared" si="19"/>
        <v>p</v>
      </c>
      <c r="S38" s="30" t="str">
        <f t="shared" si="19"/>
        <v>OcaCA</v>
      </c>
      <c r="T38" s="141" t="str">
        <f t="shared" si="19"/>
        <v>p</v>
      </c>
      <c r="U38" s="142" t="str">
        <f>U24</f>
        <v>Total</v>
      </c>
      <c r="V38" s="143" t="str">
        <f>V24</f>
        <v>P</v>
      </c>
      <c r="W38" s="90" t="str">
        <f>W24</f>
        <v>E(x)</v>
      </c>
      <c r="X38" s="30" t="str">
        <f t="shared" ref="X38" si="20">X24</f>
        <v>G0</v>
      </c>
      <c r="Y38" s="30" t="str">
        <f>Y24</f>
        <v>p</v>
      </c>
      <c r="Z38" s="30" t="str">
        <f t="shared" ref="Z38" si="21">Z24</f>
        <v>G1</v>
      </c>
      <c r="AA38" s="30" t="str">
        <f>AA24</f>
        <v>p</v>
      </c>
      <c r="AB38" s="30" t="str">
        <f t="shared" ref="AB38" si="22">AB24</f>
        <v>G2</v>
      </c>
      <c r="AC38" s="30" t="str">
        <f>AC24</f>
        <v>p</v>
      </c>
      <c r="AD38" s="30" t="str">
        <f t="shared" ref="AD38" si="23">AD24</f>
        <v>G3</v>
      </c>
      <c r="AE38" s="30" t="str">
        <f>AE24</f>
        <v>p</v>
      </c>
      <c r="AF38" s="30" t="str">
        <f t="shared" ref="AF38" si="24">AF24</f>
        <v>G4</v>
      </c>
      <c r="AG38" s="30" t="str">
        <f>AG24</f>
        <v>p</v>
      </c>
      <c r="AH38" s="30" t="str">
        <f t="shared" ref="AH38" si="25">AH24</f>
        <v>G5</v>
      </c>
      <c r="AI38" s="30" t="str">
        <f>AI24</f>
        <v>p</v>
      </c>
      <c r="AJ38" s="30" t="str">
        <f t="shared" ref="AJ38" si="26">AJ24</f>
        <v>G6</v>
      </c>
      <c r="AK38" s="30" t="str">
        <f>AK24</f>
        <v>p</v>
      </c>
      <c r="AL38" s="30" t="str">
        <f t="shared" ref="AL38" si="27">AL24</f>
        <v>G7</v>
      </c>
      <c r="AM38" s="30" t="str">
        <f>AM24</f>
        <v>p</v>
      </c>
      <c r="AN38" s="30" t="str">
        <f t="shared" ref="AN38" si="28">AN24</f>
        <v>G8</v>
      </c>
      <c r="AO38" s="30" t="str">
        <f>AO24</f>
        <v>p</v>
      </c>
      <c r="AP38" s="30" t="str">
        <f t="shared" ref="AP38" si="29">AP24</f>
        <v>G9</v>
      </c>
      <c r="AQ38" s="30" t="str">
        <f>AQ24</f>
        <v>p</v>
      </c>
      <c r="AR38" s="30" t="str">
        <f t="shared" ref="AR38" si="30">AR24</f>
        <v>G10</v>
      </c>
      <c r="AS38" s="30" t="str">
        <f>AS24</f>
        <v>p</v>
      </c>
      <c r="AV38" s="14">
        <v>0</v>
      </c>
      <c r="AW38" s="14">
        <v>1</v>
      </c>
      <c r="AX38" s="14">
        <v>2</v>
      </c>
      <c r="AY38" s="14">
        <v>3</v>
      </c>
      <c r="AZ38" s="14">
        <v>4</v>
      </c>
      <c r="BA38" s="14">
        <v>5</v>
      </c>
      <c r="BB38" s="14">
        <v>6</v>
      </c>
      <c r="BC38" s="14">
        <v>7</v>
      </c>
      <c r="BD38" s="14">
        <v>8</v>
      </c>
      <c r="BE38" s="14">
        <v>9</v>
      </c>
      <c r="BF38" s="14">
        <v>10</v>
      </c>
      <c r="BH38">
        <f t="shared" ref="BH38:BH43" si="31">BH32+1</f>
        <v>4</v>
      </c>
      <c r="BI38">
        <v>5</v>
      </c>
      <c r="BJ38" s="107">
        <f t="shared" ref="BJ38:BJ43" si="32">$H$29*H44</f>
        <v>1.3280465069151259E-2</v>
      </c>
      <c r="BP38">
        <f>BL11+1</f>
        <v>8</v>
      </c>
      <c r="BQ38">
        <v>7</v>
      </c>
      <c r="BR38" s="107">
        <f t="shared" si="18"/>
        <v>7.4219049784208018E-6</v>
      </c>
    </row>
    <row r="39" spans="1:70" x14ac:dyDescent="0.25">
      <c r="A39" s="111" t="s">
        <v>0</v>
      </c>
      <c r="B39" s="107">
        <f>SUM(BR4:BR47)</f>
        <v>0.29961747246144743</v>
      </c>
      <c r="G39" s="130">
        <v>0</v>
      </c>
      <c r="H39" s="131">
        <f>L39*J39</f>
        <v>3.4119755518289704E-2</v>
      </c>
      <c r="I39" s="97">
        <v>0</v>
      </c>
      <c r="J39" s="98">
        <f t="shared" ref="J39:J49" si="33">Y39+AA39+AC39+AE39+AG39+AI39+AK39+AM39+AO39+AQ39+AS39</f>
        <v>6.3140598923751914E-2</v>
      </c>
      <c r="K39" s="102">
        <v>0</v>
      </c>
      <c r="L39" s="98">
        <f>AC21</f>
        <v>0.54037744493827888</v>
      </c>
      <c r="M39" s="84">
        <v>0</v>
      </c>
      <c r="N39" s="71">
        <f>(1-$C$24)^$B$21</f>
        <v>3.0194878123960725E-2</v>
      </c>
      <c r="O39" s="70">
        <v>0</v>
      </c>
      <c r="P39" s="71">
        <f>N39</f>
        <v>3.0194878123960725E-2</v>
      </c>
      <c r="Q39" s="12">
        <v>0</v>
      </c>
      <c r="R39" s="73">
        <f>P39*N39</f>
        <v>9.1173066492084194E-4</v>
      </c>
      <c r="S39" s="70">
        <v>0</v>
      </c>
      <c r="T39" s="135">
        <f>(1-$C$33)^(INT(B23*2*(1-B31)))</f>
        <v>0.98507487500000002</v>
      </c>
      <c r="U39" s="140">
        <v>0</v>
      </c>
      <c r="V39" s="86">
        <f>R39*T39</f>
        <v>8.9812297078056531E-4</v>
      </c>
      <c r="W39" s="136">
        <f>C31</f>
        <v>0.47837174337576477</v>
      </c>
      <c r="X39" s="12">
        <v>0</v>
      </c>
      <c r="Y39" s="79">
        <f>V39</f>
        <v>8.9812297078056531E-4</v>
      </c>
      <c r="Z39" s="12">
        <v>0</v>
      </c>
      <c r="AA39" s="78">
        <f>((1-W39)^Z40)*V40</f>
        <v>4.7565119027338744E-3</v>
      </c>
      <c r="AB39" s="12">
        <v>0</v>
      </c>
      <c r="AC39" s="79">
        <f>(((1-$W$39)^AB41))*V41</f>
        <v>1.1339573007386567E-2</v>
      </c>
      <c r="AD39" s="12">
        <v>0</v>
      </c>
      <c r="AE39" s="79">
        <f>(((1-$W$39)^AB42))*V42</f>
        <v>1.6027180393291006E-2</v>
      </c>
      <c r="AF39" s="12">
        <v>0</v>
      </c>
      <c r="AG39" s="79">
        <f>(((1-$W$39)^AB43))*V43</f>
        <v>1.4875325307539671E-2</v>
      </c>
      <c r="AH39" s="12">
        <v>0</v>
      </c>
      <c r="AI39" s="79">
        <f>(((1-$W$39)^AB44))*V44</f>
        <v>9.476268601881133E-3</v>
      </c>
      <c r="AJ39" s="12">
        <v>0</v>
      </c>
      <c r="AK39" s="79">
        <f>(((1-$W$39)^AB45))*V45</f>
        <v>4.1986792317643172E-3</v>
      </c>
      <c r="AL39" s="12">
        <v>0</v>
      </c>
      <c r="AM39" s="79">
        <f>(((1-$W$39)^AB46))*V46</f>
        <v>1.2790631116646304E-3</v>
      </c>
      <c r="AN39" s="12">
        <v>0</v>
      </c>
      <c r="AO39" s="79">
        <f>(((1-$W$39)^AB47))*V47</f>
        <v>2.5706375282021191E-4</v>
      </c>
      <c r="AP39" s="12">
        <v>0</v>
      </c>
      <c r="AQ39" s="79">
        <f>(((1-$W$39)^AB48))*V48</f>
        <v>3.1016608259506215E-5</v>
      </c>
      <c r="AR39" s="12">
        <v>0</v>
      </c>
      <c r="AS39" s="79">
        <f>(((1-$W$39)^AB49))*V49</f>
        <v>1.7940356304301009E-6</v>
      </c>
      <c r="AV39" s="14">
        <v>1</v>
      </c>
      <c r="AW39">
        <v>1</v>
      </c>
      <c r="AX39">
        <v>2</v>
      </c>
      <c r="AY39">
        <v>3</v>
      </c>
      <c r="AZ39">
        <v>4</v>
      </c>
      <c r="BA39">
        <v>5</v>
      </c>
      <c r="BB39">
        <v>6</v>
      </c>
      <c r="BC39">
        <f>7</f>
        <v>7</v>
      </c>
      <c r="BD39">
        <v>8</v>
      </c>
      <c r="BE39">
        <v>9</v>
      </c>
      <c r="BF39">
        <v>10</v>
      </c>
      <c r="BH39">
        <f t="shared" si="31"/>
        <v>4</v>
      </c>
      <c r="BI39">
        <v>6</v>
      </c>
      <c r="BJ39" s="107">
        <f t="shared" si="32"/>
        <v>5.240872992589918E-3</v>
      </c>
      <c r="BP39">
        <f t="shared" ref="BP39:BP46" si="34">BP31+1</f>
        <v>9</v>
      </c>
      <c r="BQ39">
        <v>0</v>
      </c>
      <c r="BR39" s="107">
        <f t="shared" ref="BR39:BR47" si="35">$H$34*H39</f>
        <v>2.7515661840517925E-6</v>
      </c>
    </row>
    <row r="40" spans="1:70" x14ac:dyDescent="0.25">
      <c r="G40" s="91">
        <v>1</v>
      </c>
      <c r="H40" s="132">
        <f>L39*J40+L40*J39</f>
        <v>0.13201636433701228</v>
      </c>
      <c r="I40" s="93">
        <v>1</v>
      </c>
      <c r="J40" s="86">
        <f t="shared" si="33"/>
        <v>0.20074655841953301</v>
      </c>
      <c r="K40" s="95">
        <v>1</v>
      </c>
      <c r="L40" s="86">
        <f>AD21</f>
        <v>0.37277840912683974</v>
      </c>
      <c r="M40" s="85">
        <v>1</v>
      </c>
      <c r="N40" s="71">
        <f>(($C$24)^M26)*((1-($C$24))^($B$21-M26))*HLOOKUP($B$21,$AV$24:$BF$34,M26+1)</f>
        <v>0.15305574213345344</v>
      </c>
      <c r="O40" s="72">
        <v>1</v>
      </c>
      <c r="P40" s="71">
        <f t="shared" ref="P40:P44" si="36">N40</f>
        <v>0.15305574213345344</v>
      </c>
      <c r="Q40" s="28">
        <v>1</v>
      </c>
      <c r="R40" s="37">
        <f>P40*N39+P39*N40</f>
        <v>9.2429989597839733E-3</v>
      </c>
      <c r="S40" s="72">
        <v>1</v>
      </c>
      <c r="T40" s="135">
        <f t="shared" ref="T40:T49" si="37">(($C$33)^S40)*((1-($C$33))^(INT($B$23*2*(1-$B$31))-S40))*HLOOKUP(INT($B$23*2*(1-$B$31)),$AV$24:$BF$34,S40+1)</f>
        <v>1.4850375000000002E-2</v>
      </c>
      <c r="U40" s="93">
        <v>1</v>
      </c>
      <c r="V40" s="86">
        <f>R40*T39+T40*R39</f>
        <v>9.118585587207401E-3</v>
      </c>
      <c r="W40" s="137"/>
      <c r="X40" s="28">
        <v>1</v>
      </c>
      <c r="Y40" s="73"/>
      <c r="Z40" s="28">
        <v>1</v>
      </c>
      <c r="AA40" s="79">
        <f>(1-((1-W39)^Z40))*V40</f>
        <v>4.3620736844735266E-3</v>
      </c>
      <c r="AB40" s="28">
        <v>1</v>
      </c>
      <c r="AC40" s="79">
        <f>((($W$39)^M40)*((1-($W$39))^($U$27-M40))*HLOOKUP($U$27,$AV$24:$BF$34,M40+1))*V41</f>
        <v>2.0798456524520451E-2</v>
      </c>
      <c r="AD40" s="28">
        <v>1</v>
      </c>
      <c r="AE40" s="79">
        <f>((($W$39)^M40)*((1-($W$39))^($U$28-M40))*HLOOKUP($U$28,$AV$24:$BF$34,M40+1))*V42</f>
        <v>4.4094334205093844E-2</v>
      </c>
      <c r="AF40" s="28">
        <v>1</v>
      </c>
      <c r="AG40" s="79">
        <f>((($W$39)^M40)*((1-($W$39))^($U$29-M40))*HLOOKUP($U$29,$AV$24:$BF$34,M40+1))*V43</f>
        <v>5.4567099924385319E-2</v>
      </c>
      <c r="AH40" s="28">
        <v>1</v>
      </c>
      <c r="AI40" s="79">
        <f>((($W$39)^M40)*((1-($W$39))^($U$30-M40))*HLOOKUP($U$30,$AV$24:$BF$34,M40+1))*V44</f>
        <v>4.3452200625746201E-2</v>
      </c>
      <c r="AJ40" s="28">
        <v>1</v>
      </c>
      <c r="AK40" s="79">
        <f>((($W$39)^M40)*((1-($W$39))^($U$31-M40))*HLOOKUP($U$31,$AV$24:$BF$34,M40+1))*V45</f>
        <v>2.3102998870955668E-2</v>
      </c>
      <c r="AL40" s="28">
        <v>1</v>
      </c>
      <c r="AM40" s="79">
        <f>((($W$39)^Q40)*((1-($W$39))^($U$32-Q40))*HLOOKUP($U$32,$AV$24:$BF$34,Q40+1))*V46</f>
        <v>8.2109692101819381E-3</v>
      </c>
      <c r="AN40" s="28">
        <v>1</v>
      </c>
      <c r="AO40" s="79">
        <f>((($W$39)^Q40)*((1-($W$39))^($U$33-Q40))*HLOOKUP($U$33,$AV$24:$BF$34,Q40+1))*V47</f>
        <v>1.8859719968568607E-3</v>
      </c>
      <c r="AP40" s="28">
        <v>1</v>
      </c>
      <c r="AQ40" s="79">
        <f>((($W$39)^Q40)*((1-($W$39))^($U$34-Q40))*HLOOKUP($U$34,$AV$24:$BF$34,Q40+1))*V48</f>
        <v>2.5600074191633424E-4</v>
      </c>
      <c r="AR40" s="28">
        <v>1</v>
      </c>
      <c r="AS40" s="79">
        <f>((($W$39)^Q40)*((1-($W$39))^($U$35-Q40))*HLOOKUP($U$35,$AV$24:$BF$34,Q40+1))*V49</f>
        <v>1.6452635402865432E-5</v>
      </c>
      <c r="AV40" s="14">
        <v>2</v>
      </c>
      <c r="AX40">
        <v>1</v>
      </c>
      <c r="AY40">
        <v>3</v>
      </c>
      <c r="AZ40">
        <v>6</v>
      </c>
      <c r="BA40">
        <v>10</v>
      </c>
      <c r="BB40">
        <v>15</v>
      </c>
      <c r="BC40">
        <f>6+15</f>
        <v>21</v>
      </c>
      <c r="BD40">
        <f>21+7</f>
        <v>28</v>
      </c>
      <c r="BE40">
        <f>28+8</f>
        <v>36</v>
      </c>
      <c r="BF40">
        <f>36+9</f>
        <v>45</v>
      </c>
      <c r="BH40">
        <f t="shared" si="31"/>
        <v>4</v>
      </c>
      <c r="BI40">
        <v>7</v>
      </c>
      <c r="BJ40" s="107">
        <f t="shared" si="32"/>
        <v>1.5563565201126455E-3</v>
      </c>
      <c r="BP40">
        <f t="shared" si="34"/>
        <v>9</v>
      </c>
      <c r="BQ40">
        <v>1</v>
      </c>
      <c r="BR40" s="107">
        <f t="shared" si="35"/>
        <v>1.064637651510911E-5</v>
      </c>
    </row>
    <row r="41" spans="1:70" x14ac:dyDescent="0.25">
      <c r="G41" s="91">
        <v>2</v>
      </c>
      <c r="H41" s="132">
        <f>L39*J41+J40*L40+J39*L41</f>
        <v>0.23507698701714813</v>
      </c>
      <c r="I41" s="93">
        <v>2</v>
      </c>
      <c r="J41" s="86">
        <f t="shared" si="33"/>
        <v>0.28735411549741147</v>
      </c>
      <c r="K41" s="95">
        <v>2</v>
      </c>
      <c r="L41" s="86">
        <f>AE21</f>
        <v>7.8607452121729093E-2</v>
      </c>
      <c r="M41" s="85">
        <v>2</v>
      </c>
      <c r="N41" s="71">
        <f>(($C$24)^M27)*((1-($C$24))^($B$21-M27))*HLOOKUP($B$21,$AV$24:$BF$34,M27+1)</f>
        <v>0.31033157483000762</v>
      </c>
      <c r="O41" s="72">
        <v>2</v>
      </c>
      <c r="P41" s="71">
        <f t="shared" si="36"/>
        <v>0.31033157483000762</v>
      </c>
      <c r="Q41" s="28">
        <v>2</v>
      </c>
      <c r="R41" s="37">
        <f>P41*N39+P40*N40+P39*N41</f>
        <v>4.2166908360039952E-2</v>
      </c>
      <c r="S41" s="72">
        <v>2</v>
      </c>
      <c r="T41" s="135">
        <f t="shared" si="37"/>
        <v>7.4625000000000011E-5</v>
      </c>
      <c r="U41" s="93">
        <v>2</v>
      </c>
      <c r="V41" s="86">
        <f>R41*T39+T40*R40+R39*T41</f>
        <v>4.167489202048108E-2</v>
      </c>
      <c r="W41" s="137"/>
      <c r="X41" s="28">
        <v>2</v>
      </c>
      <c r="Y41" s="73"/>
      <c r="Z41" s="28">
        <v>2</v>
      </c>
      <c r="AA41" s="79"/>
      <c r="AB41" s="28">
        <v>2</v>
      </c>
      <c r="AC41" s="79">
        <f>((($W$39)^M41)*((1-($W$39))^($U$27-M41))*HLOOKUP($U$27,$AV$24:$BF$34,M41+1))*V41</f>
        <v>9.5368624885740546E-3</v>
      </c>
      <c r="AD41" s="28">
        <v>2</v>
      </c>
      <c r="AE41" s="79">
        <f>((($W$39)^M41)*((1-($W$39))^($U$28-M41))*HLOOKUP($U$28,$AV$24:$BF$34,M41+1))*V42</f>
        <v>4.0437770114665116E-2</v>
      </c>
      <c r="AF41" s="28">
        <v>2</v>
      </c>
      <c r="AG41" s="79">
        <f>((($W$39)^M41)*((1-($W$39))^($U$29-M41))*HLOOKUP($U$29,$AV$24:$BF$34,M41+1))*V43</f>
        <v>7.5063107846336879E-2</v>
      </c>
      <c r="AH41" s="28">
        <v>2</v>
      </c>
      <c r="AI41" s="79">
        <f>((($W$39)^M41)*((1-($W$39))^($U$30-M41))*HLOOKUP($U$30,$AV$24:$BF$34,M41+1))*V44</f>
        <v>7.9697772131334207E-2</v>
      </c>
      <c r="AJ41" s="28">
        <v>2</v>
      </c>
      <c r="AK41" s="79">
        <f>((($W$39)^M41)*((1-($W$39))^($U$31-M41))*HLOOKUP($U$31,$AV$24:$BF$34,M41+1))*V45</f>
        <v>5.2967902460989466E-2</v>
      </c>
      <c r="AL41" s="28">
        <v>2</v>
      </c>
      <c r="AM41" s="79">
        <f>((($W$39)^Q41)*((1-($W$39))^($U$32-Q41))*HLOOKUP($U$32,$AV$24:$BF$34,Q41+1))*V46</f>
        <v>2.2590200622753045E-2</v>
      </c>
      <c r="AN41" s="28">
        <v>2</v>
      </c>
      <c r="AO41" s="79">
        <f>((($W$39)^Q41)*((1-($W$39))^($U$33-Q41))*HLOOKUP($U$33,$AV$24:$BF$34,Q41+1))*V47</f>
        <v>6.0535159900371519E-3</v>
      </c>
      <c r="AP41" s="28">
        <v>2</v>
      </c>
      <c r="AQ41" s="79">
        <f>((($W$39)^Q41)*((1-($W$39))^($U$34-Q41))*HLOOKUP($U$34,$AV$24:$BF$34,Q41+1))*V48</f>
        <v>9.390865595245157E-4</v>
      </c>
      <c r="AR41" s="28">
        <v>2</v>
      </c>
      <c r="AS41" s="79">
        <f>((($W$39)^Q41)*((1-($W$39))^($U$35-Q41))*HLOOKUP($U$35,$AV$24:$BF$34,Q41+1))*V49</f>
        <v>6.789728319700471E-5</v>
      </c>
      <c r="AV41" s="14">
        <v>3</v>
      </c>
      <c r="AY41">
        <v>1</v>
      </c>
      <c r="AZ41">
        <v>4</v>
      </c>
      <c r="BA41">
        <v>10</v>
      </c>
      <c r="BB41">
        <v>20</v>
      </c>
      <c r="BC41">
        <f>15+20</f>
        <v>35</v>
      </c>
      <c r="BD41">
        <f>21+35</f>
        <v>56</v>
      </c>
      <c r="BE41">
        <f>28+56</f>
        <v>84</v>
      </c>
      <c r="BF41">
        <f>36+84</f>
        <v>120</v>
      </c>
      <c r="BH41">
        <f t="shared" si="31"/>
        <v>4</v>
      </c>
      <c r="BI41">
        <v>8</v>
      </c>
      <c r="BJ41" s="107">
        <f t="shared" si="32"/>
        <v>3.4873893166423835E-4</v>
      </c>
      <c r="BP41">
        <f t="shared" si="34"/>
        <v>9</v>
      </c>
      <c r="BQ41">
        <v>2</v>
      </c>
      <c r="BR41" s="107">
        <f t="shared" si="35"/>
        <v>1.8957635490044395E-5</v>
      </c>
    </row>
    <row r="42" spans="1:70" ht="15" customHeight="1" x14ac:dyDescent="0.25">
      <c r="G42" s="91">
        <v>3</v>
      </c>
      <c r="H42" s="132">
        <f>J42*L39+J41*L40+L42*J39+L41*J40</f>
        <v>0.25522666861030896</v>
      </c>
      <c r="I42" s="93">
        <v>3</v>
      </c>
      <c r="J42" s="86">
        <f t="shared" si="33"/>
        <v>0.24391657082228735</v>
      </c>
      <c r="K42" s="95">
        <v>3</v>
      </c>
      <c r="L42" s="86">
        <f>AF21</f>
        <v>8.2366938131522849E-3</v>
      </c>
      <c r="M42" s="85">
        <v>3</v>
      </c>
      <c r="N42" s="71">
        <f>(($C$24)^M28)*((1-($C$24))^($B$21-M28))*HLOOKUP($B$21,$AV$24:$BF$34,M28+1)</f>
        <v>0.31460984408053461</v>
      </c>
      <c r="O42" s="72">
        <v>3</v>
      </c>
      <c r="P42" s="71">
        <f t="shared" si="36"/>
        <v>0.31460984408053461</v>
      </c>
      <c r="Q42" s="28">
        <v>3</v>
      </c>
      <c r="R42" s="37">
        <f>P42*N39+P41*N40+P40*N41+P39*N42</f>
        <v>0.11399527078332036</v>
      </c>
      <c r="S42" s="72">
        <v>3</v>
      </c>
      <c r="T42" s="135">
        <f t="shared" si="37"/>
        <v>1.2500000000000002E-7</v>
      </c>
      <c r="U42" s="93">
        <v>3</v>
      </c>
      <c r="V42" s="86">
        <f>R42*T39+R41*T40+R40*T41+R39*T42</f>
        <v>0.11292076139197139</v>
      </c>
      <c r="W42" s="137"/>
      <c r="X42" s="28">
        <v>3</v>
      </c>
      <c r="Y42" s="73"/>
      <c r="Z42" s="28">
        <v>3</v>
      </c>
      <c r="AA42" s="79"/>
      <c r="AB42" s="28">
        <v>3</v>
      </c>
      <c r="AC42" s="79"/>
      <c r="AD42" s="28">
        <v>3</v>
      </c>
      <c r="AE42" s="79">
        <f>((($W$39)^M42)*((1-($W$39))^($U$28-M42))*HLOOKUP($U$28,$AV$24:$BF$34,M42+1))*V42</f>
        <v>1.236147667892141E-2</v>
      </c>
      <c r="AF42" s="28">
        <v>3</v>
      </c>
      <c r="AG42" s="79">
        <f>((($W$39)^M42)*((1-($W$39))^($U$29-M42))*HLOOKUP($U$29,$AV$24:$BF$34,M42+1))*V43</f>
        <v>4.5892286071103038E-2</v>
      </c>
      <c r="AH42" s="28">
        <v>3</v>
      </c>
      <c r="AI42" s="79">
        <f>((($W$39)^M42)*((1-($W$39))^($U$30-M42))*HLOOKUP($U$30,$AV$24:$BF$34,M42+1))*V44</f>
        <v>7.3088759501567749E-2</v>
      </c>
      <c r="AJ42" s="28">
        <v>3</v>
      </c>
      <c r="AK42" s="79">
        <f>((($W$39)^M42)*((1-($W$39))^($U$31-M42))*HLOOKUP($U$31,$AV$24:$BF$34,M42+1))*V45</f>
        <v>6.4767319181672722E-2</v>
      </c>
      <c r="AL42" s="28">
        <v>3</v>
      </c>
      <c r="AM42" s="79">
        <f>((($W$39)^Q42)*((1-($W$39))^($U$32-Q42))*HLOOKUP($U$32,$AV$24:$BF$34,Q42+1))*V46</f>
        <v>3.4528145021162519E-2</v>
      </c>
      <c r="AN42" s="28">
        <v>3</v>
      </c>
      <c r="AO42" s="79">
        <f>((($W$39)^Q42)*((1-($W$39))^($U$33-Q42))*HLOOKUP($U$33,$AV$24:$BF$34,Q42+1))*V47</f>
        <v>1.1103044978612838E-2</v>
      </c>
      <c r="AP42" s="28">
        <v>3</v>
      </c>
      <c r="AQ42" s="79">
        <f>((($W$39)^Q42)*((1-($W$39))^($U$34-Q42))*HLOOKUP($U$34,$AV$24:$BF$34,Q42+1))*V48</f>
        <v>2.0094944900506881E-3</v>
      </c>
      <c r="AR42" s="28">
        <v>3</v>
      </c>
      <c r="AS42" s="79">
        <f>((($W$39)^Q42)*((1-($W$39))^($U$35-Q42))*HLOOKUP($U$35,$AV$24:$BF$34,Q42+1))*V49</f>
        <v>1.6604489919636058E-4</v>
      </c>
      <c r="AV42" s="14">
        <v>4</v>
      </c>
      <c r="AZ42">
        <v>1</v>
      </c>
      <c r="BA42">
        <v>5</v>
      </c>
      <c r="BB42">
        <v>15</v>
      </c>
      <c r="BC42">
        <f>20+15</f>
        <v>35</v>
      </c>
      <c r="BD42">
        <f>35+35</f>
        <v>70</v>
      </c>
      <c r="BE42">
        <f>56+70</f>
        <v>126</v>
      </c>
      <c r="BF42">
        <f>BE41+BE42</f>
        <v>210</v>
      </c>
      <c r="BH42">
        <f t="shared" si="31"/>
        <v>4</v>
      </c>
      <c r="BI42">
        <v>9</v>
      </c>
      <c r="BJ42" s="107">
        <f t="shared" si="32"/>
        <v>5.843388943118717E-5</v>
      </c>
      <c r="BP42">
        <f t="shared" si="34"/>
        <v>9</v>
      </c>
      <c r="BQ42">
        <v>3</v>
      </c>
      <c r="BR42" s="107">
        <f t="shared" si="35"/>
        <v>2.0582593865300987E-5</v>
      </c>
    </row>
    <row r="43" spans="1:70" ht="15" customHeight="1" x14ac:dyDescent="0.25">
      <c r="G43" s="91">
        <v>4</v>
      </c>
      <c r="H43" s="132">
        <f>J43*L39+J42*L40+J41*L41+J40*L42</f>
        <v>0.18866328746430425</v>
      </c>
      <c r="I43" s="93">
        <v>4</v>
      </c>
      <c r="J43" s="86">
        <f t="shared" si="33"/>
        <v>0.13600640461631769</v>
      </c>
      <c r="K43" s="95">
        <v>4</v>
      </c>
      <c r="L43" s="86"/>
      <c r="M43" s="85">
        <v>4</v>
      </c>
      <c r="N43" s="71">
        <f>(($C$24)^M29)*((1-($C$24))^($B$21-M29))*HLOOKUP($B$21,$AV$24:$BF$34,M29+1)</f>
        <v>0.15947354703851341</v>
      </c>
      <c r="O43" s="72">
        <v>4</v>
      </c>
      <c r="P43" s="71">
        <f t="shared" si="36"/>
        <v>0.15947354703851341</v>
      </c>
      <c r="Q43" s="28">
        <v>4</v>
      </c>
      <c r="R43" s="37">
        <f>P43*N39+P42*N40+P41*N41+P40*N42+P39*N43</f>
        <v>0.20224194130659245</v>
      </c>
      <c r="S43" s="72">
        <v>4</v>
      </c>
      <c r="T43" s="135">
        <f t="shared" si="37"/>
        <v>0</v>
      </c>
      <c r="U43" s="93">
        <v>4</v>
      </c>
      <c r="V43" s="86">
        <f>T43*R39+T42*R40+T41*R41+T40*R42+T39*R43</f>
        <v>0.20091947543261898</v>
      </c>
      <c r="W43" s="137"/>
      <c r="X43" s="28">
        <v>4</v>
      </c>
      <c r="Y43" s="73"/>
      <c r="Z43" s="28">
        <v>4</v>
      </c>
      <c r="AA43" s="79"/>
      <c r="AB43" s="28">
        <v>4</v>
      </c>
      <c r="AC43" s="79"/>
      <c r="AD43" s="28">
        <v>4</v>
      </c>
      <c r="AE43" s="79"/>
      <c r="AF43" s="28">
        <v>4</v>
      </c>
      <c r="AG43" s="79">
        <f>((($W$39)^M43)*((1-($W$39))^($U$29-M43))*HLOOKUP($U$29,$AV$24:$BF$34,M43+1))*V43</f>
        <v>1.0521656283254015E-2</v>
      </c>
      <c r="AH43" s="28">
        <v>4</v>
      </c>
      <c r="AI43" s="79">
        <f>((($W$39)^M43)*((1-($W$39))^($U$30-M43))*HLOOKUP($U$30,$AV$24:$BF$34,M43+1))*V44</f>
        <v>3.3513902726634348E-2</v>
      </c>
      <c r="AJ43" s="28">
        <v>4</v>
      </c>
      <c r="AK43" s="79">
        <f>((($W$39)^M43)*((1-($W$39))^($U$31-M43))*HLOOKUP($U$31,$AV$24:$BF$34,M43+1))*V45</f>
        <v>4.4547321292398578E-2</v>
      </c>
      <c r="AL43" s="28">
        <v>4</v>
      </c>
      <c r="AM43" s="79">
        <f>((($W$39)^Q43)*((1-($W$39))^($U$32-Q43))*HLOOKUP($U$32,$AV$24:$BF$34,Q43+1))*V46</f>
        <v>3.1664866156212258E-2</v>
      </c>
      <c r="AN43" s="28">
        <v>4</v>
      </c>
      <c r="AO43" s="79">
        <f>((($W$39)^Q43)*((1-($W$39))^($U$33-Q43))*HLOOKUP($U$33,$AV$24:$BF$34,Q43+1))*V47</f>
        <v>1.2727893178112258E-2</v>
      </c>
      <c r="AP43" s="28">
        <v>4</v>
      </c>
      <c r="AQ43" s="79">
        <f>((($W$39)^Q43)*((1-($W$39))^($U$34-Q43))*HLOOKUP($U$34,$AV$24:$BF$34,Q43+1))*V48</f>
        <v>2.7642829073253826E-3</v>
      </c>
      <c r="AR43" s="28">
        <v>4</v>
      </c>
      <c r="AS43" s="79">
        <f>((($W$39)^Q43)*((1-($W$39))^($U$35-Q43))*HLOOKUP($U$35,$AV$24:$BF$34,Q43+1))*V49</f>
        <v>2.6648207238083506E-4</v>
      </c>
      <c r="AV43" s="14">
        <v>5</v>
      </c>
      <c r="BA43">
        <v>1</v>
      </c>
      <c r="BB43">
        <v>6</v>
      </c>
      <c r="BC43">
        <f>15+6</f>
        <v>21</v>
      </c>
      <c r="BD43">
        <f>35+21</f>
        <v>56</v>
      </c>
      <c r="BE43">
        <f>70+56</f>
        <v>126</v>
      </c>
      <c r="BF43">
        <f t="shared" ref="BF43:BF48" si="38">BE42+BE43</f>
        <v>252</v>
      </c>
      <c r="BH43">
        <f t="shared" si="31"/>
        <v>4</v>
      </c>
      <c r="BI43">
        <v>10</v>
      </c>
      <c r="BJ43" s="107">
        <f t="shared" si="32"/>
        <v>7.1464533743834465E-6</v>
      </c>
      <c r="BP43">
        <f t="shared" si="34"/>
        <v>9</v>
      </c>
      <c r="BQ43">
        <v>4</v>
      </c>
      <c r="BR43" s="107">
        <f t="shared" si="35"/>
        <v>1.5214631936050975E-5</v>
      </c>
    </row>
    <row r="44" spans="1:70" ht="15" customHeight="1" thickBot="1" x14ac:dyDescent="0.3">
      <c r="G44" s="91">
        <v>5</v>
      </c>
      <c r="H44" s="132">
        <f>J44*L39+J43*L40+J42*L41+J41*L42</f>
        <v>0.10038247575520499</v>
      </c>
      <c r="I44" s="93">
        <v>5</v>
      </c>
      <c r="J44" s="86">
        <f t="shared" si="33"/>
        <v>5.2077888977354422E-2</v>
      </c>
      <c r="K44" s="95">
        <v>5</v>
      </c>
      <c r="L44" s="86"/>
      <c r="M44" s="85">
        <v>5</v>
      </c>
      <c r="N44" s="71">
        <f>(($C$24)^M30)*((1-($C$24))^($B$21-M30))*HLOOKUP($B$21,$AV$24:$BF$34,M30+1)</f>
        <v>3.2334413793530054E-2</v>
      </c>
      <c r="O44" s="72">
        <v>5</v>
      </c>
      <c r="P44" s="71">
        <f t="shared" si="36"/>
        <v>3.2334413793530054E-2</v>
      </c>
      <c r="Q44" s="28">
        <v>5</v>
      </c>
      <c r="R44" s="37">
        <f>P44*N39+P43*N40+P42*N41+P41*N42+P40*N43+P39*N44</f>
        <v>0.24603608829374934</v>
      </c>
      <c r="S44" s="72">
        <v>5</v>
      </c>
      <c r="T44" s="135">
        <f t="shared" si="37"/>
        <v>0</v>
      </c>
      <c r="U44" s="93">
        <v>5</v>
      </c>
      <c r="V44" s="86">
        <f>T44*R39+T43*R40+T42*R41+T41*R42+T40*R43+T39*R44</f>
        <v>0.24537584975853072</v>
      </c>
      <c r="W44" s="137"/>
      <c r="X44" s="28">
        <v>5</v>
      </c>
      <c r="Y44" s="73"/>
      <c r="Z44" s="28">
        <v>5</v>
      </c>
      <c r="AA44" s="79"/>
      <c r="AB44" s="28">
        <v>5</v>
      </c>
      <c r="AC44" s="79"/>
      <c r="AD44" s="28">
        <v>5</v>
      </c>
      <c r="AE44" s="79"/>
      <c r="AF44" s="28">
        <v>5</v>
      </c>
      <c r="AG44" s="79"/>
      <c r="AH44" s="28">
        <v>5</v>
      </c>
      <c r="AI44" s="79">
        <f>((($W$39)^M44)*((1-($W$39))^($U$30-M44))*HLOOKUP($U$30,$AV$24:$BF$34,M44+1))*V44</f>
        <v>6.1469461713669783E-3</v>
      </c>
      <c r="AJ44" s="28">
        <v>5</v>
      </c>
      <c r="AK44" s="79">
        <f>((($W$39)^M44)*((1-($W$39))^($U$31-M44))*HLOOKUP($U$31,$AV$24:$BF$34,M44+1))*V45</f>
        <v>1.6341277128870131E-2</v>
      </c>
      <c r="AL44" s="28">
        <v>5</v>
      </c>
      <c r="AM44" s="79">
        <f>((($W$39)^Q44)*((1-($W$39))^($U$32-Q44))*HLOOKUP($U$32,$AV$24:$BF$34,Q44+1))*V46</f>
        <v>1.7423416428707029E-2</v>
      </c>
      <c r="AN44" s="28">
        <v>5</v>
      </c>
      <c r="AO44" s="79">
        <f>((($W$39)^Q44)*((1-($W$39))^($U$33-Q44))*HLOOKUP($U$33,$AV$24:$BF$34,Q44+1))*V47</f>
        <v>9.3379365428052728E-3</v>
      </c>
      <c r="AP44" s="28">
        <v>5</v>
      </c>
      <c r="AQ44" s="79">
        <f>((($W$39)^Q44)*((1-($W$39))^($U$34-Q44))*HLOOKUP($U$34,$AV$24:$BF$34,Q44+1))*V48</f>
        <v>2.535052150201392E-3</v>
      </c>
      <c r="AR44" s="28">
        <v>5</v>
      </c>
      <c r="AS44" s="79">
        <f>((($W$39)^Q44)*((1-($W$39))^($U$35-Q44))*HLOOKUP($U$35,$AV$24:$BF$34,Q44+1))*V49</f>
        <v>2.9326055540362565E-4</v>
      </c>
      <c r="AV44" s="29">
        <v>6</v>
      </c>
      <c r="BB44">
        <v>1</v>
      </c>
      <c r="BC44">
        <v>7</v>
      </c>
      <c r="BD44">
        <f>28</f>
        <v>28</v>
      </c>
      <c r="BE44">
        <f>56+28</f>
        <v>84</v>
      </c>
      <c r="BF44">
        <f t="shared" si="38"/>
        <v>210</v>
      </c>
      <c r="BH44">
        <f>BH39+1</f>
        <v>5</v>
      </c>
      <c r="BI44">
        <v>6</v>
      </c>
      <c r="BJ44" s="107">
        <f>$H$30*H45</f>
        <v>2.1271386168357125E-3</v>
      </c>
      <c r="BP44">
        <f t="shared" si="34"/>
        <v>9</v>
      </c>
      <c r="BQ44">
        <v>5</v>
      </c>
      <c r="BR44" s="107">
        <f t="shared" si="35"/>
        <v>8.0952815037423318E-6</v>
      </c>
    </row>
    <row r="45" spans="1:70" ht="15" customHeight="1" thickBot="1" x14ac:dyDescent="0.3">
      <c r="A45" s="112" t="s">
        <v>108</v>
      </c>
      <c r="B45" s="112" t="s">
        <v>109</v>
      </c>
      <c r="C45" s="112" t="s">
        <v>110</v>
      </c>
      <c r="D45" s="112" t="s">
        <v>111</v>
      </c>
      <c r="E45" s="112" t="s">
        <v>23</v>
      </c>
      <c r="G45" s="91">
        <v>6</v>
      </c>
      <c r="H45" s="132">
        <f>J45*L39+J44*L40+J43*L41+J42*L42</f>
        <v>3.9613959554534492E-2</v>
      </c>
      <c r="I45" s="93">
        <v>6</v>
      </c>
      <c r="J45" s="86">
        <f t="shared" si="33"/>
        <v>1.3879676089711386E-2</v>
      </c>
      <c r="K45" s="95">
        <v>6</v>
      </c>
      <c r="L45" s="86"/>
      <c r="M45" s="85"/>
      <c r="N45" s="37"/>
      <c r="O45" s="37"/>
      <c r="P45" s="37"/>
      <c r="Q45" s="28">
        <v>6</v>
      </c>
      <c r="R45" s="37">
        <f>P44*N40+P43*N41+P42*N42+P41*N43+P40*N44</f>
        <v>0.20785664338399445</v>
      </c>
      <c r="S45" s="70">
        <v>6</v>
      </c>
      <c r="T45" s="135">
        <f t="shared" si="37"/>
        <v>0</v>
      </c>
      <c r="U45" s="93">
        <v>6</v>
      </c>
      <c r="V45" s="86">
        <f>T45*R39+T44*R40+T43*R41+T42*R42+T41*R43+T40*R44+T39*R45</f>
        <v>0.20842319172838206</v>
      </c>
      <c r="W45" s="137"/>
      <c r="X45" s="28">
        <v>6</v>
      </c>
      <c r="Y45" s="73"/>
      <c r="Z45" s="28">
        <v>6</v>
      </c>
      <c r="AA45" s="79"/>
      <c r="AB45" s="28">
        <v>6</v>
      </c>
      <c r="AC45" s="79"/>
      <c r="AD45" s="28">
        <v>6</v>
      </c>
      <c r="AE45" s="79"/>
      <c r="AF45" s="28">
        <v>6</v>
      </c>
      <c r="AG45" s="79"/>
      <c r="AH45" s="28">
        <v>6</v>
      </c>
      <c r="AI45" s="79"/>
      <c r="AJ45" s="28">
        <v>6</v>
      </c>
      <c r="AK45" s="79">
        <f>((($W$39)^Q45)*((1-($W$39))^($U$31-Q45))*HLOOKUP($U$31,$AV$24:$BF$34,Q45+1))*V45</f>
        <v>2.4976935617310671E-3</v>
      </c>
      <c r="AL45" s="28">
        <v>6</v>
      </c>
      <c r="AM45" s="79">
        <f>((($W$39)^Q45)*((1-($W$39))^($U$32-Q45))*HLOOKUP($U$32,$AV$24:$BF$34,Q45+1))*V46</f>
        <v>5.3261877507060906E-3</v>
      </c>
      <c r="AN45" s="28">
        <v>6</v>
      </c>
      <c r="AO45" s="79">
        <f>((($W$39)^Q45)*((1-($W$39))^($U$33-Q45))*HLOOKUP($U$33,$AV$24:$BF$34,Q45+1))*V47</f>
        <v>4.2817896910173634E-3</v>
      </c>
      <c r="AP45" s="28">
        <v>6</v>
      </c>
      <c r="AQ45" s="79">
        <f>((($W$39)^Q45)*((1-($W$39))^($U$34-Q45))*HLOOKUP($U$34,$AV$24:$BF$34,Q45+1))*V48</f>
        <v>1.5498870459822638E-3</v>
      </c>
      <c r="AR45" s="28">
        <v>6</v>
      </c>
      <c r="AS45" s="79">
        <f>((($W$39)^Q45)*((1-($W$39))^($U$35-Q45))*HLOOKUP($U$35,$AV$24:$BF$34,Q45+1))*V49</f>
        <v>2.2411804027460284E-4</v>
      </c>
      <c r="AV45" s="14">
        <v>7</v>
      </c>
      <c r="BC45">
        <v>1</v>
      </c>
      <c r="BD45">
        <v>8</v>
      </c>
      <c r="BE45">
        <f>28+8</f>
        <v>36</v>
      </c>
      <c r="BF45">
        <f t="shared" si="38"/>
        <v>120</v>
      </c>
      <c r="BH45">
        <f>BH40+1</f>
        <v>5</v>
      </c>
      <c r="BI45">
        <v>7</v>
      </c>
      <c r="BJ45" s="107">
        <f>$H$30*H46</f>
        <v>6.3168599204302422E-4</v>
      </c>
      <c r="BP45">
        <f t="shared" si="34"/>
        <v>9</v>
      </c>
      <c r="BQ45">
        <v>6</v>
      </c>
      <c r="BR45" s="107">
        <f t="shared" si="35"/>
        <v>3.1946428065178674E-6</v>
      </c>
    </row>
    <row r="46" spans="1:70" ht="15" customHeight="1" thickBot="1" x14ac:dyDescent="0.3">
      <c r="A46" s="113" t="s">
        <v>112</v>
      </c>
      <c r="B46" s="113" t="s">
        <v>21</v>
      </c>
      <c r="C46" s="113" t="s">
        <v>113</v>
      </c>
      <c r="D46" s="113" t="s">
        <v>114</v>
      </c>
      <c r="E46" s="113" t="s">
        <v>115</v>
      </c>
      <c r="G46" s="91">
        <v>7</v>
      </c>
      <c r="H46" s="132">
        <f>J46*L39+J45*L40+J44*L41+J43*L42</f>
        <v>1.1763964577533233E-2</v>
      </c>
      <c r="I46" s="93">
        <v>7</v>
      </c>
      <c r="J46" s="86">
        <f t="shared" si="33"/>
        <v>2.546308589788617E-3</v>
      </c>
      <c r="K46" s="95">
        <v>7</v>
      </c>
      <c r="L46" s="86"/>
      <c r="M46" s="85"/>
      <c r="N46" s="37"/>
      <c r="O46" s="37"/>
      <c r="P46" s="37"/>
      <c r="Q46" s="28">
        <v>7</v>
      </c>
      <c r="R46" s="37">
        <f>P44*N41+P43*N42+P42*N43+P41*N44</f>
        <v>0.12041267464501562</v>
      </c>
      <c r="S46" s="72">
        <v>7</v>
      </c>
      <c r="T46" s="135">
        <f t="shared" si="37"/>
        <v>0</v>
      </c>
      <c r="U46" s="93">
        <v>7</v>
      </c>
      <c r="V46" s="86">
        <f>T46*R39+T45*R40+T44*R41+T43*R42+T42*R43+T41*R44+T40*R45+T39*R46</f>
        <v>0.12172063524817961</v>
      </c>
      <c r="W46" s="137"/>
      <c r="X46" s="28">
        <v>7</v>
      </c>
      <c r="Y46" s="73"/>
      <c r="Z46" s="28">
        <v>7</v>
      </c>
      <c r="AA46" s="79"/>
      <c r="AB46" s="28">
        <v>7</v>
      </c>
      <c r="AC46" s="79"/>
      <c r="AD46" s="28">
        <v>7</v>
      </c>
      <c r="AE46" s="79"/>
      <c r="AF46" s="28">
        <v>7</v>
      </c>
      <c r="AG46" s="79"/>
      <c r="AH46" s="28">
        <v>7</v>
      </c>
      <c r="AI46" s="79"/>
      <c r="AJ46" s="28">
        <v>7</v>
      </c>
      <c r="AK46" s="79"/>
      <c r="AL46" s="28">
        <v>7</v>
      </c>
      <c r="AM46" s="79">
        <f>((($W$39)^Q46)*((1-($W$39))^($U$32-Q46))*HLOOKUP($U$32,$AV$24:$BF$34,Q46+1))*V46</f>
        <v>6.9778694679202829E-4</v>
      </c>
      <c r="AN46" s="28">
        <v>7</v>
      </c>
      <c r="AO46" s="79">
        <f>((($W$39)^Q46)*((1-($W$39))^($U$33-Q46))*HLOOKUP($U$33,$AV$24:$BF$34,Q46+1))*V47</f>
        <v>1.121919502332414E-3</v>
      </c>
      <c r="AP46" s="28">
        <v>7</v>
      </c>
      <c r="AQ46" s="79">
        <f>((($W$39)^Q46)*((1-($W$39))^($U$34-Q46))*HLOOKUP($U$34,$AV$24:$BF$34,Q46+1))*V48</f>
        <v>6.0915480282033266E-4</v>
      </c>
      <c r="AR46" s="28">
        <v>7</v>
      </c>
      <c r="AS46" s="79">
        <f>((($W$39)^Q46)*((1-($W$39))^($U$35-Q46))*HLOOKUP($U$35,$AV$24:$BF$34,Q46+1))*V49</f>
        <v>1.1744733784384216E-4</v>
      </c>
      <c r="AV46" s="14">
        <v>8</v>
      </c>
      <c r="BD46">
        <v>1</v>
      </c>
      <c r="BE46">
        <v>9</v>
      </c>
      <c r="BF46">
        <f t="shared" si="38"/>
        <v>45</v>
      </c>
      <c r="BH46">
        <f>BH41+1</f>
        <v>5</v>
      </c>
      <c r="BI46">
        <v>8</v>
      </c>
      <c r="BJ46" s="107">
        <f>$H$30*H47</f>
        <v>1.4154436670873105E-4</v>
      </c>
      <c r="BP46">
        <f t="shared" si="34"/>
        <v>9</v>
      </c>
      <c r="BQ46">
        <v>7</v>
      </c>
      <c r="BR46" s="107">
        <f t="shared" si="35"/>
        <v>9.4869751058363173E-7</v>
      </c>
    </row>
    <row r="47" spans="1:70" ht="15" customHeight="1" thickBot="1" x14ac:dyDescent="0.3">
      <c r="A47" s="113" t="s">
        <v>116</v>
      </c>
      <c r="B47" s="113" t="s">
        <v>21</v>
      </c>
      <c r="C47" s="113" t="s">
        <v>117</v>
      </c>
      <c r="D47" s="113" t="s">
        <v>118</v>
      </c>
      <c r="E47" s="113" t="s">
        <v>115</v>
      </c>
      <c r="G47" s="91">
        <v>8</v>
      </c>
      <c r="H47" s="132">
        <f>J47*L39+J46*L40+J45*L41+J44*L42</f>
        <v>2.6359978487499442E-3</v>
      </c>
      <c r="I47" s="93">
        <v>8</v>
      </c>
      <c r="J47" s="86">
        <f t="shared" si="33"/>
        <v>3.086608914490966E-4</v>
      </c>
      <c r="K47" s="95">
        <v>8</v>
      </c>
      <c r="L47" s="86"/>
      <c r="M47" s="85"/>
      <c r="N47" s="37"/>
      <c r="O47" s="37"/>
      <c r="P47" s="37"/>
      <c r="Q47" s="28">
        <v>8</v>
      </c>
      <c r="R47" s="37">
        <f>P44*N42+P43*N43+P42*N44</f>
        <v>4.5777261969080899E-2</v>
      </c>
      <c r="S47" s="72">
        <v>8</v>
      </c>
      <c r="T47" s="135">
        <f t="shared" si="37"/>
        <v>0</v>
      </c>
      <c r="U47" s="93">
        <v>8</v>
      </c>
      <c r="V47" s="86">
        <f>T47*R39+T46*R40+T45*R41+T44*R42+T43*R43+T42*R44+T41*R45+T40*R46+T39*R47</f>
        <v>4.6897746041789659E-2</v>
      </c>
      <c r="W47" s="137"/>
      <c r="X47" s="28">
        <v>8</v>
      </c>
      <c r="Y47" s="73"/>
      <c r="Z47" s="28">
        <v>8</v>
      </c>
      <c r="AA47" s="79"/>
      <c r="AB47" s="28">
        <v>8</v>
      </c>
      <c r="AC47" s="79"/>
      <c r="AD47" s="28">
        <v>8</v>
      </c>
      <c r="AE47" s="79"/>
      <c r="AF47" s="28">
        <v>8</v>
      </c>
      <c r="AG47" s="79"/>
      <c r="AH47" s="28">
        <v>8</v>
      </c>
      <c r="AI47" s="79"/>
      <c r="AJ47" s="28">
        <v>8</v>
      </c>
      <c r="AK47" s="79"/>
      <c r="AL47" s="28">
        <v>8</v>
      </c>
      <c r="AM47" s="79"/>
      <c r="AN47" s="28">
        <v>8</v>
      </c>
      <c r="AO47" s="79">
        <f>((($W$39)^Q47)*((1-($W$39))^($U$33-Q47))*HLOOKUP($U$33,$AV$24:$BF$34,Q47+1))*V47</f>
        <v>1.2861040919526082E-4</v>
      </c>
      <c r="AP47" s="28">
        <v>8</v>
      </c>
      <c r="AQ47" s="79">
        <f>((($W$39)^Q47)*((1-($W$39))^($U$34-Q47))*HLOOKUP($U$34,$AV$24:$BF$34,Q47+1))*V48</f>
        <v>1.3966001712441742E-4</v>
      </c>
      <c r="AR47" s="28">
        <v>8</v>
      </c>
      <c r="AS47" s="79">
        <f>((($W$39)^Q47)*((1-($W$39))^($U$35-Q47))*HLOOKUP($U$35,$AV$24:$BF$34,Q47+1))*V49</f>
        <v>4.0390465129418337E-5</v>
      </c>
      <c r="AV47" s="29">
        <v>9</v>
      </c>
      <c r="BE47">
        <v>1</v>
      </c>
      <c r="BF47">
        <f t="shared" si="38"/>
        <v>10</v>
      </c>
      <c r="BH47">
        <f>BH42+1</f>
        <v>5</v>
      </c>
      <c r="BI47">
        <v>9</v>
      </c>
      <c r="BJ47" s="107">
        <f>$H$30*H48</f>
        <v>2.3716846967428942E-5</v>
      </c>
      <c r="BP47">
        <f>BL12+1</f>
        <v>9</v>
      </c>
      <c r="BQ47">
        <v>8</v>
      </c>
      <c r="BR47" s="107">
        <f t="shared" si="35"/>
        <v>2.1257838550354272E-7</v>
      </c>
    </row>
    <row r="48" spans="1:70" ht="15" customHeight="1" thickBot="1" x14ac:dyDescent="0.3">
      <c r="A48" s="114" t="s">
        <v>112</v>
      </c>
      <c r="B48" s="114" t="s">
        <v>119</v>
      </c>
      <c r="C48" s="114" t="s">
        <v>117</v>
      </c>
      <c r="D48" s="115" t="s">
        <v>120</v>
      </c>
      <c r="E48" s="114" t="s">
        <v>115</v>
      </c>
      <c r="G48" s="91">
        <v>9</v>
      </c>
      <c r="H48" s="132">
        <f>J48*L39+J47*L40+J46*L41+J45*L42</f>
        <v>4.4168170757316323E-4</v>
      </c>
      <c r="I48" s="93">
        <v>9</v>
      </c>
      <c r="J48" s="86">
        <f t="shared" si="33"/>
        <v>2.2462297190889542E-5</v>
      </c>
      <c r="K48" s="95">
        <v>9</v>
      </c>
      <c r="L48" s="86"/>
      <c r="M48" s="85"/>
      <c r="N48" s="37"/>
      <c r="O48" s="37"/>
      <c r="P48" s="37"/>
      <c r="Q48" s="28">
        <v>9</v>
      </c>
      <c r="R48" s="37">
        <f>P44*N43+P43*N44</f>
        <v>1.0312967318130544E-2</v>
      </c>
      <c r="S48" s="72">
        <v>9</v>
      </c>
      <c r="T48" s="135">
        <f t="shared" si="37"/>
        <v>0</v>
      </c>
      <c r="U48" s="93">
        <v>9</v>
      </c>
      <c r="V48" s="86">
        <f>T48*R39+T47*R40+T46*R41+T45*R42+T44*R43+T43*R44+T42*R45+T41*R46+T40*R47+T39*R48</f>
        <v>1.0847866276426428E-2</v>
      </c>
      <c r="W48" s="137"/>
      <c r="X48" s="28">
        <v>9</v>
      </c>
      <c r="Y48" s="73"/>
      <c r="Z48" s="28">
        <v>9</v>
      </c>
      <c r="AA48" s="79"/>
      <c r="AB48" s="28">
        <v>9</v>
      </c>
      <c r="AC48" s="79"/>
      <c r="AD48" s="28">
        <v>9</v>
      </c>
      <c r="AE48" s="79"/>
      <c r="AF48" s="28">
        <v>9</v>
      </c>
      <c r="AG48" s="79"/>
      <c r="AH48" s="28">
        <v>9</v>
      </c>
      <c r="AI48" s="79"/>
      <c r="AJ48" s="28">
        <v>9</v>
      </c>
      <c r="AK48" s="79"/>
      <c r="AL48" s="28">
        <v>9</v>
      </c>
      <c r="AM48" s="79"/>
      <c r="AN48" s="28">
        <v>9</v>
      </c>
      <c r="AO48" s="79"/>
      <c r="AP48" s="28">
        <v>9</v>
      </c>
      <c r="AQ48" s="79">
        <f>((($W$39)^Q48)*((1-($W$39))^($U$34-Q48))*HLOOKUP($U$34,$AV$24:$BF$34,Q48+1))*V48</f>
        <v>1.4230953221586895E-5</v>
      </c>
      <c r="AR48" s="28">
        <v>9</v>
      </c>
      <c r="AS48" s="79">
        <f>((($W$39)^Q48)*((1-($W$39))^($U$35-Q48))*HLOOKUP($U$35,$AV$24:$BF$34,Q48+1))*V49</f>
        <v>8.2313439693026491E-6</v>
      </c>
      <c r="AV48" s="14">
        <v>10</v>
      </c>
      <c r="BF48">
        <f t="shared" si="38"/>
        <v>1</v>
      </c>
      <c r="BH48">
        <f>BH43+1</f>
        <v>5</v>
      </c>
      <c r="BI48">
        <v>10</v>
      </c>
      <c r="BJ48" s="107">
        <f>$H$30*H49</f>
        <v>2.9005657964923678E-6</v>
      </c>
    </row>
    <row r="49" spans="1:62" ht="15" customHeight="1" thickBot="1" x14ac:dyDescent="0.3">
      <c r="A49" s="114" t="s">
        <v>116</v>
      </c>
      <c r="B49" s="114" t="s">
        <v>119</v>
      </c>
      <c r="C49" s="114" t="s">
        <v>113</v>
      </c>
      <c r="D49" s="114" t="s">
        <v>121</v>
      </c>
      <c r="E49" s="114" t="s">
        <v>122</v>
      </c>
      <c r="G49" s="92">
        <v>10</v>
      </c>
      <c r="H49" s="133">
        <f>J49*L39+J48*L40+J47*L41+J46*L42</f>
        <v>5.4017587400318064E-5</v>
      </c>
      <c r="I49" s="94">
        <v>10</v>
      </c>
      <c r="J49" s="89">
        <f t="shared" si="33"/>
        <v>7.548752037329625E-7</v>
      </c>
      <c r="K49" s="96">
        <v>10</v>
      </c>
      <c r="L49" s="89"/>
      <c r="M49" s="85"/>
      <c r="N49" s="37"/>
      <c r="O49" s="37"/>
      <c r="P49" s="37"/>
      <c r="Q49" s="28">
        <v>10</v>
      </c>
      <c r="R49" s="37">
        <f>P44*N44</f>
        <v>1.0455143153712265E-3</v>
      </c>
      <c r="S49" s="72">
        <v>10</v>
      </c>
      <c r="T49" s="135">
        <f t="shared" si="37"/>
        <v>0</v>
      </c>
      <c r="U49" s="94">
        <v>10</v>
      </c>
      <c r="V49" s="89">
        <f>IF(((T49*R39+T48*R40+T47*R41+T46*R42+T45*R43+T44*R44+T43*R45+T42*R46+T41*R47+T40*R48+T39*R49)+V37)&lt;&gt;1,1-V37,(T49*R39+T48*R40+T47*R41+T46*R42+T45*R43+T44*R44+T43*R45+T42*R46+T41*R47+T40*R48+T39*R49))</f>
        <v>1.2028735436320215E-3</v>
      </c>
      <c r="W49" s="137"/>
      <c r="X49" s="28">
        <v>10</v>
      </c>
      <c r="Y49" s="73"/>
      <c r="Z49" s="28">
        <v>10</v>
      </c>
      <c r="AA49" s="79"/>
      <c r="AB49" s="28">
        <v>10</v>
      </c>
      <c r="AC49" s="79"/>
      <c r="AD49" s="28">
        <v>10</v>
      </c>
      <c r="AE49" s="79"/>
      <c r="AF49" s="28">
        <v>10</v>
      </c>
      <c r="AG49" s="79"/>
      <c r="AH49" s="28">
        <v>10</v>
      </c>
      <c r="AI49" s="79"/>
      <c r="AJ49" s="28">
        <v>10</v>
      </c>
      <c r="AK49" s="79"/>
      <c r="AL49" s="28">
        <v>10</v>
      </c>
      <c r="AM49" s="79"/>
      <c r="AN49" s="28">
        <v>10</v>
      </c>
      <c r="AO49" s="79"/>
      <c r="AP49" s="28">
        <v>10</v>
      </c>
      <c r="AQ49" s="79"/>
      <c r="AR49" s="28">
        <v>10</v>
      </c>
      <c r="AS49" s="79">
        <f>((($W$39)^Q49)*((1-($W$39))^($U$35-Q49))*HLOOKUP($U$35,$AV$24:$BF$34,Q49+1))*V49</f>
        <v>7.548752037329625E-7</v>
      </c>
      <c r="BH49">
        <f>BP14+1</f>
        <v>6</v>
      </c>
      <c r="BI49">
        <v>0</v>
      </c>
      <c r="BJ49" s="107">
        <f>$H$31*H39</f>
        <v>5.5250142050759289E-4</v>
      </c>
    </row>
    <row r="50" spans="1:62" ht="15.75" thickBot="1" x14ac:dyDescent="0.3">
      <c r="A50" s="116" t="s">
        <v>112</v>
      </c>
      <c r="B50" s="116" t="s">
        <v>123</v>
      </c>
      <c r="C50" s="116" t="s">
        <v>113</v>
      </c>
      <c r="D50" s="116" t="s">
        <v>124</v>
      </c>
      <c r="E50" s="116" t="s">
        <v>115</v>
      </c>
      <c r="G50" s="76"/>
      <c r="H50" s="77"/>
      <c r="I50" s="33"/>
      <c r="J50" s="33"/>
      <c r="K50" s="77"/>
      <c r="L50" s="77"/>
      <c r="M50" s="31"/>
      <c r="N50" s="31"/>
      <c r="O50" s="32"/>
      <c r="P50" s="32"/>
      <c r="Q50" s="32"/>
      <c r="R50" s="32"/>
      <c r="S50" s="76"/>
      <c r="T50" s="76"/>
      <c r="U50" s="76"/>
      <c r="V50" s="77"/>
      <c r="W50" s="33"/>
      <c r="X50" s="13"/>
      <c r="Y50" s="13"/>
      <c r="BH50">
        <f>BH45+1</f>
        <v>6</v>
      </c>
      <c r="BI50">
        <v>7</v>
      </c>
      <c r="BJ50" s="107">
        <f>$H$31*H46</f>
        <v>1.9049395404970116E-4</v>
      </c>
    </row>
    <row r="51" spans="1:62" ht="15.75" thickBot="1" x14ac:dyDescent="0.3">
      <c r="A51" s="116" t="s">
        <v>116</v>
      </c>
      <c r="B51" s="116" t="s">
        <v>123</v>
      </c>
      <c r="C51" s="116" t="s">
        <v>113</v>
      </c>
      <c r="D51" s="116" t="s">
        <v>125</v>
      </c>
      <c r="E51" s="116" t="s">
        <v>122</v>
      </c>
      <c r="BH51">
        <f>BH46+1</f>
        <v>6</v>
      </c>
      <c r="BI51">
        <v>8</v>
      </c>
      <c r="BJ51" s="107">
        <f>$H$31*H47</f>
        <v>4.2684730115038841E-5</v>
      </c>
    </row>
    <row r="52" spans="1:62" x14ac:dyDescent="0.25">
      <c r="H52" s="107"/>
      <c r="BH52">
        <f>BH47+1</f>
        <v>6</v>
      </c>
      <c r="BI52">
        <v>9</v>
      </c>
      <c r="BJ52" s="107">
        <f>$H$31*H48</f>
        <v>7.1521547308737643E-6</v>
      </c>
    </row>
    <row r="53" spans="1:62" x14ac:dyDescent="0.25">
      <c r="BH53">
        <f>BH48+1</f>
        <v>6</v>
      </c>
      <c r="BI53">
        <v>10</v>
      </c>
      <c r="BJ53" s="107">
        <f>$H$31*H49</f>
        <v>8.7470714012211042E-7</v>
      </c>
    </row>
    <row r="54" spans="1:62" x14ac:dyDescent="0.25">
      <c r="BH54">
        <f>BH51+1</f>
        <v>7</v>
      </c>
      <c r="BI54">
        <v>8</v>
      </c>
      <c r="BJ54" s="107">
        <f>$H$32*H47</f>
        <v>9.7003744850926468E-6</v>
      </c>
    </row>
    <row r="55" spans="1:62" x14ac:dyDescent="0.25">
      <c r="BH55">
        <f>BH52+1</f>
        <v>7</v>
      </c>
      <c r="BI55">
        <v>9</v>
      </c>
      <c r="BJ55" s="107">
        <f>$H$32*H48</f>
        <v>1.6253723305224511E-6</v>
      </c>
    </row>
    <row r="56" spans="1:62" x14ac:dyDescent="0.25">
      <c r="BH56">
        <f>BH53+1</f>
        <v>7</v>
      </c>
      <c r="BI56">
        <v>10</v>
      </c>
      <c r="BJ56" s="107">
        <f>$H$32*H49</f>
        <v>1.9878272162202141E-7</v>
      </c>
    </row>
    <row r="57" spans="1:62" x14ac:dyDescent="0.25">
      <c r="BH57">
        <f>BH55+1</f>
        <v>8</v>
      </c>
      <c r="BI57">
        <v>9</v>
      </c>
      <c r="BJ57" s="107">
        <f>$H$33*H48</f>
        <v>2.7865772994379794E-7</v>
      </c>
    </row>
    <row r="58" spans="1:62" x14ac:dyDescent="0.25">
      <c r="BH58">
        <f>BH56+1</f>
        <v>8</v>
      </c>
      <c r="BI58">
        <v>10</v>
      </c>
      <c r="BJ58" s="107">
        <f>$H$33*H49</f>
        <v>3.4079786470486663E-8</v>
      </c>
    </row>
    <row r="59" spans="1:62" x14ac:dyDescent="0.25">
      <c r="BH59">
        <f t="shared" ref="BH59" si="39">BH58+1</f>
        <v>9</v>
      </c>
      <c r="BI59">
        <v>10</v>
      </c>
      <c r="BJ59" s="107">
        <f>$H$34*H49</f>
        <v>4.3562142980509779E-9</v>
      </c>
    </row>
  </sheetData>
  <mergeCells count="2">
    <mergeCell ref="P1:Q1"/>
    <mergeCell ref="B3:C3"/>
  </mergeCells>
  <conditionalFormatting sqref="V25:V35 V39:V49">
    <cfRule type="cellIs" dxfId="83" priority="14" operator="greaterThan">
      <formula>0.15</formula>
    </cfRule>
  </conditionalFormatting>
  <conditionalFormatting sqref="V35">
    <cfRule type="cellIs" dxfId="82" priority="13" operator="greaterThan">
      <formula>0.15</formula>
    </cfRule>
  </conditionalFormatting>
  <conditionalFormatting sqref="V49">
    <cfRule type="cellIs" dxfId="81" priority="12" operator="greaterThan">
      <formula>0.15</formula>
    </cfRule>
  </conditionalFormatting>
  <conditionalFormatting sqref="V25:V35 V39:V49">
    <cfRule type="cellIs" dxfId="80" priority="11" operator="greaterThan">
      <formula>0.15</formula>
    </cfRule>
  </conditionalFormatting>
  <conditionalFormatting sqref="V35">
    <cfRule type="cellIs" dxfId="79" priority="10" operator="greaterThan">
      <formula>0.15</formula>
    </cfRule>
  </conditionalFormatting>
  <conditionalFormatting sqref="V49">
    <cfRule type="cellIs" dxfId="78" priority="9" operator="greaterThan">
      <formula>0.15</formula>
    </cfRule>
  </conditionalFormatting>
  <conditionalFormatting sqref="H25:H35">
    <cfRule type="cellIs" dxfId="77" priority="8" operator="greaterThan">
      <formula>0.15</formula>
    </cfRule>
  </conditionalFormatting>
  <conditionalFormatting sqref="H35">
    <cfRule type="cellIs" dxfId="76" priority="7" operator="greaterThan">
      <formula>0.15</formula>
    </cfRule>
  </conditionalFormatting>
  <conditionalFormatting sqref="H25:H35">
    <cfRule type="cellIs" dxfId="75" priority="6" operator="greaterThan">
      <formula>0.15</formula>
    </cfRule>
  </conditionalFormatting>
  <conditionalFormatting sqref="H35">
    <cfRule type="cellIs" dxfId="74" priority="5" operator="greaterThan">
      <formula>0.15</formula>
    </cfRule>
  </conditionalFormatting>
  <conditionalFormatting sqref="H39:H49">
    <cfRule type="cellIs" dxfId="73" priority="4" operator="greaterThan">
      <formula>0.15</formula>
    </cfRule>
  </conditionalFormatting>
  <conditionalFormatting sqref="H49">
    <cfRule type="cellIs" dxfId="72" priority="3" operator="greaterThan">
      <formula>0.15</formula>
    </cfRule>
  </conditionalFormatting>
  <conditionalFormatting sqref="H39:H49">
    <cfRule type="cellIs" dxfId="71" priority="2" operator="greaterThan">
      <formula>0.15</formula>
    </cfRule>
  </conditionalFormatting>
  <conditionalFormatting sqref="H49">
    <cfRule type="cellIs" dxfId="70" priority="1" operator="greaterThan">
      <formula>0.15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152</v>
      </c>
    </row>
    <row r="2" spans="1:2" x14ac:dyDescent="0.25">
      <c r="A2" t="s">
        <v>153</v>
      </c>
    </row>
    <row r="4" spans="1:2" x14ac:dyDescent="0.25">
      <c r="A4" t="s">
        <v>154</v>
      </c>
    </row>
    <row r="5" spans="1:2" x14ac:dyDescent="0.25">
      <c r="A5" t="s">
        <v>155</v>
      </c>
    </row>
    <row r="6" spans="1:2" x14ac:dyDescent="0.25">
      <c r="A6" t="s">
        <v>156</v>
      </c>
    </row>
    <row r="7" spans="1:2" x14ac:dyDescent="0.25">
      <c r="A7" t="s">
        <v>157</v>
      </c>
    </row>
    <row r="8" spans="1:2" x14ac:dyDescent="0.25">
      <c r="A8" t="s">
        <v>158</v>
      </c>
    </row>
    <row r="9" spans="1:2" x14ac:dyDescent="0.25">
      <c r="A9" s="197">
        <v>43057</v>
      </c>
      <c r="B9" t="s">
        <v>159</v>
      </c>
    </row>
    <row r="10" spans="1:2" x14ac:dyDescent="0.25">
      <c r="A10" t="s">
        <v>160</v>
      </c>
    </row>
    <row r="12" spans="1:2" x14ac:dyDescent="0.25">
      <c r="A12" t="s">
        <v>161</v>
      </c>
    </row>
    <row r="13" spans="1:2" x14ac:dyDescent="0.25">
      <c r="A13" t="s">
        <v>162</v>
      </c>
    </row>
    <row r="14" spans="1:2" x14ac:dyDescent="0.25">
      <c r="A14" t="s">
        <v>163</v>
      </c>
    </row>
    <row r="15" spans="1:2" x14ac:dyDescent="0.25">
      <c r="A15" t="s">
        <v>164</v>
      </c>
    </row>
    <row r="16" spans="1:2" x14ac:dyDescent="0.25">
      <c r="A16" t="s">
        <v>158</v>
      </c>
    </row>
    <row r="17" spans="1:2" x14ac:dyDescent="0.25">
      <c r="A17" s="197">
        <v>43057</v>
      </c>
      <c r="B17" t="s">
        <v>165</v>
      </c>
    </row>
    <row r="18" spans="1:2" x14ac:dyDescent="0.25">
      <c r="A18" t="s">
        <v>166</v>
      </c>
    </row>
    <row r="20" spans="1:2" x14ac:dyDescent="0.25">
      <c r="A20" t="s">
        <v>167</v>
      </c>
    </row>
    <row r="21" spans="1:2" x14ac:dyDescent="0.25">
      <c r="A21" t="s">
        <v>168</v>
      </c>
    </row>
    <row r="22" spans="1:2" x14ac:dyDescent="0.25">
      <c r="A22" t="s">
        <v>169</v>
      </c>
    </row>
    <row r="23" spans="1:2" x14ac:dyDescent="0.25">
      <c r="A23" t="s">
        <v>170</v>
      </c>
    </row>
    <row r="24" spans="1:2" x14ac:dyDescent="0.25">
      <c r="A24" t="s">
        <v>158</v>
      </c>
    </row>
    <row r="25" spans="1:2" x14ac:dyDescent="0.25">
      <c r="A25" s="197">
        <v>43057</v>
      </c>
      <c r="B25" t="s">
        <v>171</v>
      </c>
    </row>
    <row r="26" spans="1:2" x14ac:dyDescent="0.25">
      <c r="A26" t="s">
        <v>172</v>
      </c>
    </row>
    <row r="28" spans="1:2" x14ac:dyDescent="0.25">
      <c r="A28" t="s">
        <v>173</v>
      </c>
    </row>
    <row r="29" spans="1:2" x14ac:dyDescent="0.25">
      <c r="A29" t="s">
        <v>174</v>
      </c>
    </row>
    <row r="30" spans="1:2" x14ac:dyDescent="0.25">
      <c r="A30" t="s">
        <v>175</v>
      </c>
    </row>
    <row r="31" spans="1:2" x14ac:dyDescent="0.25">
      <c r="A31" t="s">
        <v>176</v>
      </c>
    </row>
    <row r="32" spans="1:2" x14ac:dyDescent="0.25">
      <c r="A32" t="s">
        <v>158</v>
      </c>
    </row>
    <row r="33" spans="1:2" x14ac:dyDescent="0.25">
      <c r="A33" s="197">
        <v>43057</v>
      </c>
      <c r="B33" t="s">
        <v>177</v>
      </c>
    </row>
    <row r="34" spans="1:2" x14ac:dyDescent="0.25">
      <c r="A34" t="s">
        <v>178</v>
      </c>
    </row>
    <row r="36" spans="1:2" x14ac:dyDescent="0.25">
      <c r="A36" t="s">
        <v>179</v>
      </c>
    </row>
    <row r="37" spans="1:2" x14ac:dyDescent="0.25">
      <c r="A37" t="s">
        <v>180</v>
      </c>
    </row>
    <row r="38" spans="1:2" x14ac:dyDescent="0.25">
      <c r="A38" t="s">
        <v>181</v>
      </c>
    </row>
    <row r="39" spans="1:2" x14ac:dyDescent="0.25">
      <c r="A39" t="s">
        <v>182</v>
      </c>
    </row>
    <row r="40" spans="1:2" x14ac:dyDescent="0.25">
      <c r="A40" t="s">
        <v>158</v>
      </c>
    </row>
    <row r="41" spans="1:2" x14ac:dyDescent="0.25">
      <c r="A41" s="197">
        <v>43057</v>
      </c>
      <c r="B41" t="s">
        <v>183</v>
      </c>
    </row>
    <row r="42" spans="1:2" x14ac:dyDescent="0.25">
      <c r="A42" t="s">
        <v>184</v>
      </c>
    </row>
    <row r="44" spans="1:2" x14ac:dyDescent="0.25">
      <c r="A44" t="s">
        <v>185</v>
      </c>
    </row>
    <row r="45" spans="1:2" x14ac:dyDescent="0.25">
      <c r="A45" t="s">
        <v>186</v>
      </c>
    </row>
    <row r="46" spans="1:2" x14ac:dyDescent="0.25">
      <c r="A46" t="s">
        <v>169</v>
      </c>
    </row>
    <row r="47" spans="1:2" x14ac:dyDescent="0.25">
      <c r="A47" t="s">
        <v>187</v>
      </c>
    </row>
    <row r="48" spans="1:2" x14ac:dyDescent="0.25">
      <c r="A48" t="s">
        <v>158</v>
      </c>
    </row>
    <row r="49" spans="1:2" x14ac:dyDescent="0.25">
      <c r="A49" s="197">
        <v>43057</v>
      </c>
      <c r="B49" t="s">
        <v>188</v>
      </c>
    </row>
    <row r="50" spans="1:2" x14ac:dyDescent="0.25">
      <c r="A50" t="s">
        <v>189</v>
      </c>
    </row>
    <row r="52" spans="1:2" x14ac:dyDescent="0.25">
      <c r="A52" t="s">
        <v>190</v>
      </c>
    </row>
    <row r="53" spans="1:2" x14ac:dyDescent="0.25">
      <c r="A53" t="s">
        <v>191</v>
      </c>
    </row>
    <row r="54" spans="1:2" x14ac:dyDescent="0.25">
      <c r="A54" t="s">
        <v>192</v>
      </c>
    </row>
    <row r="55" spans="1:2" x14ac:dyDescent="0.25">
      <c r="A55" t="s">
        <v>193</v>
      </c>
    </row>
    <row r="56" spans="1:2" x14ac:dyDescent="0.25">
      <c r="A56" t="s">
        <v>158</v>
      </c>
    </row>
    <row r="57" spans="1:2" x14ac:dyDescent="0.25">
      <c r="A57" s="197">
        <v>43057</v>
      </c>
      <c r="B57" t="s">
        <v>194</v>
      </c>
    </row>
    <row r="58" spans="1:2" x14ac:dyDescent="0.25">
      <c r="A58" t="s">
        <v>195</v>
      </c>
    </row>
    <row r="60" spans="1:2" x14ac:dyDescent="0.25">
      <c r="A60" t="s">
        <v>196</v>
      </c>
    </row>
    <row r="61" spans="1:2" x14ac:dyDescent="0.25">
      <c r="A61" t="s">
        <v>197</v>
      </c>
    </row>
    <row r="62" spans="1:2" x14ac:dyDescent="0.25">
      <c r="A62" t="s">
        <v>198</v>
      </c>
    </row>
    <row r="63" spans="1:2" x14ac:dyDescent="0.25">
      <c r="A63" t="s">
        <v>199</v>
      </c>
    </row>
    <row r="64" spans="1:2" x14ac:dyDescent="0.25">
      <c r="A64" t="s">
        <v>158</v>
      </c>
    </row>
    <row r="65" spans="1:2" x14ac:dyDescent="0.25">
      <c r="A65" s="197">
        <v>43057</v>
      </c>
      <c r="B65" t="s">
        <v>200</v>
      </c>
    </row>
    <row r="66" spans="1:2" x14ac:dyDescent="0.25">
      <c r="A66" t="s">
        <v>201</v>
      </c>
    </row>
    <row r="68" spans="1:2" x14ac:dyDescent="0.25">
      <c r="A68" t="s">
        <v>202</v>
      </c>
    </row>
    <row r="69" spans="1:2" x14ac:dyDescent="0.25">
      <c r="A69" t="s">
        <v>203</v>
      </c>
    </row>
    <row r="70" spans="1:2" x14ac:dyDescent="0.25">
      <c r="A70" t="s">
        <v>204</v>
      </c>
    </row>
    <row r="71" spans="1:2" x14ac:dyDescent="0.25">
      <c r="A71" t="s">
        <v>205</v>
      </c>
    </row>
    <row r="72" spans="1:2" x14ac:dyDescent="0.25">
      <c r="A72" t="s">
        <v>158</v>
      </c>
    </row>
    <row r="73" spans="1:2" x14ac:dyDescent="0.25">
      <c r="A73" s="197">
        <v>43057</v>
      </c>
      <c r="B73" t="s">
        <v>206</v>
      </c>
    </row>
    <row r="74" spans="1:2" x14ac:dyDescent="0.25">
      <c r="A74" t="s">
        <v>207</v>
      </c>
    </row>
    <row r="76" spans="1:2" x14ac:dyDescent="0.25">
      <c r="A76" t="s">
        <v>208</v>
      </c>
    </row>
    <row r="77" spans="1:2" x14ac:dyDescent="0.25">
      <c r="A77" t="s">
        <v>209</v>
      </c>
    </row>
    <row r="78" spans="1:2" x14ac:dyDescent="0.25">
      <c r="A78" t="s">
        <v>210</v>
      </c>
    </row>
    <row r="79" spans="1:2" x14ac:dyDescent="0.25">
      <c r="A79" t="s">
        <v>170</v>
      </c>
    </row>
    <row r="80" spans="1:2" x14ac:dyDescent="0.25">
      <c r="A80" t="s">
        <v>158</v>
      </c>
    </row>
    <row r="81" spans="1:2" x14ac:dyDescent="0.25">
      <c r="A81" s="197">
        <v>43057</v>
      </c>
      <c r="B81" t="s">
        <v>211</v>
      </c>
    </row>
    <row r="82" spans="1:2" x14ac:dyDescent="0.25">
      <c r="A82" t="s">
        <v>212</v>
      </c>
    </row>
    <row r="84" spans="1:2" x14ac:dyDescent="0.25">
      <c r="A84" t="s">
        <v>213</v>
      </c>
    </row>
    <row r="85" spans="1:2" x14ac:dyDescent="0.25">
      <c r="A85" t="s">
        <v>214</v>
      </c>
    </row>
    <row r="86" spans="1:2" x14ac:dyDescent="0.25">
      <c r="A86" t="s">
        <v>169</v>
      </c>
    </row>
    <row r="87" spans="1:2" x14ac:dyDescent="0.25">
      <c r="A87" t="s">
        <v>187</v>
      </c>
    </row>
    <row r="88" spans="1:2" x14ac:dyDescent="0.25">
      <c r="A88" t="s">
        <v>158</v>
      </c>
    </row>
    <row r="89" spans="1:2" x14ac:dyDescent="0.25">
      <c r="A89" s="197">
        <v>43057</v>
      </c>
      <c r="B89" t="s">
        <v>215</v>
      </c>
    </row>
    <row r="90" spans="1:2" x14ac:dyDescent="0.25">
      <c r="A90" t="s">
        <v>216</v>
      </c>
    </row>
    <row r="92" spans="1:2" x14ac:dyDescent="0.25">
      <c r="A92" t="s">
        <v>217</v>
      </c>
    </row>
    <row r="93" spans="1:2" x14ac:dyDescent="0.25">
      <c r="A93" t="s">
        <v>218</v>
      </c>
    </row>
    <row r="94" spans="1:2" x14ac:dyDescent="0.25">
      <c r="A94" t="s">
        <v>219</v>
      </c>
    </row>
    <row r="95" spans="1:2" x14ac:dyDescent="0.25">
      <c r="A95" t="s">
        <v>220</v>
      </c>
    </row>
    <row r="96" spans="1:2" x14ac:dyDescent="0.25">
      <c r="A96" t="s">
        <v>158</v>
      </c>
    </row>
    <row r="97" spans="1:2" x14ac:dyDescent="0.25">
      <c r="A97" s="197">
        <v>43057</v>
      </c>
      <c r="B97" t="s">
        <v>221</v>
      </c>
    </row>
    <row r="98" spans="1:2" x14ac:dyDescent="0.25">
      <c r="A98" t="s">
        <v>222</v>
      </c>
    </row>
    <row r="100" spans="1:2" x14ac:dyDescent="0.25">
      <c r="A100" t="s">
        <v>223</v>
      </c>
    </row>
    <row r="101" spans="1:2" x14ac:dyDescent="0.25">
      <c r="A101" t="s">
        <v>224</v>
      </c>
    </row>
    <row r="102" spans="1:2" x14ac:dyDescent="0.25">
      <c r="A102" t="s">
        <v>225</v>
      </c>
    </row>
    <row r="103" spans="1:2" x14ac:dyDescent="0.25">
      <c r="A103" t="s">
        <v>187</v>
      </c>
    </row>
    <row r="104" spans="1:2" x14ac:dyDescent="0.25">
      <c r="A104" t="s">
        <v>158</v>
      </c>
    </row>
    <row r="105" spans="1:2" x14ac:dyDescent="0.25">
      <c r="A105" s="197">
        <v>43022</v>
      </c>
      <c r="B105" t="s">
        <v>226</v>
      </c>
    </row>
    <row r="106" spans="1:2" x14ac:dyDescent="0.25">
      <c r="A106" t="s">
        <v>227</v>
      </c>
    </row>
    <row r="108" spans="1:2" x14ac:dyDescent="0.25">
      <c r="A108" t="s">
        <v>228</v>
      </c>
    </row>
    <row r="109" spans="1:2" x14ac:dyDescent="0.25">
      <c r="A109" t="s">
        <v>229</v>
      </c>
    </row>
    <row r="110" spans="1:2" x14ac:dyDescent="0.25">
      <c r="A110" t="s">
        <v>230</v>
      </c>
    </row>
    <row r="111" spans="1:2" x14ac:dyDescent="0.25">
      <c r="A111" t="s">
        <v>231</v>
      </c>
    </row>
    <row r="112" spans="1:2" x14ac:dyDescent="0.25">
      <c r="A112" t="s">
        <v>232</v>
      </c>
    </row>
    <row r="113" spans="1:2" x14ac:dyDescent="0.25">
      <c r="A113" s="197">
        <v>42966</v>
      </c>
      <c r="B113" t="s">
        <v>233</v>
      </c>
    </row>
    <row r="114" spans="1:2" x14ac:dyDescent="0.25">
      <c r="A114" t="s">
        <v>234</v>
      </c>
    </row>
    <row r="116" spans="1:2" x14ac:dyDescent="0.25">
      <c r="A116" t="s">
        <v>235</v>
      </c>
    </row>
    <row r="117" spans="1:2" x14ac:dyDescent="0.25">
      <c r="A117" t="s">
        <v>236</v>
      </c>
    </row>
    <row r="118" spans="1:2" x14ac:dyDescent="0.25">
      <c r="A118" t="s">
        <v>237</v>
      </c>
    </row>
    <row r="119" spans="1:2" x14ac:dyDescent="0.25">
      <c r="A119" t="s">
        <v>199</v>
      </c>
    </row>
    <row r="120" spans="1:2" x14ac:dyDescent="0.25">
      <c r="A120" t="s">
        <v>158</v>
      </c>
    </row>
    <row r="121" spans="1:2" x14ac:dyDescent="0.25">
      <c r="A121" s="197">
        <v>42963</v>
      </c>
      <c r="B121" t="s">
        <v>238</v>
      </c>
    </row>
    <row r="122" spans="1:2" x14ac:dyDescent="0.25">
      <c r="A122" t="s">
        <v>239</v>
      </c>
    </row>
    <row r="124" spans="1:2" x14ac:dyDescent="0.25">
      <c r="A124" t="s">
        <v>240</v>
      </c>
    </row>
    <row r="125" spans="1:2" x14ac:dyDescent="0.25">
      <c r="A125" t="s">
        <v>241</v>
      </c>
    </row>
    <row r="126" spans="1:2" x14ac:dyDescent="0.25">
      <c r="A126" t="s">
        <v>242</v>
      </c>
    </row>
    <row r="127" spans="1:2" x14ac:dyDescent="0.25">
      <c r="A127" t="s">
        <v>243</v>
      </c>
    </row>
    <row r="128" spans="1:2" x14ac:dyDescent="0.25">
      <c r="A128" t="s">
        <v>158</v>
      </c>
    </row>
    <row r="129" spans="1:2" x14ac:dyDescent="0.25">
      <c r="A129" s="197">
        <v>42963</v>
      </c>
      <c r="B129" t="s">
        <v>244</v>
      </c>
    </row>
    <row r="130" spans="1:2" x14ac:dyDescent="0.25">
      <c r="A130" t="s">
        <v>245</v>
      </c>
    </row>
    <row r="132" spans="1:2" x14ac:dyDescent="0.25">
      <c r="A132" t="s">
        <v>246</v>
      </c>
    </row>
    <row r="133" spans="1:2" x14ac:dyDescent="0.25">
      <c r="A133" t="s">
        <v>247</v>
      </c>
    </row>
    <row r="134" spans="1:2" x14ac:dyDescent="0.25">
      <c r="A134" t="s">
        <v>248</v>
      </c>
    </row>
    <row r="135" spans="1:2" x14ac:dyDescent="0.25">
      <c r="A135" t="s">
        <v>199</v>
      </c>
    </row>
    <row r="136" spans="1:2" x14ac:dyDescent="0.25">
      <c r="A136" t="s">
        <v>158</v>
      </c>
    </row>
    <row r="137" spans="1:2" x14ac:dyDescent="0.25">
      <c r="A137" s="197">
        <v>42963</v>
      </c>
      <c r="B137" t="s">
        <v>249</v>
      </c>
    </row>
    <row r="138" spans="1:2" x14ac:dyDescent="0.25">
      <c r="A138" t="s">
        <v>250</v>
      </c>
    </row>
    <row r="140" spans="1:2" x14ac:dyDescent="0.25">
      <c r="A140" t="s">
        <v>251</v>
      </c>
    </row>
    <row r="141" spans="1:2" x14ac:dyDescent="0.25">
      <c r="A141" t="s">
        <v>252</v>
      </c>
    </row>
    <row r="142" spans="1:2" x14ac:dyDescent="0.25">
      <c r="A142" t="s">
        <v>253</v>
      </c>
    </row>
    <row r="143" spans="1:2" x14ac:dyDescent="0.25">
      <c r="A143" t="s">
        <v>254</v>
      </c>
    </row>
    <row r="144" spans="1:2" x14ac:dyDescent="0.25">
      <c r="A144" t="s">
        <v>255</v>
      </c>
    </row>
    <row r="145" spans="1:2" x14ac:dyDescent="0.25">
      <c r="A145" s="197">
        <v>42963</v>
      </c>
      <c r="B145" t="s">
        <v>256</v>
      </c>
    </row>
    <row r="146" spans="1:2" x14ac:dyDescent="0.25">
      <c r="A146" t="s">
        <v>257</v>
      </c>
    </row>
    <row r="148" spans="1:2" x14ac:dyDescent="0.25">
      <c r="A148" t="s">
        <v>258</v>
      </c>
    </row>
    <row r="149" spans="1:2" x14ac:dyDescent="0.25">
      <c r="A149" t="s">
        <v>259</v>
      </c>
    </row>
    <row r="150" spans="1:2" x14ac:dyDescent="0.25">
      <c r="A150" t="s">
        <v>260</v>
      </c>
    </row>
    <row r="151" spans="1:2" x14ac:dyDescent="0.25">
      <c r="A151" t="s">
        <v>182</v>
      </c>
    </row>
    <row r="152" spans="1:2" x14ac:dyDescent="0.25">
      <c r="A152" t="s">
        <v>158</v>
      </c>
    </row>
    <row r="153" spans="1:2" x14ac:dyDescent="0.25">
      <c r="A153" s="197">
        <v>42963</v>
      </c>
      <c r="B153" t="s">
        <v>261</v>
      </c>
    </row>
    <row r="154" spans="1:2" x14ac:dyDescent="0.25">
      <c r="A154" t="s">
        <v>262</v>
      </c>
    </row>
    <row r="156" spans="1:2" x14ac:dyDescent="0.25">
      <c r="A156" t="s">
        <v>263</v>
      </c>
    </row>
    <row r="157" spans="1:2" x14ac:dyDescent="0.25">
      <c r="A157" t="s">
        <v>264</v>
      </c>
    </row>
    <row r="158" spans="1:2" x14ac:dyDescent="0.25">
      <c r="A158" t="s">
        <v>265</v>
      </c>
    </row>
    <row r="159" spans="1:2" x14ac:dyDescent="0.25">
      <c r="A159" t="s">
        <v>266</v>
      </c>
    </row>
    <row r="160" spans="1:2" x14ac:dyDescent="0.25">
      <c r="A160" t="s">
        <v>158</v>
      </c>
    </row>
    <row r="161" spans="1:2" x14ac:dyDescent="0.25">
      <c r="A161" s="197">
        <v>42963</v>
      </c>
      <c r="B161" t="s">
        <v>267</v>
      </c>
    </row>
    <row r="162" spans="1:2" x14ac:dyDescent="0.25">
      <c r="A162" t="s">
        <v>268</v>
      </c>
    </row>
    <row r="164" spans="1:2" x14ac:dyDescent="0.25">
      <c r="A164" t="s">
        <v>269</v>
      </c>
    </row>
    <row r="165" spans="1:2" x14ac:dyDescent="0.25">
      <c r="A165" t="s">
        <v>270</v>
      </c>
    </row>
    <row r="166" spans="1:2" x14ac:dyDescent="0.25">
      <c r="A166" t="s">
        <v>271</v>
      </c>
    </row>
    <row r="167" spans="1:2" x14ac:dyDescent="0.25">
      <c r="A167" t="s">
        <v>272</v>
      </c>
    </row>
    <row r="168" spans="1:2" x14ac:dyDescent="0.25">
      <c r="A168" t="s">
        <v>158</v>
      </c>
    </row>
    <row r="169" spans="1:2" x14ac:dyDescent="0.25">
      <c r="A169" s="197">
        <v>42963</v>
      </c>
      <c r="B169" t="s">
        <v>273</v>
      </c>
    </row>
    <row r="170" spans="1:2" x14ac:dyDescent="0.25">
      <c r="A170" t="s">
        <v>274</v>
      </c>
    </row>
    <row r="172" spans="1:2" x14ac:dyDescent="0.25">
      <c r="A172" t="s">
        <v>275</v>
      </c>
    </row>
    <row r="173" spans="1:2" x14ac:dyDescent="0.25">
      <c r="A173" t="s">
        <v>276</v>
      </c>
    </row>
    <row r="174" spans="1:2" x14ac:dyDescent="0.25">
      <c r="A174" t="s">
        <v>277</v>
      </c>
    </row>
    <row r="175" spans="1:2" x14ac:dyDescent="0.25">
      <c r="A175" t="s">
        <v>278</v>
      </c>
    </row>
    <row r="176" spans="1:2" x14ac:dyDescent="0.25">
      <c r="A176" t="s">
        <v>158</v>
      </c>
    </row>
    <row r="177" spans="1:2" x14ac:dyDescent="0.25">
      <c r="A177" s="197">
        <v>42959</v>
      </c>
      <c r="B177" t="s">
        <v>279</v>
      </c>
    </row>
    <row r="178" spans="1:2" x14ac:dyDescent="0.25">
      <c r="A178" t="s">
        <v>280</v>
      </c>
    </row>
    <row r="180" spans="1:2" x14ac:dyDescent="0.25">
      <c r="A180" t="s">
        <v>281</v>
      </c>
    </row>
    <row r="181" spans="1:2" x14ac:dyDescent="0.25">
      <c r="A181" t="s">
        <v>282</v>
      </c>
    </row>
    <row r="182" spans="1:2" x14ac:dyDescent="0.25">
      <c r="A182" t="s">
        <v>283</v>
      </c>
    </row>
    <row r="183" spans="1:2" x14ac:dyDescent="0.25">
      <c r="A183" t="s">
        <v>284</v>
      </c>
    </row>
    <row r="184" spans="1:2" x14ac:dyDescent="0.25">
      <c r="A184" t="s">
        <v>158</v>
      </c>
    </row>
    <row r="185" spans="1:2" x14ac:dyDescent="0.25">
      <c r="A185" s="197">
        <v>42959</v>
      </c>
      <c r="B185" t="s">
        <v>285</v>
      </c>
    </row>
    <row r="186" spans="1:2" x14ac:dyDescent="0.25">
      <c r="A186" t="s">
        <v>286</v>
      </c>
    </row>
    <row r="188" spans="1:2" x14ac:dyDescent="0.25">
      <c r="A188" t="s">
        <v>287</v>
      </c>
    </row>
    <row r="189" spans="1:2" x14ac:dyDescent="0.25">
      <c r="A189" t="s">
        <v>288</v>
      </c>
    </row>
    <row r="190" spans="1:2" x14ac:dyDescent="0.25">
      <c r="A190" t="s">
        <v>289</v>
      </c>
    </row>
    <row r="191" spans="1:2" x14ac:dyDescent="0.25">
      <c r="A191" t="s">
        <v>290</v>
      </c>
    </row>
    <row r="192" spans="1:2" x14ac:dyDescent="0.25">
      <c r="A192" t="s">
        <v>158</v>
      </c>
    </row>
    <row r="193" spans="1:2" x14ac:dyDescent="0.25">
      <c r="A193" s="197">
        <v>42956</v>
      </c>
      <c r="B193" t="s">
        <v>291</v>
      </c>
    </row>
    <row r="194" spans="1:2" x14ac:dyDescent="0.25">
      <c r="A194" t="s">
        <v>292</v>
      </c>
    </row>
    <row r="196" spans="1:2" x14ac:dyDescent="0.25">
      <c r="A196" t="s">
        <v>293</v>
      </c>
    </row>
    <row r="197" spans="1:2" x14ac:dyDescent="0.25">
      <c r="A197" t="s">
        <v>294</v>
      </c>
    </row>
    <row r="198" spans="1:2" x14ac:dyDescent="0.25">
      <c r="A198" t="s">
        <v>289</v>
      </c>
    </row>
    <row r="199" spans="1:2" x14ac:dyDescent="0.25">
      <c r="A199" t="s">
        <v>295</v>
      </c>
    </row>
    <row r="200" spans="1:2" x14ac:dyDescent="0.25">
      <c r="A200" t="s">
        <v>158</v>
      </c>
    </row>
    <row r="201" spans="1:2" x14ac:dyDescent="0.25">
      <c r="A201" s="197">
        <v>42949</v>
      </c>
      <c r="B201" t="s">
        <v>296</v>
      </c>
    </row>
    <row r="202" spans="1:2" x14ac:dyDescent="0.25">
      <c r="A202" t="s">
        <v>297</v>
      </c>
    </row>
    <row r="204" spans="1:2" x14ac:dyDescent="0.25">
      <c r="A204" t="s">
        <v>298</v>
      </c>
    </row>
    <row r="205" spans="1:2" x14ac:dyDescent="0.25">
      <c r="A205" t="s">
        <v>299</v>
      </c>
    </row>
    <row r="206" spans="1:2" x14ac:dyDescent="0.25">
      <c r="A206" t="s">
        <v>289</v>
      </c>
    </row>
    <row r="207" spans="1:2" x14ac:dyDescent="0.25">
      <c r="A207" t="s">
        <v>300</v>
      </c>
    </row>
    <row r="208" spans="1:2" x14ac:dyDescent="0.25">
      <c r="A208" t="s">
        <v>158</v>
      </c>
    </row>
    <row r="209" spans="1:2" x14ac:dyDescent="0.25">
      <c r="A209" s="197">
        <v>42942</v>
      </c>
      <c r="B209" t="s">
        <v>301</v>
      </c>
    </row>
    <row r="210" spans="1:2" x14ac:dyDescent="0.25">
      <c r="A210" t="s">
        <v>302</v>
      </c>
    </row>
    <row r="212" spans="1:2" x14ac:dyDescent="0.25">
      <c r="A212" t="s">
        <v>303</v>
      </c>
    </row>
    <row r="213" spans="1:2" x14ac:dyDescent="0.25">
      <c r="A213" t="s">
        <v>304</v>
      </c>
    </row>
    <row r="214" spans="1:2" x14ac:dyDescent="0.25">
      <c r="A214" t="s">
        <v>305</v>
      </c>
    </row>
    <row r="215" spans="1:2" x14ac:dyDescent="0.25">
      <c r="A215" t="s">
        <v>306</v>
      </c>
    </row>
    <row r="216" spans="1:2" x14ac:dyDescent="0.25">
      <c r="A216" t="s">
        <v>158</v>
      </c>
    </row>
    <row r="217" spans="1:2" x14ac:dyDescent="0.25">
      <c r="A217" s="197">
        <v>42767</v>
      </c>
      <c r="B217" t="s">
        <v>307</v>
      </c>
    </row>
    <row r="218" spans="1:2" x14ac:dyDescent="0.25">
      <c r="A218" t="s">
        <v>308</v>
      </c>
    </row>
    <row r="220" spans="1:2" x14ac:dyDescent="0.25">
      <c r="A220" t="s">
        <v>309</v>
      </c>
    </row>
    <row r="221" spans="1:2" x14ac:dyDescent="0.25">
      <c r="A221" t="s">
        <v>310</v>
      </c>
    </row>
    <row r="222" spans="1:2" x14ac:dyDescent="0.25">
      <c r="A222" t="s">
        <v>311</v>
      </c>
    </row>
    <row r="223" spans="1:2" x14ac:dyDescent="0.25">
      <c r="A223" t="s">
        <v>312</v>
      </c>
    </row>
    <row r="224" spans="1:2" x14ac:dyDescent="0.25">
      <c r="A224" t="s">
        <v>158</v>
      </c>
    </row>
    <row r="225" spans="1:2" x14ac:dyDescent="0.25">
      <c r="A225" s="197">
        <v>42732</v>
      </c>
      <c r="B225" t="s">
        <v>313</v>
      </c>
    </row>
    <row r="226" spans="1:2" x14ac:dyDescent="0.25">
      <c r="A226" t="s">
        <v>314</v>
      </c>
    </row>
    <row r="228" spans="1:2" x14ac:dyDescent="0.25">
      <c r="A228" t="s">
        <v>315</v>
      </c>
    </row>
    <row r="229" spans="1:2" x14ac:dyDescent="0.25">
      <c r="A229" t="s">
        <v>316</v>
      </c>
    </row>
    <row r="230" spans="1:2" x14ac:dyDescent="0.25">
      <c r="A230" t="s">
        <v>317</v>
      </c>
    </row>
    <row r="231" spans="1:2" x14ac:dyDescent="0.25">
      <c r="A231" t="s">
        <v>318</v>
      </c>
    </row>
    <row r="232" spans="1:2" x14ac:dyDescent="0.25">
      <c r="A232" t="s">
        <v>158</v>
      </c>
    </row>
    <row r="233" spans="1:2" x14ac:dyDescent="0.25">
      <c r="A233" s="197">
        <v>42536</v>
      </c>
      <c r="B233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BR59"/>
  <sheetViews>
    <sheetView zoomScale="80" zoomScaleNormal="80" workbookViewId="0">
      <selection activeCell="C9" sqref="C9"/>
    </sheetView>
  </sheetViews>
  <sheetFormatPr baseColWidth="10" defaultColWidth="9.140625" defaultRowHeight="15" x14ac:dyDescent="0.25"/>
  <cols>
    <col min="1" max="1" width="22.7109375" bestFit="1" customWidth="1"/>
    <col min="2" max="3" width="9.140625" bestFit="1" customWidth="1"/>
    <col min="4" max="4" width="11.28515625" bestFit="1" customWidth="1"/>
    <col min="5" max="5" width="10.140625" bestFit="1" customWidth="1"/>
    <col min="6" max="6" width="4.85546875" bestFit="1" customWidth="1"/>
    <col min="7" max="7" width="6" bestFit="1" customWidth="1"/>
    <col min="8" max="8" width="9.140625" bestFit="1" customWidth="1"/>
    <col min="9" max="9" width="4.42578125" bestFit="1" customWidth="1"/>
    <col min="10" max="10" width="9.140625" bestFit="1" customWidth="1"/>
    <col min="11" max="11" width="6" bestFit="1" customWidth="1"/>
    <col min="12" max="12" width="9.140625" bestFit="1" customWidth="1"/>
    <col min="13" max="13" width="5.7109375" bestFit="1" customWidth="1"/>
    <col min="14" max="14" width="9.140625" bestFit="1" customWidth="1"/>
    <col min="15" max="15" width="7.140625" bestFit="1" customWidth="1"/>
    <col min="16" max="16" width="9.140625" bestFit="1" customWidth="1"/>
    <col min="17" max="17" width="8.85546875" bestFit="1" customWidth="1"/>
    <col min="18" max="18" width="9.140625" bestFit="1" customWidth="1"/>
    <col min="19" max="19" width="8.85546875" bestFit="1" customWidth="1"/>
    <col min="20" max="20" width="9.140625" bestFit="1" customWidth="1"/>
    <col min="21" max="21" width="8.85546875" bestFit="1" customWidth="1"/>
    <col min="22" max="22" width="9.140625" bestFit="1" customWidth="1"/>
    <col min="23" max="23" width="17.42578125" customWidth="1"/>
    <col min="24" max="24" width="7.140625" bestFit="1" customWidth="1"/>
    <col min="25" max="25" width="9.140625" bestFit="1" customWidth="1"/>
    <col min="26" max="26" width="8.7109375" bestFit="1" customWidth="1"/>
    <col min="27" max="27" width="8" bestFit="1" customWidth="1"/>
    <col min="28" max="28" width="10" customWidth="1"/>
    <col min="29" max="29" width="8.42578125" bestFit="1" customWidth="1"/>
    <col min="30" max="30" width="8.85546875" bestFit="1" customWidth="1"/>
    <col min="31" max="31" width="8.42578125" bestFit="1" customWidth="1"/>
    <col min="32" max="32" width="8.7109375" bestFit="1" customWidth="1"/>
    <col min="33" max="33" width="8.42578125" bestFit="1" customWidth="1"/>
    <col min="34" max="34" width="3.7109375" bestFit="1" customWidth="1"/>
    <col min="35" max="35" width="8.42578125" bestFit="1" customWidth="1"/>
    <col min="36" max="36" width="3.7109375" bestFit="1" customWidth="1"/>
    <col min="37" max="37" width="8.42578125" bestFit="1" customWidth="1"/>
    <col min="38" max="38" width="4.85546875" bestFit="1" customWidth="1"/>
    <col min="39" max="39" width="9.140625" bestFit="1" customWidth="1"/>
    <col min="42" max="42" width="4.5703125" bestFit="1" customWidth="1"/>
    <col min="43" max="43" width="8.42578125" bestFit="1" customWidth="1"/>
    <col min="44" max="44" width="5.42578125" bestFit="1" customWidth="1"/>
    <col min="45" max="45" width="8.42578125" bestFit="1" customWidth="1"/>
    <col min="46" max="46" width="2.28515625" bestFit="1" customWidth="1"/>
    <col min="47" max="47" width="3.42578125" bestFit="1" customWidth="1"/>
    <col min="48" max="48" width="4.28515625" bestFit="1" customWidth="1"/>
    <col min="49" max="52" width="3" bestFit="1" customWidth="1"/>
    <col min="53" max="56" width="3.42578125" bestFit="1" customWidth="1"/>
    <col min="57" max="58" width="4.42578125" bestFit="1" customWidth="1"/>
    <col min="60" max="60" width="2.42578125" bestFit="1" customWidth="1"/>
    <col min="61" max="61" width="3.42578125" bestFit="1" customWidth="1"/>
    <col min="62" max="62" width="6.140625" bestFit="1" customWidth="1"/>
    <col min="63" max="63" width="4.7109375" customWidth="1"/>
    <col min="64" max="65" width="3.42578125" bestFit="1" customWidth="1"/>
    <col min="66" max="66" width="6.140625" bestFit="1" customWidth="1"/>
    <col min="67" max="67" width="4.42578125" customWidth="1"/>
    <col min="68" max="69" width="2.42578125" bestFit="1" customWidth="1"/>
    <col min="70" max="70" width="5.28515625" bestFit="1" customWidth="1"/>
  </cols>
  <sheetData>
    <row r="1" spans="1:70" x14ac:dyDescent="0.25">
      <c r="A1" s="196" t="s">
        <v>320</v>
      </c>
      <c r="B1" t="s">
        <v>146</v>
      </c>
      <c r="F1" s="10" t="s">
        <v>123</v>
      </c>
      <c r="G1" s="70">
        <f>IF(D3="SI",COUNTIF($F$6:$F$18,"RAP"),0)</f>
        <v>0</v>
      </c>
      <c r="H1" s="70">
        <f>G1+G2+G3</f>
        <v>0</v>
      </c>
      <c r="J1" s="11" t="s">
        <v>123</v>
      </c>
      <c r="K1" s="70">
        <f>IF(D3="SI",COUNTIF($J$6:$J$18,"RAP"),0)</f>
        <v>0</v>
      </c>
      <c r="L1" s="70">
        <f>K1+K2+K3</f>
        <v>0</v>
      </c>
      <c r="M1" s="150">
        <f>L1+H1</f>
        <v>0</v>
      </c>
      <c r="P1" s="199" t="s">
        <v>135</v>
      </c>
      <c r="Q1" s="199"/>
      <c r="R1" s="152">
        <v>-0.12364059050405629</v>
      </c>
      <c r="S1" s="153">
        <f>1+R1</f>
        <v>0.87635940949594371</v>
      </c>
      <c r="U1" s="160" t="s">
        <v>145</v>
      </c>
      <c r="V1">
        <f>IF(B17="JC",IF(C17="JC",1.2,1.1),IF(C17="JC",1.1,1))</f>
        <v>1</v>
      </c>
      <c r="AF1">
        <f>COUNTA(J16:J18)</f>
        <v>3</v>
      </c>
    </row>
    <row r="2" spans="1:70" x14ac:dyDescent="0.25">
      <c r="A2" s="196" t="s">
        <v>151</v>
      </c>
      <c r="B2" t="s">
        <v>146</v>
      </c>
      <c r="F2" s="10" t="s">
        <v>21</v>
      </c>
      <c r="G2" s="70">
        <f>IF(D3="SI",COUNTIF($F$6:$F$18,"TEC"),0)</f>
        <v>0</v>
      </c>
      <c r="H2" s="13"/>
      <c r="J2" s="11" t="s">
        <v>21</v>
      </c>
      <c r="K2" s="70">
        <f>IF(D3="SI",COUNTIF($J$6:$J$18,"TEC"),0)</f>
        <v>0</v>
      </c>
      <c r="L2" s="13" t="s">
        <v>134</v>
      </c>
      <c r="M2" s="163" t="str">
        <f>IF(M1&lt;&gt;0,"SI","NO")</f>
        <v>NO</v>
      </c>
      <c r="O2" t="s">
        <v>148</v>
      </c>
      <c r="P2" s="165" t="s">
        <v>149</v>
      </c>
      <c r="R2" s="152">
        <v>7.3959748117051513E-2</v>
      </c>
      <c r="S2" s="153">
        <f>1+R2</f>
        <v>1.0739597481170515</v>
      </c>
      <c r="Y2" t="s">
        <v>148</v>
      </c>
      <c r="Z2" s="164" t="s">
        <v>149</v>
      </c>
    </row>
    <row r="3" spans="1:70" x14ac:dyDescent="0.25">
      <c r="A3" s="162" t="s">
        <v>108</v>
      </c>
      <c r="B3" s="200" t="s">
        <v>23</v>
      </c>
      <c r="C3" s="200"/>
      <c r="D3" t="str">
        <f>IF(B3="Sol","SI",IF(B3="Lluvia","SI","NO"))</f>
        <v>NO</v>
      </c>
      <c r="F3" s="10" t="s">
        <v>131</v>
      </c>
      <c r="G3" s="70">
        <f>IF(D3="SI",COUNTIF($F$6:$F$18,"POT"),0)</f>
        <v>0</v>
      </c>
      <c r="H3" s="13"/>
      <c r="J3" s="11" t="s">
        <v>131</v>
      </c>
      <c r="K3" s="70">
        <f>IF(D3="SI",COUNTIF($J$6:$J$18,"POT"),0)</f>
        <v>0</v>
      </c>
      <c r="L3" s="13"/>
      <c r="O3" t="s">
        <v>132</v>
      </c>
      <c r="P3" s="165" t="s">
        <v>138</v>
      </c>
      <c r="Q3" t="s">
        <v>133</v>
      </c>
      <c r="R3" s="165" t="s">
        <v>139</v>
      </c>
      <c r="Y3" t="s">
        <v>132</v>
      </c>
      <c r="Z3" s="164" t="s">
        <v>138</v>
      </c>
      <c r="AA3" t="s">
        <v>133</v>
      </c>
      <c r="AB3" s="164" t="s">
        <v>139</v>
      </c>
    </row>
    <row r="4" spans="1:70" ht="15.75" x14ac:dyDescent="0.25">
      <c r="A4" s="124"/>
      <c r="B4" s="8" t="s">
        <v>106</v>
      </c>
      <c r="C4" s="9" t="s">
        <v>107</v>
      </c>
      <c r="D4" s="13"/>
      <c r="E4" s="13"/>
      <c r="F4" s="8" t="s">
        <v>13</v>
      </c>
      <c r="G4" s="8" t="s">
        <v>128</v>
      </c>
      <c r="H4" s="8" t="s">
        <v>127</v>
      </c>
      <c r="I4" s="8" t="s">
        <v>129</v>
      </c>
      <c r="J4" s="9" t="s">
        <v>14</v>
      </c>
      <c r="K4" s="9" t="s">
        <v>128</v>
      </c>
      <c r="L4" s="9" t="s">
        <v>127</v>
      </c>
      <c r="M4" s="9" t="s">
        <v>129</v>
      </c>
      <c r="N4" s="13"/>
      <c r="O4" s="8" t="s">
        <v>28</v>
      </c>
      <c r="P4" s="8" t="s">
        <v>29</v>
      </c>
      <c r="Q4" s="8" t="s">
        <v>30</v>
      </c>
      <c r="R4" s="8" t="s">
        <v>70</v>
      </c>
      <c r="S4" s="8" t="s">
        <v>31</v>
      </c>
      <c r="T4" s="8" t="s">
        <v>32</v>
      </c>
      <c r="U4" s="8" t="s">
        <v>33</v>
      </c>
      <c r="V4" s="196"/>
      <c r="W4" s="125"/>
      <c r="X4" s="12" t="s">
        <v>72</v>
      </c>
      <c r="Y4" s="9" t="s">
        <v>28</v>
      </c>
      <c r="Z4" s="9" t="s">
        <v>29</v>
      </c>
      <c r="AA4" s="9" t="s">
        <v>34</v>
      </c>
      <c r="AB4" s="9" t="s">
        <v>35</v>
      </c>
      <c r="AC4" s="9" t="s">
        <v>31</v>
      </c>
      <c r="AD4" s="9" t="s">
        <v>32</v>
      </c>
      <c r="AE4" s="9" t="s">
        <v>33</v>
      </c>
      <c r="AF4" s="14"/>
      <c r="BH4">
        <v>0</v>
      </c>
      <c r="BI4">
        <v>1</v>
      </c>
      <c r="BJ4" s="107">
        <f t="shared" ref="BJ4:BJ13" si="0">$H$25*H40</f>
        <v>3.6435905059392225E-2</v>
      </c>
      <c r="BL4">
        <v>0</v>
      </c>
      <c r="BM4">
        <v>0</v>
      </c>
      <c r="BN4" s="107">
        <f>H25*H39</f>
        <v>1.6484398558411099E-2</v>
      </c>
      <c r="BP4">
        <v>1</v>
      </c>
      <c r="BQ4">
        <v>0</v>
      </c>
      <c r="BR4" s="107">
        <f>$H$26*H39</f>
        <v>4.7417162741676941E-2</v>
      </c>
    </row>
    <row r="5" spans="1:70" x14ac:dyDescent="0.25">
      <c r="A5" s="188" t="s">
        <v>140</v>
      </c>
      <c r="B5" s="161">
        <v>352</v>
      </c>
      <c r="C5" s="161">
        <v>352</v>
      </c>
      <c r="E5" s="192" t="s">
        <v>15</v>
      </c>
      <c r="F5" s="167" t="s">
        <v>16</v>
      </c>
      <c r="G5" s="167">
        <v>12</v>
      </c>
      <c r="H5" s="10"/>
      <c r="I5" s="10"/>
      <c r="J5" s="166" t="s">
        <v>16</v>
      </c>
      <c r="K5" s="166">
        <v>12</v>
      </c>
      <c r="L5" s="10"/>
      <c r="M5" s="10"/>
      <c r="O5" s="67">
        <f>COUNTIF(F5:F18,"IMP")*0.017</f>
        <v>0</v>
      </c>
      <c r="P5" s="16" t="str">
        <f>P3</f>
        <v>0,6</v>
      </c>
      <c r="Q5" s="16">
        <f>P5*O5</f>
        <v>0</v>
      </c>
      <c r="R5" s="157">
        <f>IF($M$2="SI",Q5*$B$22/0.5*$S$1,Q5*$B$22/0.5*$S$2)</f>
        <v>0</v>
      </c>
      <c r="S5" s="176">
        <f>(1-R5)</f>
        <v>1</v>
      </c>
      <c r="T5" s="177">
        <f>R5*PRODUCT(S6:S19)</f>
        <v>0</v>
      </c>
      <c r="U5" s="177">
        <f>R5*R6*PRODUCT(S7:S19)+R5*R7*PRODUCT(S8:S19)*PRODUCT(S6)+R5*R8*PRODUCT(S9:S19)*PRODUCT(S6:S7)+R5*R9*PRODUCT(S10:S19)*PRODUCT(S6:S8)+R5*R10*PRODUCT(S11:S19)*PRODUCT(S6:S9)+R5*R11*PRODUCT(S12:S19)*PRODUCT(S6:S10)+R5*R12*PRODUCT(S13:S19)*PRODUCT(S6:S11)+R5*R13*PRODUCT(S14:S19)*PRODUCT(S6:S12)+R5*R14*PRODUCT(S15:S19)*PRODUCT(S6:S13)+R5*R15*PRODUCT(S16:S19)*PRODUCT(S6:S14)+R5*R16*PRODUCT(S17:S19)*PRODUCT(S6:S15)+R5*R17*PRODUCT(S18:S19)*PRODUCT(S6:S16)+R5*R18*PRODUCT(S19)*PRODUCT(S6:S17)+R5*R19*PRODUCT(S6:S18)</f>
        <v>0</v>
      </c>
      <c r="V5" s="18"/>
      <c r="W5" s="186" t="s">
        <v>36</v>
      </c>
      <c r="X5" s="15" t="s">
        <v>37</v>
      </c>
      <c r="Y5" s="69">
        <f>COUNTIF(J5:J18,"IMP")*0.017</f>
        <v>0</v>
      </c>
      <c r="Z5" s="146" t="str">
        <f>Z3</f>
        <v>0,6</v>
      </c>
      <c r="AA5" s="19">
        <f>Z5*Y5</f>
        <v>0</v>
      </c>
      <c r="AB5" s="157">
        <f>IF($M$2="SI",AA5*$C$22/0.5*$S$1,AA5*$C$22/0.5*$S$2)</f>
        <v>0</v>
      </c>
      <c r="AC5" s="176">
        <f>(1-AB5)</f>
        <v>1</v>
      </c>
      <c r="AD5" s="177">
        <f>AB5*PRODUCT(AC6:AC19)</f>
        <v>0</v>
      </c>
      <c r="AE5" s="177">
        <f>AB5*AB6*PRODUCT(AC7:AC19)+AB5*AB7*PRODUCT(AC8:AC19)*PRODUCT(AC6)+AB5*AB8*PRODUCT(AC9:AC19)*PRODUCT(AC6:AC7)+AB5*AB9*PRODUCT(AC10:AC19)*PRODUCT(AC6:AC8)+AB5*AB10*PRODUCT(AC11:AC19)*PRODUCT(AC6:AC9)+AB5*AB11*PRODUCT(AC12:AC19)*PRODUCT(AC6:AC10)+AB5*AB12*PRODUCT(AC13:AC19)*PRODUCT(AC6:AC11)+AB5*AB13*PRODUCT(AC14:AC19)*PRODUCT(AC6:AC12)+AB5*AB14*PRODUCT(AC15:AC19)*PRODUCT(AC6:AC13)+AB5*AB15*PRODUCT(AC16:AC19)*PRODUCT(AC6:AC14)+AB5*AB16*PRODUCT(AC17:AC19)*PRODUCT(AC6:AC15)+AB5*AB17*PRODUCT(AC18:AC19)*PRODUCT(AC6:AC16)+AB5*AB18*PRODUCT(AC19)*PRODUCT(AC6:AC17)+AB5*AB19*PRODUCT(AC6:AC18)</f>
        <v>0</v>
      </c>
      <c r="AF5" s="18"/>
      <c r="BH5">
        <v>0</v>
      </c>
      <c r="BI5">
        <v>2</v>
      </c>
      <c r="BJ5" s="107">
        <f t="shared" si="0"/>
        <v>3.6683779847997533E-2</v>
      </c>
      <c r="BL5">
        <v>1</v>
      </c>
      <c r="BM5">
        <v>1</v>
      </c>
      <c r="BN5" s="107">
        <f>$H$26*H40</f>
        <v>0.1048074173722247</v>
      </c>
      <c r="BP5">
        <f>BP4+1</f>
        <v>2</v>
      </c>
      <c r="BQ5">
        <v>0</v>
      </c>
      <c r="BR5" s="107">
        <f>$H$27*H39</f>
        <v>4.1644141889845811E-2</v>
      </c>
    </row>
    <row r="6" spans="1:70" x14ac:dyDescent="0.25">
      <c r="A6" s="2" t="s">
        <v>1</v>
      </c>
      <c r="B6" s="168">
        <v>10</v>
      </c>
      <c r="C6" s="169">
        <v>11.25</v>
      </c>
      <c r="E6" s="192" t="s">
        <v>17</v>
      </c>
      <c r="F6" s="167" t="s">
        <v>144</v>
      </c>
      <c r="G6" s="167"/>
      <c r="H6" s="10"/>
      <c r="I6" s="10"/>
      <c r="J6" s="166" t="s">
        <v>16</v>
      </c>
      <c r="K6" s="166"/>
      <c r="L6" s="10"/>
      <c r="M6" s="10"/>
      <c r="O6" s="67">
        <f>COUNTIF(F14:F18,"IMP")*0.017</f>
        <v>0</v>
      </c>
      <c r="P6" s="16" t="str">
        <f>P3</f>
        <v>0,6</v>
      </c>
      <c r="Q6" s="16">
        <f t="shared" ref="Q6:Q19" si="1">P6*O6</f>
        <v>0</v>
      </c>
      <c r="R6" s="157">
        <f>IF($M$2="SI",Q6*$B$22/0.5*$S$1,Q6*$B$22/0.5*$S$2)</f>
        <v>0</v>
      </c>
      <c r="S6" s="176">
        <f t="shared" ref="S6:S19" si="2">(1-R6)</f>
        <v>1</v>
      </c>
      <c r="T6" s="177">
        <f>R6*S5*PRODUCT(S7:S19)</f>
        <v>0</v>
      </c>
      <c r="U6" s="177">
        <f>R6*R7*PRODUCT(S8:S19)*PRODUCT(S5)+R6*R8*PRODUCT(S9:S19)*S5*PRODUCT(S7)+R6*R9*PRODUCT(S10:S19)*S5*PRODUCT(S7:S8)+R6*R10*PRODUCT(S11:S19)*S5*PRODUCT(S7:S9)+R6*R11*PRODUCT(S12:S19)*S5*PRODUCT(S7:S10)+R6*R12*PRODUCT(S13:S19)*S5*PRODUCT(S7:S11)+R6*R13*PRODUCT(S14:S19)*S5*PRODUCT(S7:S12)+R6*R14*PRODUCT(S15:S19)*S5*PRODUCT(S7:S13)+R6*R15*PRODUCT(S16:S19)*S5*PRODUCT(S7:S14)+R6*R16*PRODUCT(S17:S19)*S5*PRODUCT(S7:S15)+R6*R17*PRODUCT(S18:S19)*S5*PRODUCT(S7:S16)+R6*R18*PRODUCT(S19)*S5*PRODUCT(S7:S17)+R6*R19*S5*PRODUCT(S7:S18)</f>
        <v>0</v>
      </c>
      <c r="V6" s="18"/>
      <c r="W6" s="186" t="s">
        <v>38</v>
      </c>
      <c r="X6" s="15" t="s">
        <v>39</v>
      </c>
      <c r="Y6" s="69">
        <f>COUNTIF(J14:J18,"IMP")*0.017</f>
        <v>0</v>
      </c>
      <c r="Z6" s="146" t="str">
        <f>Z3</f>
        <v>0,6</v>
      </c>
      <c r="AA6" s="19">
        <f t="shared" ref="AA6:AA19" si="3">Z6*Y6</f>
        <v>0</v>
      </c>
      <c r="AB6" s="157">
        <f t="shared" ref="AB6:AB19" si="4">IF($M$2="SI",AA6*$C$22/0.5*$S$1,AA6*$C$22/0.5*$S$2)</f>
        <v>0</v>
      </c>
      <c r="AC6" s="176">
        <f t="shared" ref="AC6:AC19" si="5">(1-AB6)</f>
        <v>1</v>
      </c>
      <c r="AD6" s="177">
        <f>AB6*AC5*PRODUCT(AC7:AC19)</f>
        <v>0</v>
      </c>
      <c r="AE6" s="177">
        <f>AB6*AB7*PRODUCT(AC8:AC19)*PRODUCT(AC5)+AB6*AB8*PRODUCT(AC9:AC19)*AC5*PRODUCT(AC7)+AB6*AB9*PRODUCT(AC10:AC19)*AC5*PRODUCT(AC7:AC8)+AB6*AB10*PRODUCT(AC11:AC19)*AC5*PRODUCT(AC7:AC9)+AB6*AB11*PRODUCT(AC12:AC19)*AC5*PRODUCT(AC7:AC10)+AB6*AB12*PRODUCT(AC13:AC19)*AC5*PRODUCT(AC7:AC11)+AB6*AB13*PRODUCT(AC14:AC19)*AC5*PRODUCT(AC7:AC12)+AB6*AB14*PRODUCT(AC15:AC19)*AC5*PRODUCT(AC7:AC13)+AB6*AB15*PRODUCT(AC16:AC19)*AC5*PRODUCT(AC7:AC14)+AB6*AB16*PRODUCT(AC17:AC19)*AC5*PRODUCT(AC7:AC15)+AB6*AB17*PRODUCT(AC18:AC19)*AC5*PRODUCT(AC7:AC16)+AB6*AB18*PRODUCT(AC19)*AC5*PRODUCT(AC7:AC17)+AB6*AB19*AC5*PRODUCT(AC7:AC18)</f>
        <v>0</v>
      </c>
      <c r="AF6" s="18"/>
      <c r="BH6">
        <v>0</v>
      </c>
      <c r="BI6">
        <v>3</v>
      </c>
      <c r="BJ6" s="107">
        <f t="shared" si="0"/>
        <v>2.2428281951225437E-2</v>
      </c>
      <c r="BL6">
        <f>BH14+1</f>
        <v>2</v>
      </c>
      <c r="BM6">
        <v>2</v>
      </c>
      <c r="BN6" s="107">
        <f>$H$27*H41</f>
        <v>9.2673355817788738E-2</v>
      </c>
      <c r="BP6">
        <f>BL5+1</f>
        <v>2</v>
      </c>
      <c r="BQ6">
        <v>1</v>
      </c>
      <c r="BR6" s="107">
        <f>$H$27*H40</f>
        <v>9.2047155666717534E-2</v>
      </c>
    </row>
    <row r="7" spans="1:70" x14ac:dyDescent="0.25">
      <c r="A7" s="5" t="s">
        <v>2</v>
      </c>
      <c r="B7" s="168">
        <v>19</v>
      </c>
      <c r="C7" s="169">
        <v>9.5</v>
      </c>
      <c r="E7" s="192" t="s">
        <v>18</v>
      </c>
      <c r="F7" s="167" t="s">
        <v>144</v>
      </c>
      <c r="G7" s="167"/>
      <c r="H7" s="10"/>
      <c r="I7" s="10"/>
      <c r="J7" s="166"/>
      <c r="K7" s="166"/>
      <c r="L7" s="10"/>
      <c r="M7" s="10"/>
      <c r="O7" s="67">
        <v>0</v>
      </c>
      <c r="P7" s="144">
        <v>0.5</v>
      </c>
      <c r="Q7" s="16">
        <f t="shared" si="1"/>
        <v>0</v>
      </c>
      <c r="R7" s="157">
        <f t="shared" ref="R7:R19" si="6">IF($M$2="SI",Q7*$B$22/0.5*$S$1,Q7*$B$22/0.5*$S$2)</f>
        <v>0</v>
      </c>
      <c r="S7" s="176">
        <f t="shared" si="2"/>
        <v>1</v>
      </c>
      <c r="T7" s="177">
        <f>R7*PRODUCT(S5:S6)*PRODUCT(S8:S19)</f>
        <v>0</v>
      </c>
      <c r="U7" s="177">
        <f>R7*R8*PRODUCT(S9:S19)*PRODUCT(S5:S6)+R7*R9*PRODUCT(S10:S19)*PRODUCT(S5:S6)*PRODUCT(S8)+R7*R10*PRODUCT(S11:S19)*PRODUCT(S5:S6)*PRODUCT(S8:S9)+R7*R11*PRODUCT(S12:S19)*PRODUCT(S5:S6)*PRODUCT(S8:S10)+R7*R12*PRODUCT(S13:S19)*PRODUCT(S5:S6)*PRODUCT(S8:S11)+R7*R13*PRODUCT(S14:S19)*PRODUCT(S5:S6)*PRODUCT(S8:S12)+R7*R14*PRODUCT(S15:S19)*PRODUCT(S5:S6)*PRODUCT(S8:S13)+R7*R15*PRODUCT(S16:S19)*PRODUCT(S5:S6)*PRODUCT(S8:S14)+R7*R16*PRODUCT(S17:S19)*PRODUCT(S5:S6)*PRODUCT(S8:S15)+R7*R17*PRODUCT(S18:S19)*PRODUCT(S5:S6)*PRODUCT(S8:S16)+R7*R18*PRODUCT(S19)*PRODUCT(S5:S6)*PRODUCT(S8:S17)+R7*R19*PRODUCT(S5:S6)*PRODUCT(S8:S18)</f>
        <v>0</v>
      </c>
      <c r="W7" s="186" t="s">
        <v>40</v>
      </c>
      <c r="X7" s="15" t="s">
        <v>41</v>
      </c>
      <c r="Y7" s="69">
        <v>0</v>
      </c>
      <c r="Z7" s="146">
        <v>0.5</v>
      </c>
      <c r="AA7" s="19">
        <f t="shared" si="3"/>
        <v>0</v>
      </c>
      <c r="AB7" s="157">
        <f t="shared" si="4"/>
        <v>0</v>
      </c>
      <c r="AC7" s="176">
        <f t="shared" si="5"/>
        <v>1</v>
      </c>
      <c r="AD7" s="177">
        <f>AB7*PRODUCT(AC5:AC6)*PRODUCT(AC8:AC19)</f>
        <v>0</v>
      </c>
      <c r="AE7" s="177">
        <f>AB7*AB8*PRODUCT(AC9:AC19)*PRODUCT(AC5:AC6)+AB7*AB9*PRODUCT(AC10:AC19)*PRODUCT(AC5:AC6)*PRODUCT(AC8)+AB7*AB10*PRODUCT(AC11:AC19)*PRODUCT(AC5:AC6)*PRODUCT(AC8:AC9)+AB7*AB11*PRODUCT(AC12:AC19)*PRODUCT(AC5:AC6)*PRODUCT(AC8:AC10)+AB7*AB12*PRODUCT(AC13:AC19)*PRODUCT(AC5:AC6)*PRODUCT(AC8:AC11)+AB7*AB13*PRODUCT(AC14:AC19)*PRODUCT(AC5:AC6)*PRODUCT(AC8:AC12)+AB7*AB14*PRODUCT(AC15:AC19)*PRODUCT(AC5:AC6)*PRODUCT(AC8:AC13)+AB7*AB15*PRODUCT(AC16:AC19)*PRODUCT(AC5:AC6)*PRODUCT(AC8:AC14)+AB7*AB16*PRODUCT(AC17:AC19)*PRODUCT(AC5:AC6)*PRODUCT(AC8:AC15)+AB7*AB17*PRODUCT(AC18:AC19)*PRODUCT(AC5:AC6)*PRODUCT(AC8:AC16)+AB7*AB18*PRODUCT(AC19)*PRODUCT(AC5:AC6)*PRODUCT(AC8:AC17)+AB7*AB19*PRODUCT(AC5:AC6)*PRODUCT(AC8:AC18)</f>
        <v>0</v>
      </c>
      <c r="BH7">
        <v>0</v>
      </c>
      <c r="BI7">
        <v>4</v>
      </c>
      <c r="BJ7" s="107">
        <f t="shared" si="0"/>
        <v>9.3321280228453717E-3</v>
      </c>
      <c r="BL7">
        <f>BH23+1</f>
        <v>3</v>
      </c>
      <c r="BM7">
        <v>3</v>
      </c>
      <c r="BN7" s="107">
        <f>$H$28*H42</f>
        <v>2.6347913855784159E-2</v>
      </c>
      <c r="BP7">
        <f>BP5+1</f>
        <v>3</v>
      </c>
      <c r="BQ7">
        <v>0</v>
      </c>
      <c r="BR7" s="107">
        <f>$H$28*H39</f>
        <v>1.9365260082156999E-2</v>
      </c>
    </row>
    <row r="8" spans="1:70" x14ac:dyDescent="0.25">
      <c r="A8" s="5" t="s">
        <v>3</v>
      </c>
      <c r="B8" s="168">
        <v>20.5</v>
      </c>
      <c r="C8" s="169">
        <v>9.75</v>
      </c>
      <c r="E8" s="192" t="s">
        <v>18</v>
      </c>
      <c r="F8" s="167" t="s">
        <v>144</v>
      </c>
      <c r="G8" s="167"/>
      <c r="H8" s="10"/>
      <c r="I8" s="10"/>
      <c r="J8" s="166"/>
      <c r="K8" s="166"/>
      <c r="L8" s="10"/>
      <c r="M8" s="10"/>
      <c r="O8" s="67">
        <f>COUNTIF(F6:F18,"IMP")*0.01</f>
        <v>0</v>
      </c>
      <c r="P8" s="16" t="str">
        <f>P3</f>
        <v>0,6</v>
      </c>
      <c r="Q8" s="16">
        <f t="shared" si="1"/>
        <v>0</v>
      </c>
      <c r="R8" s="157">
        <f t="shared" si="6"/>
        <v>0</v>
      </c>
      <c r="S8" s="176">
        <f t="shared" si="2"/>
        <v>1</v>
      </c>
      <c r="T8" s="177">
        <f>R8*PRODUCT(S5:S7)*PRODUCT(S9:S19)</f>
        <v>0</v>
      </c>
      <c r="U8" s="177">
        <f>R8*R9*PRODUCT(S5:S7)*PRODUCT(S10:S19)+R8*R10*PRODUCT(S5:S7)*PRODUCT(S9)*PRODUCT(S11:S19)+R8*R11*PRODUCT(S5:S7)*PRODUCT(S9:S10)*PRODUCT(S12:S19)+R8*R12*PRODUCT(S5:S7)*PRODUCT(S9:S11)*PRODUCT(S13:S19)+R8*R13*PRODUCT(S5:S7)*PRODUCT(S9:S12)*PRODUCT(S14:S19)+R8*R14*PRODUCT(S5:S7)*PRODUCT(S9:S13)*PRODUCT(S15:S19)+R8*R15*PRODUCT(S5:S7)*PRODUCT(S9:S14)*PRODUCT(S16:S19)+R8*R16*PRODUCT(S5:S7)*PRODUCT(S9:S15)*PRODUCT(S17:S19)+R8*R17*PRODUCT(S5:S7)*PRODUCT(S9:S16)*PRODUCT(S18:S19)+R8*R18*PRODUCT(S5:S7)*PRODUCT(S9:S17)*PRODUCT(S19)+R8*R19*PRODUCT(S5:S7)*PRODUCT(S9:S18)</f>
        <v>0</v>
      </c>
      <c r="W8" s="186" t="s">
        <v>42</v>
      </c>
      <c r="X8" s="15" t="s">
        <v>43</v>
      </c>
      <c r="Y8" s="69">
        <f>COUNTIF(J6:J18,"IMP")*0.01</f>
        <v>0</v>
      </c>
      <c r="Z8" s="146" t="str">
        <f>Z3</f>
        <v>0,6</v>
      </c>
      <c r="AA8" s="19">
        <f t="shared" si="3"/>
        <v>0</v>
      </c>
      <c r="AB8" s="157">
        <f t="shared" si="4"/>
        <v>0</v>
      </c>
      <c r="AC8" s="176">
        <f t="shared" si="5"/>
        <v>1</v>
      </c>
      <c r="AD8" s="177">
        <f>AB8*PRODUCT(AC5:AC7)*PRODUCT(AC9:AC19)</f>
        <v>0</v>
      </c>
      <c r="AE8" s="177">
        <f>AB8*AB9*PRODUCT(AC5:AC7)*PRODUCT(AC10:AC19)+AB8*AB10*PRODUCT(AC5:AC7)*PRODUCT(AC9)*PRODUCT(AC11:AC19)+AB8*AB11*PRODUCT(AC5:AC7)*PRODUCT(AC9:AC10)*PRODUCT(AC12:AC19)+AB8*AB12*PRODUCT(AC5:AC7)*PRODUCT(AC9:AC11)*PRODUCT(AC13:AC19)+AB8*AB13*PRODUCT(AC5:AC7)*PRODUCT(AC9:AC12)*PRODUCT(AC14:AC19)+AB8*AB14*PRODUCT(AC5:AC7)*PRODUCT(AC9:AC13)*PRODUCT(AC15:AC19)+AB8*AB15*PRODUCT(AC5:AC7)*PRODUCT(AC9:AC14)*PRODUCT(AC16:AC19)+AB8*AB16*PRODUCT(AC5:AC7)*PRODUCT(AC9:AC15)*PRODUCT(AC17:AC19)+AB8*AB17*PRODUCT(AC5:AC7)*PRODUCT(AC9:AC16)*PRODUCT(AC18:AC19)+AB8*AB18*PRODUCT(AC5:AC7)*PRODUCT(AC9:AC17)*PRODUCT(AC19)+AB8*AB19*PRODUCT(AC5:AC7)*PRODUCT(AC9:AC18)</f>
        <v>0</v>
      </c>
      <c r="BH8">
        <v>0</v>
      </c>
      <c r="BI8">
        <v>5</v>
      </c>
      <c r="BJ8" s="107">
        <f t="shared" si="0"/>
        <v>2.7985664425543974E-3</v>
      </c>
      <c r="BL8">
        <f>BH31+1</f>
        <v>4</v>
      </c>
      <c r="BM8">
        <v>4</v>
      </c>
      <c r="BN8" s="107">
        <f>$H$29*H43</f>
        <v>3.2332678183496851E-3</v>
      </c>
      <c r="BP8">
        <f>BP6+1</f>
        <v>3</v>
      </c>
      <c r="BQ8">
        <v>1</v>
      </c>
      <c r="BR8" s="107">
        <f>$H$28*H40</f>
        <v>4.2803549993268367E-2</v>
      </c>
    </row>
    <row r="9" spans="1:70" x14ac:dyDescent="0.25">
      <c r="A9" s="5" t="s">
        <v>4</v>
      </c>
      <c r="B9" s="168">
        <v>23</v>
      </c>
      <c r="C9" s="169">
        <v>8.25</v>
      </c>
      <c r="E9" s="192" t="s">
        <v>18</v>
      </c>
      <c r="F9" s="167" t="s">
        <v>123</v>
      </c>
      <c r="G9" s="167"/>
      <c r="H9" s="10"/>
      <c r="I9" s="10"/>
      <c r="J9" s="166" t="s">
        <v>144</v>
      </c>
      <c r="K9" s="166"/>
      <c r="L9" s="10"/>
      <c r="M9" s="10"/>
      <c r="O9" s="67">
        <f>COUNTIF(J6:J13,"IMP")*0.025</f>
        <v>0</v>
      </c>
      <c r="P9" s="144">
        <v>0.5</v>
      </c>
      <c r="Q9" s="16">
        <f t="shared" si="1"/>
        <v>0</v>
      </c>
      <c r="R9" s="157">
        <f t="shared" si="6"/>
        <v>0</v>
      </c>
      <c r="S9" s="176">
        <f t="shared" si="2"/>
        <v>1</v>
      </c>
      <c r="T9" s="177">
        <f>R9*PRODUCT(S5:S8)*PRODUCT(S10:S19)</f>
        <v>0</v>
      </c>
      <c r="U9" s="177">
        <f>R9*R10*PRODUCT(S5:S8)*PRODUCT(S11:S19)+R9*R11*PRODUCT(S5:S8)*PRODUCT(S10)*PRODUCT(S12:S19)+R9*R12*PRODUCT(S5:S8)*PRODUCT(S10:S11)*PRODUCT(S13:S19)+R9*R13*PRODUCT(S5:S8)*PRODUCT(S10:S12)*PRODUCT(S14:S19)+R9*R14*PRODUCT(S5:S8)*PRODUCT(S10:S13)*PRODUCT(S15:S19)+R9*R15*PRODUCT(S5:S8)*PRODUCT(S10:S14)*PRODUCT(S16:S19)+R9*R16*PRODUCT(S5:S8)*PRODUCT(S10:S15)*PRODUCT(S17:S19)+R9*R17*PRODUCT(S5:S8)*PRODUCT(S10:S16)*PRODUCT(S18:S19)+R9*R18*PRODUCT(S5:S8)*PRODUCT(S10:S17)*PRODUCT(S19)+R9*R19*PRODUCT(S5:S8)*PRODUCT(S10:S18)</f>
        <v>0</v>
      </c>
      <c r="W9" s="187" t="s">
        <v>44</v>
      </c>
      <c r="X9" s="15" t="s">
        <v>45</v>
      </c>
      <c r="Y9" s="69">
        <f>COUNTIF(F6:F13,"IMP")*0.025</f>
        <v>0</v>
      </c>
      <c r="Z9" s="146">
        <v>0.5</v>
      </c>
      <c r="AA9" s="19">
        <f t="shared" si="3"/>
        <v>0</v>
      </c>
      <c r="AB9" s="157">
        <f t="shared" si="4"/>
        <v>0</v>
      </c>
      <c r="AC9" s="176">
        <f t="shared" si="5"/>
        <v>1</v>
      </c>
      <c r="AD9" s="177">
        <f>AB9*PRODUCT(AC5:AC8)*PRODUCT(AC10:AC19)</f>
        <v>0</v>
      </c>
      <c r="AE9" s="177">
        <f>AB9*AB10*PRODUCT(AC5:AC8)*PRODUCT(AC11:AC19)+AB9*AB11*PRODUCT(AC5:AC8)*PRODUCT(AC10)*PRODUCT(AC12:AC19)+AB9*AB12*PRODUCT(AC5:AC8)*PRODUCT(AC10:AC11)*PRODUCT(AC13:AC19)+AB9*AB13*PRODUCT(AC5:AC8)*PRODUCT(AC10:AC12)*PRODUCT(AC14:AC19)+AB9*AB14*PRODUCT(AC5:AC8)*PRODUCT(AC10:AC13)*PRODUCT(AC15:AC19)+AB9*AB15*PRODUCT(AC5:AC8)*PRODUCT(AC10:AC14)*PRODUCT(AC16:AC19)+AB9*AB16*PRODUCT(AC5:AC8)*PRODUCT(AC10:AC15)*PRODUCT(AC17:AC19)+AB9*AB17*PRODUCT(AC5:AC8)*PRODUCT(AC10:AC16)*PRODUCT(AC18:AC19)+AB9*AB18*PRODUCT(AC5:AC8)*PRODUCT(AC10:AC17)*PRODUCT(AC19)+AB9*AB19*PRODUCT(AC5:AC8)*PRODUCT(AC10:AC18)</f>
        <v>0</v>
      </c>
      <c r="BH9">
        <v>0</v>
      </c>
      <c r="BI9">
        <v>6</v>
      </c>
      <c r="BJ9" s="107">
        <f t="shared" si="0"/>
        <v>6.2337545862005156E-4</v>
      </c>
      <c r="BL9">
        <f>BH38+1</f>
        <v>5</v>
      </c>
      <c r="BM9">
        <v>5</v>
      </c>
      <c r="BN9" s="107">
        <f>$H$30*H44</f>
        <v>1.9730496043862547E-4</v>
      </c>
      <c r="BP9">
        <f>BL6+1</f>
        <v>3</v>
      </c>
      <c r="BQ9">
        <v>2</v>
      </c>
      <c r="BR9" s="107">
        <f>$H$28*H41</f>
        <v>4.3094744102179443E-2</v>
      </c>
    </row>
    <row r="10" spans="1:70" x14ac:dyDescent="0.25">
      <c r="A10" s="6" t="s">
        <v>5</v>
      </c>
      <c r="B10" s="168">
        <v>2</v>
      </c>
      <c r="C10" s="169">
        <v>14.25</v>
      </c>
      <c r="E10" s="192" t="s">
        <v>17</v>
      </c>
      <c r="F10" s="167" t="s">
        <v>144</v>
      </c>
      <c r="G10" s="167"/>
      <c r="H10" s="10"/>
      <c r="I10" s="10"/>
      <c r="J10" s="166"/>
      <c r="K10" s="166"/>
      <c r="L10" s="10"/>
      <c r="M10" s="10"/>
      <c r="O10" s="67">
        <f>COUNTIF(F14:F18,"RAP")*0.085</f>
        <v>8.5000000000000006E-2</v>
      </c>
      <c r="P10" s="16" t="str">
        <f>R3</f>
        <v>0,72</v>
      </c>
      <c r="Q10" s="16">
        <f t="shared" si="1"/>
        <v>6.1200000000000004E-2</v>
      </c>
      <c r="R10" s="157">
        <f t="shared" si="6"/>
        <v>6.1860081491542172E-2</v>
      </c>
      <c r="S10" s="176">
        <f t="shared" si="2"/>
        <v>0.93813991850845779</v>
      </c>
      <c r="T10" s="177">
        <f>R10*PRODUCT(S5:S9)*PRODUCT(S11:S19)</f>
        <v>2.0713510908413113E-2</v>
      </c>
      <c r="U10" s="177">
        <f>R10*R11*PRODUCT(S5:S9)*PRODUCT(S12:S19)+R10*R12*PRODUCT(S5:S9)*S11*PRODUCT(S13:S19)+R10*R13*PRODUCT(S5:S9)*PRODUCT(S11:S12)*PRODUCT(S14:S19)+R10*R14*PRODUCT(S5:S9)*PRODUCT(S11:S13)*PRODUCT(S15:S19)+R10*R15*PRODUCT(S5:S9)*PRODUCT(S11:S14)*PRODUCT(S16:S19)+R10*R16*PRODUCT(S5:S9)*PRODUCT(S11:S15)*PRODUCT(S17:S19)+R10*R17*PRODUCT(S5:S9)*PRODUCT(S11:S16)*PRODUCT(S18:S19)+R10*R18*PRODUCT(S5:S9)*PRODUCT(S11:S17)*PRODUCT(S19)+R10*R19*PRODUCT(S5:S9)*PRODUCT(S11:S18)</f>
        <v>3.8212941588906611E-2</v>
      </c>
      <c r="W10" s="186" t="s">
        <v>46</v>
      </c>
      <c r="X10" s="15" t="s">
        <v>47</v>
      </c>
      <c r="Y10" s="69">
        <f>COUNTIF(J14:J18,"RAP")*0.085</f>
        <v>8.5000000000000006E-2</v>
      </c>
      <c r="Z10" s="146" t="str">
        <f>AB3</f>
        <v>0,72</v>
      </c>
      <c r="AA10" s="19">
        <f t="shared" si="3"/>
        <v>6.1200000000000004E-2</v>
      </c>
      <c r="AB10" s="157">
        <f t="shared" si="4"/>
        <v>6.9592591677984955E-2</v>
      </c>
      <c r="AC10" s="176">
        <f t="shared" si="5"/>
        <v>0.93040740832201507</v>
      </c>
      <c r="AD10" s="177">
        <f>AB10*PRODUCT(AC5:AC9)*PRODUCT(AC11:AC19)</f>
        <v>3.9429924741605074E-2</v>
      </c>
      <c r="AE10" s="177">
        <f>AB10*AB11*PRODUCT(AC5:AC9)*PRODUCT(AC12:AC19)+AB10*AB12*PRODUCT(AC5:AC9)*AC11*PRODUCT(AC13:AC19)+AB10*AB13*PRODUCT(AC5:AC9)*PRODUCT(AC11:AC12)*PRODUCT(AC14:AC19)+AB10*AB14*PRODUCT(AC5:AC9)*PRODUCT(AC11:AC13)*PRODUCT(AC15:AC19)+AB10*AB15*PRODUCT(AC5:AC9)*PRODUCT(AC11:AC14)*PRODUCT(AC16:AC19)+AB10*AB16*PRODUCT(AC5:AC9)*PRODUCT(AC11:AC15)*PRODUCT(AC17:AC19)+AB10*AB17*PRODUCT(AC5:AC9)*PRODUCT(AC11:AC16)*PRODUCT(AC18:AC19)+AB10*AB18*PRODUCT(AC5:AC9)*PRODUCT(AC11:AC17)*PRODUCT(AC19)+AB10*AB19*PRODUCT(AC5:AC9)*PRODUCT(AC11:AC18)</f>
        <v>2.5655371242048666E-2</v>
      </c>
      <c r="BH10">
        <v>0</v>
      </c>
      <c r="BI10">
        <v>7</v>
      </c>
      <c r="BJ10" s="107">
        <f t="shared" si="0"/>
        <v>1.0452762340888095E-4</v>
      </c>
      <c r="BL10">
        <f>BH44+1</f>
        <v>6</v>
      </c>
      <c r="BM10">
        <v>6</v>
      </c>
      <c r="BN10" s="107">
        <f>$H$31*H45</f>
        <v>6.4484099487079697E-6</v>
      </c>
      <c r="BP10">
        <f>BP7+1</f>
        <v>4</v>
      </c>
      <c r="BQ10">
        <v>0</v>
      </c>
      <c r="BR10" s="107">
        <f>$H$29*H39</f>
        <v>5.7112884899654234E-3</v>
      </c>
    </row>
    <row r="11" spans="1:70" x14ac:dyDescent="0.25">
      <c r="A11" s="6" t="s">
        <v>6</v>
      </c>
      <c r="B11" s="168">
        <v>2.5</v>
      </c>
      <c r="C11" s="169">
        <v>14.5</v>
      </c>
      <c r="E11" s="192" t="s">
        <v>19</v>
      </c>
      <c r="F11" s="167" t="s">
        <v>144</v>
      </c>
      <c r="G11" s="167"/>
      <c r="H11" s="10"/>
      <c r="I11" s="10"/>
      <c r="J11" s="166" t="s">
        <v>123</v>
      </c>
      <c r="K11" s="166"/>
      <c r="L11" s="10"/>
      <c r="M11" s="10"/>
      <c r="O11" s="67">
        <f>IF(COUNTA(F16:F18)=0,0,COUNTIF(F14:F15,"RAP")*0.085)+IF(COUNTA(F17:F18)=0,0,COUNTIF(F16:F16,"RAP")*0.085)+IF(COUNTA(F16:F17)=0,0,COUNTIF(F18:F18,"RAP")*0.085)+IF(COUNTA(F16,F18)=0,0,COUNTIF(F17:F17,"RAP")*0.085)</f>
        <v>0</v>
      </c>
      <c r="P11" s="16" t="str">
        <f>R3</f>
        <v>0,72</v>
      </c>
      <c r="Q11" s="16">
        <f t="shared" si="1"/>
        <v>0</v>
      </c>
      <c r="R11" s="157">
        <f t="shared" si="6"/>
        <v>0</v>
      </c>
      <c r="S11" s="176">
        <f t="shared" si="2"/>
        <v>1</v>
      </c>
      <c r="T11" s="177">
        <f>R11*PRODUCT(S5:S10)*PRODUCT(S12:S19)</f>
        <v>0</v>
      </c>
      <c r="U11" s="177">
        <f>R11*R12*PRODUCT(S5:S10)*PRODUCT(S13:S19)+R11*R13*PRODUCT(S5:S10)*S12*PRODUCT(S14:S19)+R11*R14*PRODUCT(S5:S10)*PRODUCT(S12:S13)*PRODUCT(S15:S19)+R11*R15*PRODUCT(S5:S10)*PRODUCT(S12:S14)*PRODUCT(S16:S19)+R11*R16*PRODUCT(S5:S10)*PRODUCT(S12:S15)*PRODUCT(S17:S19)+R11*R17*PRODUCT(S5:S10)*PRODUCT(S12:S16)*PRODUCT(S18:S19)+R11*R18*PRODUCT(S5:S10)*PRODUCT(S12:S17)*PRODUCT(S19)+R11*R19*PRODUCT(S5:S10)*PRODUCT(S12:S18)</f>
        <v>0</v>
      </c>
      <c r="W11" s="186" t="s">
        <v>48</v>
      </c>
      <c r="X11" s="15" t="s">
        <v>49</v>
      </c>
      <c r="Y11" s="69">
        <f>IF(COUNTA(J16:J18)=0,0,COUNTIF(J14:J15,"RAP")*0.085)+IF(COUNTA(J17:J18)=0,0,COUNTIF(J16:J16,"RAP")*0.085)+IF(COUNTA(J16:J17)=0,0,COUNTIF(J18:J18,"RAP")*0.085)+IF(COUNTA(J16,J18)=0,0,COUNTIF(J17:J17,"RAP")*0.085)</f>
        <v>8.5000000000000006E-2</v>
      </c>
      <c r="Z11" s="146" t="str">
        <f>AB3</f>
        <v>0,72</v>
      </c>
      <c r="AA11" s="19">
        <f t="shared" si="3"/>
        <v>6.1200000000000004E-2</v>
      </c>
      <c r="AB11" s="157">
        <f t="shared" si="4"/>
        <v>6.9592591677984955E-2</v>
      </c>
      <c r="AC11" s="176">
        <f t="shared" si="5"/>
        <v>0.93040740832201507</v>
      </c>
      <c r="AD11" s="177">
        <f>AB11*PRODUCT(AC5:AC10)*PRODUCT(AC12:AC19)</f>
        <v>3.9429924741605081E-2</v>
      </c>
      <c r="AE11" s="177">
        <f>AB11*AB12*PRODUCT(AC5:AC10)*PRODUCT(AC13:AC19)+AB11*AB13*PRODUCT(AC5:AC10)*AC12*PRODUCT(AC14:AC19)+AB11*AB14*PRODUCT(AC5:AC10)*PRODUCT(AC12:AC13)*PRODUCT(AC15:AC19)+AB11*AB15*PRODUCT(AC5:AC10)*PRODUCT(AC12:AC14)*PRODUCT(AC16:AC19)+AB11*AB16*PRODUCT(AC5:AC10)*PRODUCT(AC12:AC15)*PRODUCT(AC17:AC19)+AB11*AB17*PRODUCT(AC5:AC10)*PRODUCT(AC12:AC16)*PRODUCT(AC18:AC19)+AB11*AB18*PRODUCT(AC5:AC10)*PRODUCT(AC12:AC17)*PRODUCT(AC19)+AB11*AB19*PRODUCT(AC5:AC10)*PRODUCT(AC12:AC18)</f>
        <v>2.2706092648722493E-2</v>
      </c>
      <c r="BH11">
        <v>0</v>
      </c>
      <c r="BI11">
        <v>8</v>
      </c>
      <c r="BJ11" s="107">
        <f t="shared" si="0"/>
        <v>1.3199995738470556E-5</v>
      </c>
      <c r="BL11">
        <f>BH50+1</f>
        <v>7</v>
      </c>
      <c r="BM11">
        <v>7</v>
      </c>
      <c r="BN11" s="107">
        <f>$H$32*H46</f>
        <v>1.169381207550339E-7</v>
      </c>
      <c r="BP11">
        <f>BP8+1</f>
        <v>4</v>
      </c>
      <c r="BQ11">
        <v>1</v>
      </c>
      <c r="BR11" s="107">
        <f>$H$29*H40</f>
        <v>1.2623813022344063E-2</v>
      </c>
    </row>
    <row r="12" spans="1:70" x14ac:dyDescent="0.25">
      <c r="A12" s="6" t="s">
        <v>7</v>
      </c>
      <c r="B12" s="168">
        <v>1.75</v>
      </c>
      <c r="C12" s="169">
        <v>10.5</v>
      </c>
      <c r="E12" s="192" t="s">
        <v>19</v>
      </c>
      <c r="F12" s="167" t="s">
        <v>16</v>
      </c>
      <c r="G12" s="167"/>
      <c r="H12" s="10"/>
      <c r="I12" s="10"/>
      <c r="J12" s="166" t="s">
        <v>131</v>
      </c>
      <c r="K12" s="166"/>
      <c r="L12" s="10"/>
      <c r="M12" s="10"/>
      <c r="O12" s="67"/>
      <c r="P12" s="144">
        <v>0.5</v>
      </c>
      <c r="Q12" s="16">
        <f t="shared" si="1"/>
        <v>0</v>
      </c>
      <c r="R12" s="157">
        <f t="shared" si="6"/>
        <v>0</v>
      </c>
      <c r="S12" s="176">
        <f t="shared" si="2"/>
        <v>1</v>
      </c>
      <c r="T12" s="177">
        <f>R12*PRODUCT(S5:S11)*PRODUCT(S13:S19)</f>
        <v>0</v>
      </c>
      <c r="U12" s="177">
        <f>R12*R13*PRODUCT(S5:S11)*PRODUCT(S14:S19)+R12*R14*PRODUCT(S5:S11)*S13*PRODUCT(S15:S19)+R12*R15*PRODUCT(S5:S11)*PRODUCT(S13:S14)*PRODUCT(S16:S19)+R12*R16*PRODUCT(S5:S11)*PRODUCT(S13:S15)*PRODUCT(S17:S19)+R12*R17*PRODUCT(S5:S11)*PRODUCT(S13:S16)*PRODUCT(S18:S19)+R12*R18*PRODUCT(S5:S11)*PRODUCT(S13:S17)*PRODUCT(S19)+R12*R19*PRODUCT(S5:S11)*PRODUCT(S13:S18)</f>
        <v>0</v>
      </c>
      <c r="W12" s="187" t="s">
        <v>50</v>
      </c>
      <c r="X12" s="15" t="s">
        <v>51</v>
      </c>
      <c r="Y12" s="69"/>
      <c r="Z12" s="146">
        <v>0.5</v>
      </c>
      <c r="AA12" s="19">
        <f t="shared" si="3"/>
        <v>0</v>
      </c>
      <c r="AB12" s="157">
        <f t="shared" si="4"/>
        <v>0</v>
      </c>
      <c r="AC12" s="176">
        <f t="shared" si="5"/>
        <v>1</v>
      </c>
      <c r="AD12" s="177">
        <f>AB12*PRODUCT(AC5:AC11)*PRODUCT(AC13:AC19)</f>
        <v>0</v>
      </c>
      <c r="AE12" s="177">
        <f>AB12*AB13*PRODUCT(AC5:AC11)*PRODUCT(AC14:AC19)+AB12*AB14*PRODUCT(AC5:AC11)*AC13*PRODUCT(AC15:AC19)+AB12*AB15*PRODUCT(AC5:AC11)*PRODUCT(AC13:AC14)*PRODUCT(AC16:AC19)+AB12*AB16*PRODUCT(AC5:AC11)*PRODUCT(AC13:AC15)*PRODUCT(AC17:AC19)+AB12*AB17*PRODUCT(AC5:AC11)*PRODUCT(AC13:AC16)*PRODUCT(AC18:AC19)+AB12*AB18*PRODUCT(AC5:AC11)*PRODUCT(AC13:AC17)*PRODUCT(AC19)+AB12*AB19*PRODUCT(AC5:AC11)*PRODUCT(AC13:AC18)</f>
        <v>0</v>
      </c>
      <c r="BH12">
        <v>0</v>
      </c>
      <c r="BI12">
        <v>9</v>
      </c>
      <c r="BJ12" s="107">
        <f t="shared" si="0"/>
        <v>1.2401453900902955E-6</v>
      </c>
      <c r="BL12">
        <f>BH54+1</f>
        <v>8</v>
      </c>
      <c r="BM12">
        <v>8</v>
      </c>
      <c r="BN12" s="107">
        <f>$H$33*H47</f>
        <v>1.1851335928861383E-9</v>
      </c>
      <c r="BP12">
        <f>BP9+1</f>
        <v>4</v>
      </c>
      <c r="BQ12">
        <v>2</v>
      </c>
      <c r="BR12" s="107">
        <f>$H$29*H41</f>
        <v>1.2709693281917851E-2</v>
      </c>
    </row>
    <row r="13" spans="1:70" x14ac:dyDescent="0.25">
      <c r="A13" s="7" t="s">
        <v>8</v>
      </c>
      <c r="B13" s="168">
        <v>13.25</v>
      </c>
      <c r="C13" s="169">
        <v>11</v>
      </c>
      <c r="E13" s="192" t="s">
        <v>19</v>
      </c>
      <c r="F13" s="167" t="s">
        <v>144</v>
      </c>
      <c r="G13" s="167"/>
      <c r="H13" s="10"/>
      <c r="I13" s="10"/>
      <c r="J13" s="166" t="s">
        <v>123</v>
      </c>
      <c r="K13" s="166"/>
      <c r="L13" s="10"/>
      <c r="M13" s="10"/>
      <c r="O13" s="67">
        <v>0.125</v>
      </c>
      <c r="P13" s="16" t="str">
        <f>P2</f>
        <v>0,4</v>
      </c>
      <c r="Q13" s="16">
        <f t="shared" si="1"/>
        <v>0.05</v>
      </c>
      <c r="R13" s="157">
        <f t="shared" si="6"/>
        <v>5.0539282264331839E-2</v>
      </c>
      <c r="S13" s="176">
        <f t="shared" si="2"/>
        <v>0.9494607177356682</v>
      </c>
      <c r="T13" s="177">
        <f>R13*PRODUCT(S5:S12)*PRODUCT(S14:S19)</f>
        <v>1.672102569248533E-2</v>
      </c>
      <c r="U13" s="177">
        <f>R13*R14*PRODUCT(S5:S12)*PRODUCT(S15:S19)+R13*R15*PRODUCT(S5:S12)*S14*PRODUCT(S16:S19)+R13*R16*PRODUCT(S5:S12)*PRODUCT(S14:S15)*PRODUCT(S17:S19)+R13*R17*PRODUCT(S5:S12)*PRODUCT(S14:S16)*PRODUCT(S18:S19)+R13*R18*PRODUCT(S5:S12)*PRODUCT(S14:S17)*PRODUCT(S19)+R13*R19*PRODUCT(S5:S12)*PRODUCT(S14:S18)</f>
        <v>2.9957427106461286E-2</v>
      </c>
      <c r="W13" s="186" t="s">
        <v>52</v>
      </c>
      <c r="X13" s="15" t="s">
        <v>53</v>
      </c>
      <c r="Y13" s="69">
        <v>0.125</v>
      </c>
      <c r="Z13" s="19" t="str">
        <f>Z2</f>
        <v>0,4</v>
      </c>
      <c r="AA13" s="19">
        <f t="shared" si="3"/>
        <v>0.05</v>
      </c>
      <c r="AB13" s="157">
        <f t="shared" si="4"/>
        <v>5.6856692547373321E-2</v>
      </c>
      <c r="AC13" s="176">
        <f t="shared" si="5"/>
        <v>0.94314330745262664</v>
      </c>
      <c r="AD13" s="177">
        <f>AB13*PRODUCT(AC5:AC12)*PRODUCT(AC14:AC19)</f>
        <v>3.1778983593403601E-2</v>
      </c>
      <c r="AE13" s="177">
        <f>AB13*AB14*PRODUCT(AC5:AC12)*PRODUCT(AC15:AC19)+AB13*AB15*PRODUCT(AC5:AC12)*AC14*PRODUCT(AC16:AC19)+AB13*AB16*PRODUCT(AC5:AC12)*PRODUCT(AC14:AC15)*PRODUCT(AC17:AC19)+AB13*AB17*PRODUCT(AC5:AC12)*PRODUCT(AC14:AC16)*PRODUCT(AC18:AC19)+AB13*AB18*PRODUCT(AC5:AC12)*PRODUCT(AC14:AC17)*PRODUCT(AC19)+AB13*AB19*PRODUCT(AC5:AC12)*PRODUCT(AC14:AC18)</f>
        <v>1.6384453918875313E-2</v>
      </c>
      <c r="BH13">
        <v>0</v>
      </c>
      <c r="BI13">
        <v>10</v>
      </c>
      <c r="BJ13" s="107">
        <f t="shared" si="0"/>
        <v>8.4274305169627015E-8</v>
      </c>
      <c r="BL13">
        <f>BH57+1</f>
        <v>9</v>
      </c>
      <c r="BM13">
        <v>9</v>
      </c>
      <c r="BN13" s="107">
        <f>$H$34*H48</f>
        <v>6.5850100569369459E-12</v>
      </c>
      <c r="BP13">
        <f>BL7+1</f>
        <v>4</v>
      </c>
      <c r="BQ13">
        <v>3</v>
      </c>
      <c r="BR13" s="107">
        <f>$H$29*H42</f>
        <v>7.7706437455901849E-3</v>
      </c>
    </row>
    <row r="14" spans="1:70" x14ac:dyDescent="0.25">
      <c r="A14" s="7" t="s">
        <v>9</v>
      </c>
      <c r="B14" s="168">
        <v>12</v>
      </c>
      <c r="C14" s="169">
        <v>9</v>
      </c>
      <c r="E14" s="192" t="s">
        <v>20</v>
      </c>
      <c r="F14" s="167" t="s">
        <v>144</v>
      </c>
      <c r="G14" s="167"/>
      <c r="H14" s="10"/>
      <c r="I14" s="10"/>
      <c r="J14" s="166" t="s">
        <v>144</v>
      </c>
      <c r="K14" s="166"/>
      <c r="L14" s="10"/>
      <c r="M14" s="10"/>
      <c r="O14" s="67">
        <f>COUNTIF(F6:F18,"CAB")*0.095</f>
        <v>0.66500000000000004</v>
      </c>
      <c r="P14" s="144">
        <v>0.95</v>
      </c>
      <c r="Q14" s="16">
        <f t="shared" si="1"/>
        <v>0.63175000000000003</v>
      </c>
      <c r="R14" s="157">
        <f t="shared" si="6"/>
        <v>0.63856383140983275</v>
      </c>
      <c r="S14" s="176">
        <f t="shared" si="2"/>
        <v>0.36143616859016725</v>
      </c>
      <c r="T14" s="177">
        <f>R14*PRODUCT(S5:S13)*PRODUCT(S15:S19)</f>
        <v>0.55498794759721093</v>
      </c>
      <c r="U14" s="177">
        <f>R14*R15*PRODUCT(S5:S13)*PRODUCT(S16:S19)+R14*R16*PRODUCT(S5:S13)*S15*PRODUCT(S17:S19)+R14*R17*PRODUCT(S5:S13)*PRODUCT(S15:S16)*PRODUCT(S18:S19)+R14*R18*PRODUCT(S5:S13)*PRODUCT(S15:S17)*PRODUCT(S19)+R14*R19*PRODUCT(S5:S13)*PRODUCT(S15:S18)</f>
        <v>1.3798098495106997E-2</v>
      </c>
      <c r="W14" s="186" t="s">
        <v>54</v>
      </c>
      <c r="X14" s="15" t="s">
        <v>55</v>
      </c>
      <c r="Y14" s="69">
        <f>COUNTIF(J6:J18,"CAB")*0.095</f>
        <v>0.28500000000000003</v>
      </c>
      <c r="Z14" s="147">
        <v>0.95</v>
      </c>
      <c r="AA14" s="19">
        <f t="shared" si="3"/>
        <v>0.27074999999999999</v>
      </c>
      <c r="AB14" s="157">
        <f t="shared" si="4"/>
        <v>0.30787899014402653</v>
      </c>
      <c r="AC14" s="176">
        <f t="shared" si="5"/>
        <v>0.69212100985597347</v>
      </c>
      <c r="AD14" s="177">
        <f>AB14*PRODUCT(AC5:AC13)*PRODUCT(AC15:AC19)</f>
        <v>0.23449528690873478</v>
      </c>
      <c r="AE14" s="177">
        <f>AB14*AB15*PRODUCT(AC5:AC13)*PRODUCT(AC16:AC19)+AB14*AB16*PRODUCT(AC5:AC13)*AC15*PRODUCT(AC17:AC19)+AB14*AB17*PRODUCT(AC5:AC13)*PRODUCT(AC15:AC16)*PRODUCT(AC18:AC19)+AB14*AB18*PRODUCT(AC5:AC13)*PRODUCT(AC15:AC17)*PRODUCT(AC19)+AB14*AB19*PRODUCT(AC5:AC13)*PRODUCT(AC15:AC18)</f>
        <v>1.6588452819109326E-2</v>
      </c>
      <c r="BH14">
        <v>1</v>
      </c>
      <c r="BI14">
        <v>2</v>
      </c>
      <c r="BJ14" s="107">
        <f t="shared" ref="BJ14:BJ22" si="7">$H$26*H41</f>
        <v>0.10552042604822881</v>
      </c>
      <c r="BL14">
        <f>BP39+1</f>
        <v>10</v>
      </c>
      <c r="BM14">
        <v>10</v>
      </c>
      <c r="BN14" s="107">
        <f>$H$35*H49</f>
        <v>1.9055317719817284E-14</v>
      </c>
      <c r="BP14">
        <f>BP10+1</f>
        <v>5</v>
      </c>
      <c r="BQ14">
        <v>0</v>
      </c>
      <c r="BR14" s="107">
        <f>$H$30*H39</f>
        <v>1.1621855947265463E-3</v>
      </c>
    </row>
    <row r="15" spans="1:70" x14ac:dyDescent="0.25">
      <c r="A15" s="189" t="s">
        <v>71</v>
      </c>
      <c r="B15" s="170">
        <v>14.25</v>
      </c>
      <c r="C15" s="171">
        <v>8.25</v>
      </c>
      <c r="E15" s="192" t="s">
        <v>20</v>
      </c>
      <c r="F15" s="167" t="s">
        <v>123</v>
      </c>
      <c r="G15" s="167"/>
      <c r="H15" s="10"/>
      <c r="I15" s="10"/>
      <c r="J15" s="166" t="s">
        <v>16</v>
      </c>
      <c r="K15" s="166"/>
      <c r="L15" s="10"/>
      <c r="M15" s="10"/>
      <c r="O15" s="67"/>
      <c r="P15" s="144">
        <v>0.5</v>
      </c>
      <c r="Q15" s="16">
        <f t="shared" si="1"/>
        <v>0</v>
      </c>
      <c r="R15" s="157">
        <f t="shared" si="6"/>
        <v>0</v>
      </c>
      <c r="S15" s="176">
        <f t="shared" si="2"/>
        <v>1</v>
      </c>
      <c r="T15" s="177">
        <f>R15*PRODUCT(S5:S14)*PRODUCT(S16:S19)</f>
        <v>0</v>
      </c>
      <c r="U15" s="177">
        <f>R15*R16*PRODUCT(S5:S14)*PRODUCT(S17:S19)+R15*R17*PRODUCT(S5:S14)*S16*PRODUCT(S18:S19)+R15*R18*PRODUCT(S5:S14)*S16*S17*S19+R15*R19*PRODUCT(S5:S14)*S16*S17*S18</f>
        <v>0</v>
      </c>
      <c r="W15" s="186" t="s">
        <v>56</v>
      </c>
      <c r="X15" s="15" t="s">
        <v>57</v>
      </c>
      <c r="Y15" s="69"/>
      <c r="Z15" s="146">
        <v>0.5</v>
      </c>
      <c r="AA15" s="19">
        <f t="shared" si="3"/>
        <v>0</v>
      </c>
      <c r="AB15" s="157">
        <f t="shared" si="4"/>
        <v>0</v>
      </c>
      <c r="AC15" s="176">
        <f t="shared" si="5"/>
        <v>1</v>
      </c>
      <c r="AD15" s="177">
        <f>AB15*PRODUCT(AC5:AC14)*PRODUCT(AC16:AC19)</f>
        <v>0</v>
      </c>
      <c r="AE15" s="177">
        <f>AB15*AB16*PRODUCT(AC5:AC14)*PRODUCT(AC17:AC19)+AB15*AB17*PRODUCT(AC5:AC14)*AC16*PRODUCT(AC18:AC19)+AB15*AB18*PRODUCT(AC5:AC14)*AC16*AC17*AC19+AB15*AB19*PRODUCT(AC5:AC14)*AC16*AC17*AC18</f>
        <v>0</v>
      </c>
      <c r="BH15">
        <v>1</v>
      </c>
      <c r="BI15">
        <v>3</v>
      </c>
      <c r="BJ15" s="107">
        <f t="shared" si="7"/>
        <v>6.4514667704077849E-2</v>
      </c>
      <c r="BP15">
        <f>BP11+1</f>
        <v>5</v>
      </c>
      <c r="BQ15">
        <v>1</v>
      </c>
      <c r="BR15" s="107">
        <f>$H$30*H40</f>
        <v>2.5688097652336373E-3</v>
      </c>
    </row>
    <row r="16" spans="1:70" x14ac:dyDescent="0.25">
      <c r="A16" s="189" t="s">
        <v>82</v>
      </c>
      <c r="B16" s="52">
        <f>AVERAGE(G5:G18)</f>
        <v>12</v>
      </c>
      <c r="C16" s="54">
        <f>AVERAGE(K5:K18)</f>
        <v>12</v>
      </c>
      <c r="E16" s="192" t="s">
        <v>22</v>
      </c>
      <c r="F16" s="167"/>
      <c r="G16" s="167"/>
      <c r="H16" s="10"/>
      <c r="I16" s="10"/>
      <c r="J16" s="166" t="s">
        <v>21</v>
      </c>
      <c r="K16" s="166"/>
      <c r="L16" s="10"/>
      <c r="M16" s="10"/>
      <c r="O16" s="67">
        <f>COUNTA(L6:L13)*0.03</f>
        <v>0</v>
      </c>
      <c r="P16" s="144">
        <v>0.25</v>
      </c>
      <c r="Q16" s="16">
        <f t="shared" si="1"/>
        <v>0</v>
      </c>
      <c r="R16" s="157">
        <f t="shared" si="6"/>
        <v>0</v>
      </c>
      <c r="S16" s="176">
        <f t="shared" si="2"/>
        <v>1</v>
      </c>
      <c r="T16" s="177">
        <f>R16*PRODUCT(S5:S15)*PRODUCT(S17:S19)</f>
        <v>0</v>
      </c>
      <c r="U16" s="177">
        <f>R16*R17*PRODUCT(S5:S15)*PRODUCT(S18:S19)+R16*R18*PRODUCT(S5:S15)*S17*S19+R16*R19*PRODUCT(S5:S15)*S17*S18</f>
        <v>0</v>
      </c>
      <c r="W16" s="187" t="s">
        <v>58</v>
      </c>
      <c r="X16" s="15" t="s">
        <v>59</v>
      </c>
      <c r="Y16" s="69">
        <f>COUNTA(H6:H13)*0.03</f>
        <v>0</v>
      </c>
      <c r="Z16" s="146">
        <v>0.25</v>
      </c>
      <c r="AA16" s="19">
        <f t="shared" si="3"/>
        <v>0</v>
      </c>
      <c r="AB16" s="157">
        <f t="shared" si="4"/>
        <v>0</v>
      </c>
      <c r="AC16" s="176">
        <f t="shared" si="5"/>
        <v>1</v>
      </c>
      <c r="AD16" s="177">
        <f>AB16*PRODUCT(AC5:AC15)*PRODUCT(AC17:AC19)</f>
        <v>0</v>
      </c>
      <c r="AE16" s="177">
        <f>AB16*AB17*PRODUCT(AC5:AC15)*PRODUCT(AC18:AC19)+AB16*AB18*PRODUCT(AC5:AC15)*AC17*AC19+AB16*AB19*PRODUCT(AC5:AC15)*AC17*AC18</f>
        <v>0</v>
      </c>
      <c r="BH16">
        <v>1</v>
      </c>
      <c r="BI16">
        <v>4</v>
      </c>
      <c r="BJ16" s="107">
        <f t="shared" si="7"/>
        <v>2.6843747536038395E-2</v>
      </c>
      <c r="BP16">
        <f>BP12+1</f>
        <v>5</v>
      </c>
      <c r="BQ16">
        <v>2</v>
      </c>
      <c r="BR16" s="107">
        <f>$H$30*H41</f>
        <v>2.5862854715866597E-3</v>
      </c>
    </row>
    <row r="17" spans="1:70" x14ac:dyDescent="0.25">
      <c r="A17" s="188" t="s">
        <v>10</v>
      </c>
      <c r="B17" s="172" t="s">
        <v>321</v>
      </c>
      <c r="C17" s="173" t="s">
        <v>11</v>
      </c>
      <c r="E17" s="192" t="s">
        <v>22</v>
      </c>
      <c r="F17" s="167"/>
      <c r="G17" s="167"/>
      <c r="H17" s="10"/>
      <c r="I17" s="10"/>
      <c r="J17" s="166" t="s">
        <v>144</v>
      </c>
      <c r="K17" s="166"/>
      <c r="L17" s="10"/>
      <c r="M17" s="10"/>
      <c r="O17" s="67">
        <f>(0.02*2)*IF(COUNTBLANK(F14:F15)&lt;&gt;0, (2-COUNTBLANK(F14:F15))/2,1)</f>
        <v>0.04</v>
      </c>
      <c r="P17" s="16" t="str">
        <f>P3</f>
        <v>0,6</v>
      </c>
      <c r="Q17" s="16">
        <f t="shared" si="1"/>
        <v>2.4E-2</v>
      </c>
      <c r="R17" s="157">
        <f t="shared" si="6"/>
        <v>2.4258855486879283E-2</v>
      </c>
      <c r="S17" s="176">
        <f t="shared" si="2"/>
        <v>0.97574114451312077</v>
      </c>
      <c r="T17" s="177">
        <f>R17*PRODUCT(S5:S16)*PRODUCT(S18:S19)</f>
        <v>7.8099190849731442E-3</v>
      </c>
      <c r="U17" s="177">
        <f>R17*R18*PRODUCT(S5:S16)*S19+R17*R19*PRODUCT(S5:S16)*S18</f>
        <v>0</v>
      </c>
      <c r="W17" s="186" t="s">
        <v>60</v>
      </c>
      <c r="X17" s="15" t="s">
        <v>61</v>
      </c>
      <c r="Y17" s="69">
        <f>(0.02*2)*IF(COUNTBLANK(J14:J15)&lt;&gt;0, (2-COUNTBLANK(J14:J15))/2,1)</f>
        <v>0.04</v>
      </c>
      <c r="Z17" s="146" t="str">
        <f>Z3</f>
        <v>0,6</v>
      </c>
      <c r="AA17" s="19">
        <f t="shared" si="3"/>
        <v>2.4E-2</v>
      </c>
      <c r="AB17" s="157">
        <f t="shared" si="4"/>
        <v>2.729121242273919E-2</v>
      </c>
      <c r="AC17" s="176">
        <f t="shared" si="5"/>
        <v>0.97270878757726076</v>
      </c>
      <c r="AD17" s="177">
        <f>AB17*PRODUCT(AC5:AC16)*PRODUCT(AC18:AC19)</f>
        <v>1.4790269520274787E-2</v>
      </c>
      <c r="AE17" s="177">
        <f>AB17*AB18*PRODUCT(AC5:AC16)*AC19+AB17*AB19*PRODUCT(AC5:AC16)*AC18</f>
        <v>6.3131042111195916E-4</v>
      </c>
      <c r="BH17">
        <v>1</v>
      </c>
      <c r="BI17">
        <v>5</v>
      </c>
      <c r="BJ17" s="107">
        <f t="shared" si="7"/>
        <v>8.050040769142168E-3</v>
      </c>
      <c r="BP17">
        <f>BP13+1</f>
        <v>5</v>
      </c>
      <c r="BQ17">
        <v>3</v>
      </c>
      <c r="BR17" s="107">
        <f>$H$30*H42</f>
        <v>1.5812421730654897E-3</v>
      </c>
    </row>
    <row r="18" spans="1:70" x14ac:dyDescent="0.25">
      <c r="A18" s="188" t="s">
        <v>12</v>
      </c>
      <c r="B18" s="172">
        <v>19</v>
      </c>
      <c r="C18" s="173">
        <v>20</v>
      </c>
      <c r="E18" s="192" t="s">
        <v>22</v>
      </c>
      <c r="F18" s="167"/>
      <c r="G18" s="167"/>
      <c r="H18" s="10"/>
      <c r="I18" s="10"/>
      <c r="J18" s="166" t="s">
        <v>123</v>
      </c>
      <c r="K18" s="166"/>
      <c r="L18" s="10"/>
      <c r="M18" s="10"/>
      <c r="O18" s="67">
        <v>0</v>
      </c>
      <c r="P18" s="144">
        <v>0.5</v>
      </c>
      <c r="Q18" s="16">
        <f t="shared" si="1"/>
        <v>0</v>
      </c>
      <c r="R18" s="157">
        <f t="shared" si="6"/>
        <v>0</v>
      </c>
      <c r="S18" s="176">
        <f t="shared" si="2"/>
        <v>1</v>
      </c>
      <c r="T18" s="177">
        <f>R18*PRODUCT(S5:S17)*PRODUCT(S19:S19)</f>
        <v>0</v>
      </c>
      <c r="U18" s="177">
        <f>R18*R19*PRODUCT(S5:S17)</f>
        <v>0</v>
      </c>
      <c r="W18" s="186" t="s">
        <v>62</v>
      </c>
      <c r="X18" s="15" t="s">
        <v>63</v>
      </c>
      <c r="Y18" s="69">
        <v>0</v>
      </c>
      <c r="Z18" s="146">
        <v>0.5</v>
      </c>
      <c r="AA18" s="19">
        <f t="shared" si="3"/>
        <v>0</v>
      </c>
      <c r="AB18" s="157">
        <f t="shared" si="4"/>
        <v>0</v>
      </c>
      <c r="AC18" s="176">
        <f t="shared" si="5"/>
        <v>1</v>
      </c>
      <c r="AD18" s="177">
        <f>AB18*PRODUCT(AC5:AC17)*PRODUCT(AC19:AC19)</f>
        <v>0</v>
      </c>
      <c r="AE18" s="177">
        <f>AB18*AB19*PRODUCT(AC5:AC17)</f>
        <v>0</v>
      </c>
      <c r="BH18">
        <v>1</v>
      </c>
      <c r="BI18">
        <v>6</v>
      </c>
      <c r="BJ18" s="107">
        <f t="shared" si="7"/>
        <v>1.7931315762486385E-3</v>
      </c>
      <c r="BP18">
        <f>BL8+1</f>
        <v>5</v>
      </c>
      <c r="BQ18">
        <v>4</v>
      </c>
      <c r="BR18" s="107">
        <f>$H$30*H43</f>
        <v>6.5793512076671174E-4</v>
      </c>
    </row>
    <row r="19" spans="1:70" x14ac:dyDescent="0.25">
      <c r="H19" s="13" t="s">
        <v>141</v>
      </c>
      <c r="L19" s="13" t="s">
        <v>141</v>
      </c>
      <c r="O19" s="67">
        <f>COUNTIF(F14:F18,"TEC")*0.06*IF(COUNTIF(J6:J13,"CAB")&lt;&gt;0,1,0)</f>
        <v>0</v>
      </c>
      <c r="P19" s="16" t="str">
        <f>P3</f>
        <v>0,6</v>
      </c>
      <c r="Q19" s="16">
        <f t="shared" si="1"/>
        <v>0</v>
      </c>
      <c r="R19" s="157">
        <f t="shared" si="6"/>
        <v>0</v>
      </c>
      <c r="S19" s="178">
        <f t="shared" si="2"/>
        <v>1</v>
      </c>
      <c r="T19" s="179">
        <f>R19*PRODUCT(S5:S18)</f>
        <v>0</v>
      </c>
      <c r="U19" s="179">
        <v>0</v>
      </c>
      <c r="V19" s="1" t="s">
        <v>66</v>
      </c>
      <c r="W19" s="186" t="s">
        <v>64</v>
      </c>
      <c r="X19" s="15" t="s">
        <v>65</v>
      </c>
      <c r="Y19" s="69">
        <f>COUNTIF(J14:J18,"TEC")*0.06*IF(COUNTIF(F6:F13,"CAB")&lt;&gt;0,1,0)</f>
        <v>0.06</v>
      </c>
      <c r="Z19" s="146" t="str">
        <f>Z3</f>
        <v>0,6</v>
      </c>
      <c r="AA19" s="19">
        <f t="shared" si="3"/>
        <v>3.5999999999999997E-2</v>
      </c>
      <c r="AB19" s="157">
        <f t="shared" si="4"/>
        <v>4.0936818634108786E-2</v>
      </c>
      <c r="AC19" s="178">
        <f t="shared" si="5"/>
        <v>0.95906318136589119</v>
      </c>
      <c r="AD19" s="179">
        <f>AB19*PRODUCT(AC5:AC18)</f>
        <v>2.2501059490968155E-2</v>
      </c>
      <c r="AE19" s="179">
        <v>0</v>
      </c>
      <c r="AF19" s="1" t="s">
        <v>66</v>
      </c>
      <c r="BH19">
        <v>1</v>
      </c>
      <c r="BI19">
        <v>7</v>
      </c>
      <c r="BJ19" s="107">
        <f t="shared" si="7"/>
        <v>3.00672378953774E-4</v>
      </c>
      <c r="BP19">
        <f>BP15+1</f>
        <v>6</v>
      </c>
      <c r="BQ19">
        <v>1</v>
      </c>
      <c r="BR19" s="107">
        <f>$H$31*H40</f>
        <v>3.7690552206734939E-4</v>
      </c>
    </row>
    <row r="20" spans="1:70" x14ac:dyDescent="0.25">
      <c r="A20" s="190" t="s">
        <v>81</v>
      </c>
      <c r="B20">
        <f>IF(B17="Pres",IF(C17="Pres",2,1),IF(C17="Pres",1,0))</f>
        <v>0</v>
      </c>
      <c r="D20" s="36"/>
      <c r="O20" s="22"/>
      <c r="P20" s="22"/>
      <c r="Q20" s="22"/>
      <c r="S20" s="180">
        <f>PRODUCT(S5:S19)</f>
        <v>0.31413103518623064</v>
      </c>
      <c r="T20" s="181">
        <f>SUM(T5:T19)</f>
        <v>0.60023240328308258</v>
      </c>
      <c r="U20" s="181">
        <f>SUM(U5:U19)</f>
        <v>8.1968467190474889E-2</v>
      </c>
      <c r="V20" s="181">
        <f>1-S20-T20-U20</f>
        <v>3.6680943402118832E-3</v>
      </c>
      <c r="W20" s="21"/>
      <c r="X20" s="22"/>
      <c r="Y20" s="22"/>
      <c r="Z20" s="22"/>
      <c r="AA20" s="22"/>
      <c r="AB20" s="23"/>
      <c r="AC20" s="184">
        <f>PRODUCT(AC5:AC19)</f>
        <v>0.52715229027422705</v>
      </c>
      <c r="AD20" s="181">
        <f>SUM(AD5:AD19)</f>
        <v>0.38242544899659148</v>
      </c>
      <c r="AE20" s="181">
        <f>SUM(AE5:AE19)</f>
        <v>8.1965681049867761E-2</v>
      </c>
      <c r="AF20" s="181">
        <f>1-AC20-AD20-AE20</f>
        <v>8.4565796793137082E-3</v>
      </c>
      <c r="BH20">
        <v>1</v>
      </c>
      <c r="BI20">
        <v>8</v>
      </c>
      <c r="BJ20" s="107">
        <f t="shared" si="7"/>
        <v>3.7969619813707678E-5</v>
      </c>
      <c r="BP20">
        <f>BP16+1</f>
        <v>6</v>
      </c>
      <c r="BQ20">
        <v>2</v>
      </c>
      <c r="BR20" s="107">
        <f>$H$31*H41</f>
        <v>3.7946962405560326E-4</v>
      </c>
    </row>
    <row r="21" spans="1:70" x14ac:dyDescent="0.25">
      <c r="A21" s="190" t="s">
        <v>78</v>
      </c>
      <c r="B21" s="191">
        <f>5-B20</f>
        <v>5</v>
      </c>
      <c r="C21" s="35"/>
      <c r="D21" s="24"/>
      <c r="E21" s="24"/>
      <c r="O21" s="22"/>
      <c r="P21" s="22"/>
      <c r="Q21" s="22"/>
      <c r="S21" s="182">
        <f>1-T21-U21-V21</f>
        <v>0.31413103518623064</v>
      </c>
      <c r="T21" s="183">
        <f>T20*V1</f>
        <v>0.60023240328308258</v>
      </c>
      <c r="U21" s="183">
        <f>U20*V1</f>
        <v>8.1968467190474889E-2</v>
      </c>
      <c r="V21" s="183">
        <f>V20*V1</f>
        <v>3.6680943402118832E-3</v>
      </c>
      <c r="W21" s="21"/>
      <c r="X21" s="22"/>
      <c r="Y21" s="22"/>
      <c r="Z21" s="22"/>
      <c r="AA21" s="22"/>
      <c r="AB21" s="23"/>
      <c r="AC21" s="185">
        <f>1-AD21-AE21-AF21</f>
        <v>0.52715229027422705</v>
      </c>
      <c r="AD21" s="183">
        <f>AD20*V1</f>
        <v>0.38242544899659148</v>
      </c>
      <c r="AE21" s="183">
        <f>AE20*V1</f>
        <v>8.1965681049867761E-2</v>
      </c>
      <c r="AF21" s="183">
        <f>AF20*V1</f>
        <v>8.4565796793137082E-3</v>
      </c>
      <c r="BH21" s="18">
        <v>1</v>
      </c>
      <c r="BI21">
        <v>9</v>
      </c>
      <c r="BJ21" s="107">
        <f t="shared" si="7"/>
        <v>3.5672624376851998E-6</v>
      </c>
      <c r="BP21">
        <f>BP17+1</f>
        <v>6</v>
      </c>
      <c r="BQ21">
        <v>3</v>
      </c>
      <c r="BR21" s="107">
        <f>$H$31*H42</f>
        <v>2.3200585532652442E-4</v>
      </c>
    </row>
    <row r="22" spans="1:70" x14ac:dyDescent="0.25">
      <c r="A22" s="26" t="s">
        <v>77</v>
      </c>
      <c r="B22" s="62">
        <f>(B6)/((B6)+(C6))</f>
        <v>0.47058823529411764</v>
      </c>
      <c r="C22" s="63">
        <f>1-B22</f>
        <v>0.52941176470588236</v>
      </c>
      <c r="D22" s="24"/>
      <c r="E22" s="24"/>
      <c r="V22" s="59">
        <f>SUM(V25:V35)</f>
        <v>1</v>
      </c>
      <c r="AS22" s="82">
        <f>Y23+AA23+AC23+AE23+AG23+AI23+AK23+AM23+AO23+AQ23+AS23</f>
        <v>1</v>
      </c>
      <c r="BH22">
        <v>1</v>
      </c>
      <c r="BI22">
        <v>10</v>
      </c>
      <c r="BJ22" s="107">
        <f t="shared" si="7"/>
        <v>2.4241396669767986E-7</v>
      </c>
      <c r="BP22">
        <f>BP18+1</f>
        <v>6</v>
      </c>
      <c r="BQ22">
        <v>4</v>
      </c>
      <c r="BR22" s="107">
        <f>$H$31*H43</f>
        <v>9.6534738981135854E-5</v>
      </c>
    </row>
    <row r="23" spans="1:70" ht="15.75" thickBot="1" x14ac:dyDescent="0.3">
      <c r="A23" s="40" t="s">
        <v>67</v>
      </c>
      <c r="B23" s="56">
        <f>((B22^2.8)/((B22^2.8)+(C22^2.8)))*B21</f>
        <v>2.0914555600018487</v>
      </c>
      <c r="C23" s="57">
        <f>B21-B23</f>
        <v>2.9085444399981513</v>
      </c>
      <c r="D23" s="151">
        <f>SUM(D25:D30)</f>
        <v>1.0003500000000001</v>
      </c>
      <c r="E23" s="151">
        <f>SUM(E25:E30)</f>
        <v>1</v>
      </c>
      <c r="H23" s="59">
        <f>SUM(H25:H35)</f>
        <v>0.99999999916014604</v>
      </c>
      <c r="J23" s="59">
        <f>SUM(J25:J35)</f>
        <v>1.0000000000000002</v>
      </c>
      <c r="K23" s="59"/>
      <c r="L23" s="59">
        <f>SUM(L25:L35)</f>
        <v>1</v>
      </c>
      <c r="N23" s="59">
        <f>SUM(N25:N35)</f>
        <v>1.0000000000000002</v>
      </c>
      <c r="O23" s="34"/>
      <c r="P23" s="59">
        <f>SUM(P25:P35)</f>
        <v>1.0000000000000002</v>
      </c>
      <c r="R23" s="59">
        <f>SUM(R25:R35)</f>
        <v>0.99999999999999989</v>
      </c>
      <c r="T23" s="59">
        <f>SUM(T25:T35)</f>
        <v>1</v>
      </c>
      <c r="V23" s="59">
        <f>SUM(V25:V34)</f>
        <v>0.99978860153449678</v>
      </c>
      <c r="Y23" s="80">
        <f>SUM(Y25:Y35)</f>
        <v>4.3485985613854099E-3</v>
      </c>
      <c r="Z23" s="81"/>
      <c r="AA23" s="80">
        <f>SUM(AA25:AA35)</f>
        <v>3.1357003918669898E-2</v>
      </c>
      <c r="AB23" s="81"/>
      <c r="AC23" s="80">
        <f>SUM(AC25:AC35)</f>
        <v>0.10181222934654706</v>
      </c>
      <c r="AD23" s="81"/>
      <c r="AE23" s="80">
        <f>SUM(AE25:AE35)</f>
        <v>0.19605985421480709</v>
      </c>
      <c r="AF23" s="81"/>
      <c r="AG23" s="80">
        <f>SUM(AG25:AG35)</f>
        <v>0.24806731370706578</v>
      </c>
      <c r="AH23" s="81"/>
      <c r="AI23" s="80">
        <f>SUM(AI25:AI35)</f>
        <v>0.21561277444667062</v>
      </c>
      <c r="AJ23" s="81"/>
      <c r="AK23" s="80">
        <f>SUM(AK25:AK35)</f>
        <v>0.13051446743148012</v>
      </c>
      <c r="AL23" s="81"/>
      <c r="AM23" s="80">
        <f>SUM(AM25:AM35)</f>
        <v>5.4442556436520552E-2</v>
      </c>
      <c r="AN23" s="81"/>
      <c r="AO23" s="80">
        <f>SUM(AO25:AO35)</f>
        <v>1.5049575495535253E-2</v>
      </c>
      <c r="AP23" s="81"/>
      <c r="AQ23" s="80">
        <f>SUM(AQ25:AQ35)</f>
        <v>2.5242279758151795E-3</v>
      </c>
      <c r="AR23" s="81"/>
      <c r="AS23" s="80">
        <f>SUM(AS25:AS35)</f>
        <v>2.1139846550322089E-4</v>
      </c>
      <c r="BH23">
        <f t="shared" ref="BH23:BH30" si="8">BH15+1</f>
        <v>2</v>
      </c>
      <c r="BI23">
        <v>3</v>
      </c>
      <c r="BJ23" s="107">
        <f t="shared" ref="BJ23:BJ30" si="9">$H$27*H42</f>
        <v>5.6660032370166556E-2</v>
      </c>
      <c r="BP23">
        <f>BL9+1</f>
        <v>6</v>
      </c>
      <c r="BQ23">
        <v>5</v>
      </c>
      <c r="BR23" s="107">
        <f>$H$31*H44</f>
        <v>2.8949332927280508E-5</v>
      </c>
    </row>
    <row r="24" spans="1:70" ht="15.75" thickBot="1" x14ac:dyDescent="0.3">
      <c r="A24" s="26" t="s">
        <v>76</v>
      </c>
      <c r="B24" s="64">
        <f>B23/B21</f>
        <v>0.41829111200036972</v>
      </c>
      <c r="C24" s="65">
        <f>C23/B21</f>
        <v>0.58170888799963028</v>
      </c>
      <c r="D24" s="13" t="s">
        <v>79</v>
      </c>
      <c r="E24" s="13" t="s">
        <v>80</v>
      </c>
      <c r="G24" s="99" t="s">
        <v>103</v>
      </c>
      <c r="H24" s="100" t="s">
        <v>75</v>
      </c>
      <c r="I24" s="99" t="s">
        <v>100</v>
      </c>
      <c r="J24" s="101" t="s">
        <v>101</v>
      </c>
      <c r="K24" s="99" t="s">
        <v>102</v>
      </c>
      <c r="L24" s="101" t="s">
        <v>75</v>
      </c>
      <c r="M24" s="83" t="s">
        <v>99</v>
      </c>
      <c r="N24" s="27" t="s">
        <v>74</v>
      </c>
      <c r="O24" s="27" t="s">
        <v>126</v>
      </c>
      <c r="P24" s="27" t="s">
        <v>75</v>
      </c>
      <c r="Q24" s="27" t="s">
        <v>87</v>
      </c>
      <c r="R24" s="27" t="s">
        <v>75</v>
      </c>
      <c r="S24" s="27" t="s">
        <v>83</v>
      </c>
      <c r="T24" s="134" t="s">
        <v>75</v>
      </c>
      <c r="U24" s="138" t="s">
        <v>85</v>
      </c>
      <c r="V24" s="139" t="s">
        <v>74</v>
      </c>
      <c r="W24" s="83" t="s">
        <v>73</v>
      </c>
      <c r="X24" s="27" t="s">
        <v>88</v>
      </c>
      <c r="Y24" s="27" t="s">
        <v>75</v>
      </c>
      <c r="Z24" s="27" t="s">
        <v>89</v>
      </c>
      <c r="AA24" s="27" t="s">
        <v>75</v>
      </c>
      <c r="AB24" s="27" t="s">
        <v>90</v>
      </c>
      <c r="AC24" s="27" t="s">
        <v>75</v>
      </c>
      <c r="AD24" s="27" t="s">
        <v>91</v>
      </c>
      <c r="AE24" s="27" t="s">
        <v>75</v>
      </c>
      <c r="AF24" s="27" t="s">
        <v>92</v>
      </c>
      <c r="AG24" s="27" t="s">
        <v>75</v>
      </c>
      <c r="AH24" s="27" t="s">
        <v>93</v>
      </c>
      <c r="AI24" s="27" t="s">
        <v>75</v>
      </c>
      <c r="AJ24" s="27" t="s">
        <v>94</v>
      </c>
      <c r="AK24" s="27" t="s">
        <v>75</v>
      </c>
      <c r="AL24" s="27" t="s">
        <v>95</v>
      </c>
      <c r="AM24" s="27" t="s">
        <v>75</v>
      </c>
      <c r="AN24" s="27" t="s">
        <v>96</v>
      </c>
      <c r="AO24" s="27" t="s">
        <v>75</v>
      </c>
      <c r="AP24" s="27" t="s">
        <v>97</v>
      </c>
      <c r="AQ24" s="27" t="s">
        <v>75</v>
      </c>
      <c r="AR24" s="27" t="s">
        <v>98</v>
      </c>
      <c r="AS24" s="27" t="s">
        <v>75</v>
      </c>
      <c r="AV24" s="14">
        <v>0</v>
      </c>
      <c r="AW24" s="14">
        <v>1</v>
      </c>
      <c r="AX24" s="14">
        <v>2</v>
      </c>
      <c r="AY24" s="14">
        <v>3</v>
      </c>
      <c r="AZ24" s="14">
        <v>4</v>
      </c>
      <c r="BA24" s="14">
        <v>5</v>
      </c>
      <c r="BB24" s="14">
        <v>6</v>
      </c>
      <c r="BC24" s="14">
        <v>7</v>
      </c>
      <c r="BD24" s="14">
        <v>8</v>
      </c>
      <c r="BE24" s="14">
        <v>9</v>
      </c>
      <c r="BF24" s="14">
        <v>10</v>
      </c>
      <c r="BH24">
        <f t="shared" si="8"/>
        <v>2</v>
      </c>
      <c r="BI24">
        <v>4</v>
      </c>
      <c r="BJ24" s="107">
        <f t="shared" si="9"/>
        <v>2.3575531866722715E-2</v>
      </c>
      <c r="BP24">
        <f>BH49+1</f>
        <v>7</v>
      </c>
      <c r="BQ24">
        <v>0</v>
      </c>
      <c r="BR24" s="107">
        <f t="shared" ref="BR24:BR30" si="10">$H$32*H39</f>
        <v>1.8441580572985698E-5</v>
      </c>
    </row>
    <row r="25" spans="1:70" x14ac:dyDescent="0.25">
      <c r="A25" s="26" t="s">
        <v>69</v>
      </c>
      <c r="B25" s="117">
        <f>1/(1+EXP(-3.1416*4*((B11/(B11+C8))-(3.1416/6))))</f>
        <v>1.7719770999207449E-2</v>
      </c>
      <c r="C25" s="118">
        <f>1/(1+EXP(-3.1416*4*((C11/(C11+B8))-(3.1416/6))))</f>
        <v>0.20202480276155996</v>
      </c>
      <c r="D25" s="153">
        <f>IF(B17="AOW", 0.36-0.08, IF(B17="AIM", 0.36+0.08, IF(B17="TL",(0.361)-(0.36*B32),0.36)))</f>
        <v>0.23499999999999999</v>
      </c>
      <c r="E25" s="153">
        <f>IF(C17="AOW", 0.36-0.08, IF(C17="AIM", 0.36+0.08, IF(C17="TL",(0.361)-(0.36*C32),0.36)))</f>
        <v>0.36</v>
      </c>
      <c r="G25" s="126">
        <v>0</v>
      </c>
      <c r="H25" s="127">
        <f>L25*J25</f>
        <v>0.12490549141861215</v>
      </c>
      <c r="I25" s="97">
        <v>0</v>
      </c>
      <c r="J25" s="98">
        <f t="shared" ref="J25:J35" si="11">Y25+AA25+AC25+AE25+AG25+AI25+AK25+AM25+AO25+AQ25+AS25</f>
        <v>0.39762225768161591</v>
      </c>
      <c r="K25" s="97">
        <v>0</v>
      </c>
      <c r="L25" s="98">
        <f>S21</f>
        <v>0.31413103518623064</v>
      </c>
      <c r="M25" s="84">
        <v>0</v>
      </c>
      <c r="N25" s="71">
        <f>(1-$B$24)^$B$21</f>
        <v>6.6608322675490148E-2</v>
      </c>
      <c r="O25" s="70">
        <v>0</v>
      </c>
      <c r="P25" s="71">
        <f>N25</f>
        <v>6.6608322675490148E-2</v>
      </c>
      <c r="Q25" s="12">
        <v>0</v>
      </c>
      <c r="R25" s="73">
        <f>P25*N25</f>
        <v>4.4366686496422145E-3</v>
      </c>
      <c r="S25" s="70">
        <v>0</v>
      </c>
      <c r="T25" s="135">
        <f>(1-$B$33)^(INT(C23*2*(1-C31)))</f>
        <v>0.98014950062500006</v>
      </c>
      <c r="U25" s="140">
        <v>0</v>
      </c>
      <c r="V25" s="86">
        <f>R25*T25</f>
        <v>4.3485985613854099E-3</v>
      </c>
      <c r="W25" s="136">
        <f>B31</f>
        <v>0.20970463539772016</v>
      </c>
      <c r="X25" s="12">
        <v>0</v>
      </c>
      <c r="Y25" s="79">
        <f>V25</f>
        <v>4.3485985613854099E-3</v>
      </c>
      <c r="Z25" s="12">
        <v>0</v>
      </c>
      <c r="AA25" s="78">
        <f>((1-W25)^Z26)*V26</f>
        <v>2.4781294844740346E-2</v>
      </c>
      <c r="AB25" s="12">
        <v>0</v>
      </c>
      <c r="AC25" s="79">
        <f>(((1-$W$25)^AB27))*V27</f>
        <v>6.358853454853669E-2</v>
      </c>
      <c r="AD25" s="12">
        <v>0</v>
      </c>
      <c r="AE25" s="79">
        <f>(((1-$W$25)^AB28))*V28</f>
        <v>9.6773618288920005E-2</v>
      </c>
      <c r="AF25" s="12">
        <v>0</v>
      </c>
      <c r="AG25" s="79">
        <f>(((1-$W$25)^AB29))*V29</f>
        <v>9.6767001150790122E-2</v>
      </c>
      <c r="AH25" s="12">
        <v>0</v>
      </c>
      <c r="AI25" s="79">
        <f>(((1-$W$25)^AB30))*V30</f>
        <v>6.6469385098237188E-2</v>
      </c>
      <c r="AJ25" s="12">
        <v>0</v>
      </c>
      <c r="AK25" s="79">
        <f>(((1-$W$25)^AB31))*V31</f>
        <v>3.179766747468845E-2</v>
      </c>
      <c r="AL25" s="12">
        <v>0</v>
      </c>
      <c r="AM25" s="79">
        <f>(((1-$W$25)^AB32))*V32</f>
        <v>1.0482492309370827E-2</v>
      </c>
      <c r="AN25" s="12">
        <v>0</v>
      </c>
      <c r="AO25" s="79">
        <f>(((1-$W$25)^AB33))*V33</f>
        <v>2.2900223819496061E-3</v>
      </c>
      <c r="AP25" s="12">
        <v>0</v>
      </c>
      <c r="AQ25" s="79">
        <f>(((1-$W$25)^AB34))*V34</f>
        <v>3.0355227173145375E-4</v>
      </c>
      <c r="AR25" s="12">
        <v>0</v>
      </c>
      <c r="AS25" s="79">
        <f>(((1-$W$25)^AB35))*V35</f>
        <v>2.0090751265853762E-5</v>
      </c>
      <c r="AV25" s="14">
        <v>1</v>
      </c>
      <c r="AW25">
        <v>1</v>
      </c>
      <c r="AX25">
        <v>2</v>
      </c>
      <c r="AY25">
        <v>3</v>
      </c>
      <c r="AZ25">
        <v>4</v>
      </c>
      <c r="BA25">
        <v>5</v>
      </c>
      <c r="BB25">
        <v>6</v>
      </c>
      <c r="BC25">
        <f>7</f>
        <v>7</v>
      </c>
      <c r="BD25">
        <v>8</v>
      </c>
      <c r="BE25">
        <v>9</v>
      </c>
      <c r="BF25">
        <v>10</v>
      </c>
      <c r="BH25">
        <f t="shared" si="8"/>
        <v>2</v>
      </c>
      <c r="BI25">
        <v>5</v>
      </c>
      <c r="BJ25" s="107">
        <f t="shared" si="9"/>
        <v>7.0699514822413871E-3</v>
      </c>
      <c r="BP25">
        <f>BP19+1</f>
        <v>7</v>
      </c>
      <c r="BQ25">
        <v>1</v>
      </c>
      <c r="BR25" s="107">
        <f t="shared" si="10"/>
        <v>4.0761916579576172E-5</v>
      </c>
    </row>
    <row r="26" spans="1:70" x14ac:dyDescent="0.25">
      <c r="A26" s="40" t="s">
        <v>24</v>
      </c>
      <c r="B26" s="119">
        <f>1/(1+EXP(-3.1416*4*((B10/(B10+C9))-(3.1416/6))))</f>
        <v>1.5862831544598589E-2</v>
      </c>
      <c r="C26" s="120">
        <f>1/(1+EXP(-3.1416*4*((C10/(C10+B9))-(3.1416/6))))</f>
        <v>0.14523338046525847</v>
      </c>
      <c r="D26" s="153">
        <f>IF(B17="AOW", 0.257+0.04, IF(B17="AIM", 0.257-0.04, IF(B17="TL",(0.257)-(0.257*B32),0.257)))</f>
        <v>0.16705</v>
      </c>
      <c r="E26" s="153">
        <f>IF(C17="AOW", 0.257+0.04, IF(C17="AIM", 0.257-0.04, IF(C17="TL",(0.257)-(0.257*C32),0.257)))</f>
        <v>0.25700000000000001</v>
      </c>
      <c r="G26" s="87">
        <v>1</v>
      </c>
      <c r="H26" s="128">
        <f>L25*J26+L26*J25</f>
        <v>0.35928905704014591</v>
      </c>
      <c r="I26" s="93">
        <v>1</v>
      </c>
      <c r="J26" s="86">
        <f t="shared" si="11"/>
        <v>0.38399037408562225</v>
      </c>
      <c r="K26" s="93">
        <v>1</v>
      </c>
      <c r="L26" s="86">
        <f>T21</f>
        <v>0.60023240328308258</v>
      </c>
      <c r="M26" s="85">
        <v>1</v>
      </c>
      <c r="N26" s="71">
        <f>(($B$24)^M26)*((1-($B$24))^($B$21-M26))*HLOOKUP($B$21,$AV$24:$BF$34,M26+1)</f>
        <v>0.23948120731161948</v>
      </c>
      <c r="O26" s="72">
        <v>1</v>
      </c>
      <c r="P26" s="71">
        <f t="shared" ref="P26:P30" si="12">N26</f>
        <v>0.23948120731161948</v>
      </c>
      <c r="Q26" s="28">
        <v>1</v>
      </c>
      <c r="R26" s="37">
        <f>N26*P25+P26*N25</f>
        <v>3.1902883062656602E-2</v>
      </c>
      <c r="S26" s="72">
        <v>1</v>
      </c>
      <c r="T26" s="135">
        <f t="shared" ref="T26:T35" si="13">(($B$33)^S26)*((1-($B$33))^(INT($C$23*2*(1-$C$31))-S26))*HLOOKUP(INT($C$23*2*(1-$C$31)),$AV$24:$BF$34,S26+1)</f>
        <v>1.9701497500000002E-2</v>
      </c>
      <c r="U26" s="93">
        <v>1</v>
      </c>
      <c r="V26" s="86">
        <f>R26*T25+T26*R25</f>
        <v>3.1357003918669898E-2</v>
      </c>
      <c r="W26" s="137"/>
      <c r="X26" s="28">
        <v>1</v>
      </c>
      <c r="Y26" s="73"/>
      <c r="Z26" s="28">
        <v>1</v>
      </c>
      <c r="AA26" s="79">
        <f>(1-((1-W25)^Z26))*V26</f>
        <v>6.5757090739295516E-3</v>
      </c>
      <c r="AB26" s="28">
        <v>1</v>
      </c>
      <c r="AC26" s="79">
        <f>((($W$25)^M26)*((1-($W$25))^($U$27-M26))*HLOOKUP($U$27,$AV$24:$BF$34,M26+1))*V27</f>
        <v>3.3746396727727314E-2</v>
      </c>
      <c r="AD26" s="28">
        <v>1</v>
      </c>
      <c r="AE26" s="79">
        <f>((($W$25)^M26)*((1-($W$25))^($U$28-M26))*HLOOKUP($U$28,$AV$24:$BF$34,M26+1))*V28</f>
        <v>7.703655082024595E-2</v>
      </c>
      <c r="AF26" s="28">
        <v>1</v>
      </c>
      <c r="AG26" s="79">
        <f>((($W$25)^M26)*((1-($W$25))^($U$29-M26))*HLOOKUP($U$29,$AV$24:$BF$34,M26+1))*V29</f>
        <v>0.10270837767127487</v>
      </c>
      <c r="AH26" s="28">
        <v>1</v>
      </c>
      <c r="AI26" s="79">
        <f>((($W$25)^M26)*((1-($W$25))^($U$30-M26))*HLOOKUP($U$30,$AV$24:$BF$34,M26+1))*V30</f>
        <v>8.8188155919093139E-2</v>
      </c>
      <c r="AJ26" s="28">
        <v>1</v>
      </c>
      <c r="AK26" s="79">
        <f>((($W$25)^M26)*((1-($W$25))^($U$31-M26))*HLOOKUP($U$31,$AV$24:$BF$34,M26+1))*V31</f>
        <v>5.0625008544494643E-2</v>
      </c>
      <c r="AL26" s="28">
        <v>1</v>
      </c>
      <c r="AM26" s="79">
        <f>((($W$25)^Q26)*((1-($W$25))^($U$32-Q26))*HLOOKUP($U$32,$AV$24:$BF$34,Q26+1))*V32</f>
        <v>1.9470683093675979E-2</v>
      </c>
      <c r="AN26" s="28">
        <v>1</v>
      </c>
      <c r="AO26" s="79">
        <f>((($W$25)^Q26)*((1-($W$25))^($U$33-Q26))*HLOOKUP($U$33,$AV$24:$BF$34,Q26+1))*V33</f>
        <v>4.8612539581429854E-3</v>
      </c>
      <c r="AP26" s="28">
        <v>1</v>
      </c>
      <c r="AQ26" s="79">
        <f>((($W$25)^Q26)*((1-($W$25))^($U$34-Q26))*HLOOKUP($U$34,$AV$24:$BF$34,Q26+1))*V34</f>
        <v>7.2492752946446283E-4</v>
      </c>
      <c r="AR26" s="28">
        <v>1</v>
      </c>
      <c r="AS26" s="79">
        <f>((($W$25)^Q26)*((1-($W$25))^($U$35-Q26))*HLOOKUP($U$35,$AV$24:$BF$34,Q26+1))*V35</f>
        <v>5.3310747573376246E-5</v>
      </c>
      <c r="AV26" s="14">
        <v>2</v>
      </c>
      <c r="AX26">
        <v>1</v>
      </c>
      <c r="AY26">
        <v>3</v>
      </c>
      <c r="AZ26">
        <v>6</v>
      </c>
      <c r="BA26">
        <v>10</v>
      </c>
      <c r="BB26">
        <v>15</v>
      </c>
      <c r="BC26">
        <f>6+15</f>
        <v>21</v>
      </c>
      <c r="BD26">
        <f>21+7</f>
        <v>28</v>
      </c>
      <c r="BE26">
        <f>28+8</f>
        <v>36</v>
      </c>
      <c r="BF26">
        <f>36+9</f>
        <v>45</v>
      </c>
      <c r="BH26">
        <f t="shared" si="8"/>
        <v>2</v>
      </c>
      <c r="BI26">
        <v>6</v>
      </c>
      <c r="BJ26" s="107">
        <f t="shared" si="9"/>
        <v>1.5748185144537879E-3</v>
      </c>
      <c r="BP26">
        <f>BP20+1</f>
        <v>7</v>
      </c>
      <c r="BQ26">
        <v>2</v>
      </c>
      <c r="BR26" s="107">
        <f t="shared" si="10"/>
        <v>4.103922138204615E-5</v>
      </c>
    </row>
    <row r="27" spans="1:70" x14ac:dyDescent="0.25">
      <c r="A27" s="26" t="s">
        <v>25</v>
      </c>
      <c r="B27" s="119">
        <f>1/(1+EXP(-3.1416*4*((B12/(B12+C7))-(3.1416/6))))</f>
        <v>9.7085369871643349E-3</v>
      </c>
      <c r="C27" s="120">
        <f>1/(1+EXP(-3.1416*4*((C12/(C12+B7))-(3.1416/6))))</f>
        <v>0.10842019299417877</v>
      </c>
      <c r="D27" s="153">
        <f>D26</f>
        <v>0.16705</v>
      </c>
      <c r="E27" s="153">
        <f>E26</f>
        <v>0.25700000000000001</v>
      </c>
      <c r="G27" s="87">
        <v>2</v>
      </c>
      <c r="H27" s="128">
        <f>L25*J27+J26*L26+J25*L27</f>
        <v>0.31554575612972641</v>
      </c>
      <c r="I27" s="93">
        <v>2</v>
      </c>
      <c r="J27" s="86">
        <f t="shared" si="11"/>
        <v>0.16703158298465795</v>
      </c>
      <c r="K27" s="93">
        <v>2</v>
      </c>
      <c r="L27" s="86">
        <f>U21</f>
        <v>8.1968467190474889E-2</v>
      </c>
      <c r="M27" s="85">
        <v>2</v>
      </c>
      <c r="N27" s="71">
        <f>(($B$24)^M27)*((1-($B$24))^($B$21-M27))*HLOOKUP($B$21,$AV$24:$BF$34,M27+1)</f>
        <v>0.34440890478411268</v>
      </c>
      <c r="O27" s="72">
        <v>2</v>
      </c>
      <c r="P27" s="71">
        <f t="shared" si="12"/>
        <v>0.34440890478411268</v>
      </c>
      <c r="Q27" s="28">
        <v>2</v>
      </c>
      <c r="R27" s="37">
        <f>P25*N27+P26*N26+P27*N25</f>
        <v>0.10323224757977553</v>
      </c>
      <c r="S27" s="72">
        <v>2</v>
      </c>
      <c r="T27" s="135">
        <f t="shared" si="13"/>
        <v>1.4850375000000001E-4</v>
      </c>
      <c r="U27" s="93">
        <v>2</v>
      </c>
      <c r="V27" s="86">
        <f>R27*T25+T26*R26+R25*T27</f>
        <v>0.10181222934654706</v>
      </c>
      <c r="W27" s="137"/>
      <c r="X27" s="28">
        <v>2</v>
      </c>
      <c r="Y27" s="73"/>
      <c r="Z27" s="28">
        <v>2</v>
      </c>
      <c r="AA27" s="79"/>
      <c r="AB27" s="28">
        <v>2</v>
      </c>
      <c r="AC27" s="79">
        <f>((($W$25)^M27)*((1-($W$25))^($U$27-M27))*HLOOKUP($U$27,$AV$24:$BF$34,M27+1))*V27</f>
        <v>4.4772980702830617E-3</v>
      </c>
      <c r="AD27" s="28">
        <v>2</v>
      </c>
      <c r="AE27" s="79">
        <f>((($W$25)^M27)*((1-($W$25))^($U$28-M27))*HLOOKUP($U$28,$AV$24:$BF$34,M27+1))*V28</f>
        <v>2.0441625404430491E-2</v>
      </c>
      <c r="AF27" s="28">
        <v>2</v>
      </c>
      <c r="AG27" s="79">
        <f>((($W$25)^M27)*((1-($W$25))^($U$29-M27))*HLOOKUP($U$29,$AV$24:$BF$34,M27+1))*V29</f>
        <v>4.0880455314359639E-2</v>
      </c>
      <c r="AH27" s="28">
        <v>2</v>
      </c>
      <c r="AI27" s="79">
        <f>((($W$25)^M27)*((1-($W$25))^($U$30-M27))*HLOOKUP($U$30,$AV$24:$BF$34,M27+1))*V30</f>
        <v>4.6801400872995516E-2</v>
      </c>
      <c r="AJ27" s="28">
        <v>2</v>
      </c>
      <c r="AK27" s="79">
        <f>((($W$25)^M27)*((1-($W$25))^($U$31-M27))*HLOOKUP($U$31,$AV$24:$BF$34,M27+1))*V31</f>
        <v>3.3583326672339847E-2</v>
      </c>
      <c r="AL27" s="28">
        <v>2</v>
      </c>
      <c r="AM27" s="79">
        <f>((($W$25)^Q27)*((1-($W$25))^($U$32-Q27))*HLOOKUP($U$32,$AV$24:$BF$34,Q27+1))*V32</f>
        <v>1.5499619567522247E-2</v>
      </c>
      <c r="AN27" s="28">
        <v>2</v>
      </c>
      <c r="AO27" s="79">
        <f>((($W$25)^Q27)*((1-($W$25))^($U$33-Q27))*HLOOKUP($U$33,$AV$24:$BF$34,Q27+1))*V33</f>
        <v>4.514762923902454E-3</v>
      </c>
      <c r="AP27" s="28">
        <v>2</v>
      </c>
      <c r="AQ27" s="79">
        <f>((($W$25)^Q27)*((1-($W$25))^($U$34-Q27))*HLOOKUP($U$34,$AV$24:$BF$34,Q27+1))*V34</f>
        <v>7.6943720064773713E-4</v>
      </c>
      <c r="AR27" s="28">
        <v>2</v>
      </c>
      <c r="AS27" s="79">
        <f>((($W$25)^Q27)*((1-($W$25))^($U$35-Q27))*HLOOKUP($U$35,$AV$24:$BF$34,Q27+1))*V35</f>
        <v>6.3656958176977379E-5</v>
      </c>
      <c r="AV27" s="14">
        <v>3</v>
      </c>
      <c r="AY27">
        <v>1</v>
      </c>
      <c r="AZ27">
        <v>4</v>
      </c>
      <c r="BA27">
        <v>10</v>
      </c>
      <c r="BB27">
        <v>20</v>
      </c>
      <c r="BC27">
        <f>15+20</f>
        <v>35</v>
      </c>
      <c r="BD27">
        <f>21+35</f>
        <v>56</v>
      </c>
      <c r="BE27">
        <f>28+56</f>
        <v>84</v>
      </c>
      <c r="BF27">
        <f>36+84</f>
        <v>120</v>
      </c>
      <c r="BH27">
        <f t="shared" si="8"/>
        <v>2</v>
      </c>
      <c r="BI27">
        <v>7</v>
      </c>
      <c r="BJ27" s="107">
        <f t="shared" si="9"/>
        <v>2.6406563546880053E-4</v>
      </c>
      <c r="BP27">
        <f>BP21+1</f>
        <v>7</v>
      </c>
      <c r="BQ27">
        <v>3</v>
      </c>
      <c r="BR27" s="107">
        <f t="shared" si="10"/>
        <v>2.5091177409449393E-5</v>
      </c>
    </row>
    <row r="28" spans="1:70" x14ac:dyDescent="0.25">
      <c r="A28" s="26" t="s">
        <v>26</v>
      </c>
      <c r="B28" s="174">
        <v>0.9</v>
      </c>
      <c r="C28" s="175">
        <v>0.9</v>
      </c>
      <c r="D28" s="153">
        <v>8.5000000000000006E-2</v>
      </c>
      <c r="E28" s="153">
        <v>8.5000000000000006E-2</v>
      </c>
      <c r="G28" s="87">
        <v>3</v>
      </c>
      <c r="H28" s="128">
        <f>J28*L25+J27*L26+L28*J25+L27*J26</f>
        <v>0.1467343390442872</v>
      </c>
      <c r="I28" s="93">
        <v>3</v>
      </c>
      <c r="J28" s="86">
        <f t="shared" si="11"/>
        <v>4.3112429895886442E-2</v>
      </c>
      <c r="K28" s="93">
        <v>3</v>
      </c>
      <c r="L28" s="86">
        <f>V21</f>
        <v>3.6680943402118832E-3</v>
      </c>
      <c r="M28" s="85">
        <v>3</v>
      </c>
      <c r="N28" s="71">
        <f>(($B$24)^M28)*((1-($B$24))^($B$21-M28))*HLOOKUP($B$21,$AV$24:$BF$34,M28+1)</f>
        <v>0.24765511880070762</v>
      </c>
      <c r="O28" s="72">
        <v>3</v>
      </c>
      <c r="P28" s="71">
        <f t="shared" si="12"/>
        <v>0.24765511880070762</v>
      </c>
      <c r="Q28" s="28">
        <v>3</v>
      </c>
      <c r="R28" s="37">
        <f>P25*N28+P26*N27+P27*N26+P28*N25</f>
        <v>0.19795070478377255</v>
      </c>
      <c r="S28" s="72">
        <v>3</v>
      </c>
      <c r="T28" s="135">
        <f t="shared" si="13"/>
        <v>4.9750000000000011E-7</v>
      </c>
      <c r="U28" s="93">
        <v>3</v>
      </c>
      <c r="V28" s="86">
        <f>R28*T25+R27*T26+R26*T27+R25*T28</f>
        <v>0.19605985421480709</v>
      </c>
      <c r="W28" s="137"/>
      <c r="X28" s="28">
        <v>3</v>
      </c>
      <c r="Y28" s="73"/>
      <c r="Z28" s="28">
        <v>3</v>
      </c>
      <c r="AA28" s="79"/>
      <c r="AB28" s="28">
        <v>3</v>
      </c>
      <c r="AC28" s="79"/>
      <c r="AD28" s="28">
        <v>3</v>
      </c>
      <c r="AE28" s="79">
        <f>((($W$25)^M28)*((1-($W$25))^($U$28-M28))*HLOOKUP($U$28,$AV$24:$BF$34,M28+1))*V28</f>
        <v>1.8080597012106461E-3</v>
      </c>
      <c r="AF28" s="28">
        <v>3</v>
      </c>
      <c r="AG28" s="79">
        <f>((($W$25)^M28)*((1-($W$25))^($U$29-M28))*HLOOKUP($U$29,$AV$24:$BF$34,M28+1))*V29</f>
        <v>7.2317442824303179E-3</v>
      </c>
      <c r="AH28" s="28">
        <v>3</v>
      </c>
      <c r="AI28" s="79">
        <f>((($W$25)^M28)*((1-($W$25))^($U$30-M28))*HLOOKUP($U$30,$AV$24:$BF$34,M28+1))*V30</f>
        <v>1.2418737532534118E-2</v>
      </c>
      <c r="AJ28" s="28">
        <v>3</v>
      </c>
      <c r="AK28" s="79">
        <f>((($W$25)^M28)*((1-($W$25))^($U$31-M28))*HLOOKUP($U$31,$AV$24:$BF$34,M28+1))*V31</f>
        <v>1.1881767401077567E-2</v>
      </c>
      <c r="AL28" s="28">
        <v>3</v>
      </c>
      <c r="AM28" s="79">
        <f>((($W$25)^Q28)*((1-($W$25))^($U$32-Q28))*HLOOKUP($U$32,$AV$24:$BF$34,Q28+1))*V32</f>
        <v>6.8546989218526196E-3</v>
      </c>
      <c r="AN28" s="28">
        <v>3</v>
      </c>
      <c r="AO28" s="79">
        <f>((($W$25)^Q28)*((1-($W$25))^($U$33-Q28))*HLOOKUP($U$33,$AV$24:$BF$34,Q28+1))*V33</f>
        <v>2.3959819461691375E-3</v>
      </c>
      <c r="AP28" s="28">
        <v>3</v>
      </c>
      <c r="AQ28" s="79">
        <f>((($W$25)^Q28)*((1-($W$25))^($U$34-Q28))*HLOOKUP($U$34,$AV$24:$BF$34,Q28+1))*V34</f>
        <v>4.7639649847090211E-4</v>
      </c>
      <c r="AR28" s="28">
        <v>3</v>
      </c>
      <c r="AS28" s="79">
        <f>((($W$25)^Q28)*((1-($W$25))^($U$35-Q28))*HLOOKUP($U$35,$AV$24:$BF$34,Q28+1))*V35</f>
        <v>4.504361214113577E-5</v>
      </c>
      <c r="AV28" s="14">
        <v>4</v>
      </c>
      <c r="AZ28">
        <v>1</v>
      </c>
      <c r="BA28">
        <v>5</v>
      </c>
      <c r="BB28">
        <v>15</v>
      </c>
      <c r="BC28">
        <f>20+15</f>
        <v>35</v>
      </c>
      <c r="BD28">
        <f>35+35</f>
        <v>70</v>
      </c>
      <c r="BE28">
        <f>56+70</f>
        <v>126</v>
      </c>
      <c r="BF28">
        <f>BE27+BE28</f>
        <v>210</v>
      </c>
      <c r="BH28">
        <f t="shared" si="8"/>
        <v>2</v>
      </c>
      <c r="BI28">
        <v>8</v>
      </c>
      <c r="BJ28" s="107">
        <f t="shared" si="9"/>
        <v>3.3346833585126119E-5</v>
      </c>
      <c r="BP28">
        <f>BP22+1</f>
        <v>7</v>
      </c>
      <c r="BQ28">
        <v>4</v>
      </c>
      <c r="BR28" s="107">
        <f t="shared" si="10"/>
        <v>1.0440125567269041E-5</v>
      </c>
    </row>
    <row r="29" spans="1:70" x14ac:dyDescent="0.25">
      <c r="A29" s="26" t="s">
        <v>27</v>
      </c>
      <c r="B29" s="123">
        <f>1/(1+EXP(-3.1416*4*((B14/(B14+C13))-(3.1416/6))))</f>
        <v>0.49415415856240097</v>
      </c>
      <c r="C29" s="118">
        <f>1/(1+EXP(-3.1416*4*((C14/(C14+B13))-(3.1416/6))))</f>
        <v>0.18291391297121673</v>
      </c>
      <c r="D29" s="153">
        <v>0.04</v>
      </c>
      <c r="E29" s="153">
        <v>0.04</v>
      </c>
      <c r="G29" s="87">
        <v>4</v>
      </c>
      <c r="H29" s="128">
        <f>J29*L25+J28*L26+J27*L27+J26*L28</f>
        <v>4.3275542807632468E-2</v>
      </c>
      <c r="I29" s="93">
        <v>4</v>
      </c>
      <c r="J29" s="86">
        <f t="shared" si="11"/>
        <v>7.3161496155841653E-3</v>
      </c>
      <c r="K29" s="93">
        <v>4</v>
      </c>
      <c r="L29" s="86"/>
      <c r="M29" s="85">
        <v>4</v>
      </c>
      <c r="N29" s="71">
        <f>(($B$24)^M29)*((1-($B$24))^($B$21-M29))*HLOOKUP($B$21,$AV$24:$BF$34,M29+1)</f>
        <v>8.9041045420469422E-2</v>
      </c>
      <c r="O29" s="72">
        <v>4</v>
      </c>
      <c r="P29" s="71">
        <f t="shared" si="12"/>
        <v>8.9041045420469422E-2</v>
      </c>
      <c r="Q29" s="28">
        <v>4</v>
      </c>
      <c r="R29" s="37">
        <f>P25*N29+P26*N28+P27*N27+P28*N26+P29*N25</f>
        <v>0.24909673675864324</v>
      </c>
      <c r="S29" s="72">
        <v>4</v>
      </c>
      <c r="T29" s="135">
        <f t="shared" si="13"/>
        <v>6.2500000000000001E-10</v>
      </c>
      <c r="U29" s="93">
        <v>4</v>
      </c>
      <c r="V29" s="86">
        <f>T29*R25+T28*R26+T27*R27+T26*R28+T25*R29</f>
        <v>0.24806731370706575</v>
      </c>
      <c r="W29" s="137"/>
      <c r="X29" s="28">
        <v>4</v>
      </c>
      <c r="Y29" s="73"/>
      <c r="Z29" s="28">
        <v>4</v>
      </c>
      <c r="AA29" s="79"/>
      <c r="AB29" s="28">
        <v>4</v>
      </c>
      <c r="AC29" s="79"/>
      <c r="AD29" s="28">
        <v>4</v>
      </c>
      <c r="AE29" s="79"/>
      <c r="AF29" s="28">
        <v>4</v>
      </c>
      <c r="AG29" s="79">
        <f>((($W$25)^M29)*((1-($W$25))^($U$29-M29))*HLOOKUP($U$29,$AV$24:$BF$34,M29+1))*V29</f>
        <v>4.7973528821081932E-4</v>
      </c>
      <c r="AH29" s="28">
        <v>4</v>
      </c>
      <c r="AI29" s="79">
        <f>((($W$25)^M29)*((1-($W$25))^($U$30-M29))*HLOOKUP($U$30,$AV$24:$BF$34,M29+1))*V30</f>
        <v>1.6476541195902499E-3</v>
      </c>
      <c r="AJ29" s="28">
        <v>4</v>
      </c>
      <c r="AK29" s="79">
        <f>((($W$25)^M29)*((1-($W$25))^($U$31-M29))*HLOOKUP($U$31,$AV$24:$BF$34,M29+1))*V31</f>
        <v>2.3646175331966828E-3</v>
      </c>
      <c r="AL29" s="28">
        <v>4</v>
      </c>
      <c r="AM29" s="79">
        <f>((($W$25)^Q29)*((1-($W$25))^($U$32-Q29))*HLOOKUP($U$32,$AV$24:$BF$34,Q29+1))*V32</f>
        <v>1.8188922807255224E-3</v>
      </c>
      <c r="AN29" s="28">
        <v>4</v>
      </c>
      <c r="AO29" s="79">
        <f>((($W$25)^Q29)*((1-($W$25))^($U$33-Q29))*HLOOKUP($U$33,$AV$24:$BF$34,Q29+1))*V33</f>
        <v>7.9471635376125911E-4</v>
      </c>
      <c r="AP29" s="28">
        <v>4</v>
      </c>
      <c r="AQ29" s="79">
        <f>((($W$25)^Q29)*((1-($W$25))^($U$34-Q29))*HLOOKUP($U$34,$AV$24:$BF$34,Q29+1))*V34</f>
        <v>1.8961749965508315E-4</v>
      </c>
      <c r="AR29" s="28">
        <v>4</v>
      </c>
      <c r="AS29" s="79">
        <f>((($W$25)^Q29)*((1-($W$25))^($U$35-Q29))*HLOOKUP($U$35,$AV$24:$BF$34,Q29+1))*V35</f>
        <v>2.0916540444548883E-5</v>
      </c>
      <c r="AV29" s="14">
        <v>5</v>
      </c>
      <c r="BA29">
        <v>1</v>
      </c>
      <c r="BB29">
        <v>6</v>
      </c>
      <c r="BC29">
        <f>15+6</f>
        <v>21</v>
      </c>
      <c r="BD29">
        <f>35+21</f>
        <v>56</v>
      </c>
      <c r="BE29">
        <f>70+56</f>
        <v>126</v>
      </c>
      <c r="BF29">
        <f t="shared" ref="BF29:BF34" si="14">BE28+BE29</f>
        <v>252</v>
      </c>
      <c r="BH29">
        <f t="shared" si="8"/>
        <v>2</v>
      </c>
      <c r="BI29">
        <v>9</v>
      </c>
      <c r="BJ29" s="107">
        <f t="shared" si="9"/>
        <v>3.1329496436257234E-6</v>
      </c>
      <c r="BP29">
        <f>BP23+1</f>
        <v>7</v>
      </c>
      <c r="BQ29">
        <v>5</v>
      </c>
      <c r="BR29" s="107">
        <f t="shared" si="10"/>
        <v>3.1308384322512679E-6</v>
      </c>
    </row>
    <row r="30" spans="1:70" x14ac:dyDescent="0.25">
      <c r="A30" s="26" t="s">
        <v>136</v>
      </c>
      <c r="B30" s="174">
        <v>0.75</v>
      </c>
      <c r="C30" s="175">
        <v>0.15</v>
      </c>
      <c r="D30" s="153">
        <f>IF(B17="TL",0.875*B32,0.001)</f>
        <v>0.30624999999999997</v>
      </c>
      <c r="E30" s="153">
        <f>IF(C17="TL",0.875*C32,0.001)</f>
        <v>1E-3</v>
      </c>
      <c r="G30" s="87">
        <v>5</v>
      </c>
      <c r="H30" s="128">
        <f>J30*L25+J29*L26+J28*L27+J27*L28</f>
        <v>8.8061061078192771E-3</v>
      </c>
      <c r="I30" s="93">
        <v>5</v>
      </c>
      <c r="J30" s="86">
        <f t="shared" si="11"/>
        <v>8.5368400965010716E-4</v>
      </c>
      <c r="K30" s="93">
        <v>5</v>
      </c>
      <c r="L30" s="86"/>
      <c r="M30" s="85">
        <v>5</v>
      </c>
      <c r="N30" s="71">
        <f>(($B$24)^M30)*((1-($B$24))^($B$21-M30))*HLOOKUP($B$21,$AV$24:$BF$34,M30+1)</f>
        <v>1.2805401007600645E-2</v>
      </c>
      <c r="O30" s="72">
        <v>5</v>
      </c>
      <c r="P30" s="71">
        <f t="shared" si="12"/>
        <v>1.2805401007600645E-2</v>
      </c>
      <c r="Q30" s="28">
        <v>5</v>
      </c>
      <c r="R30" s="37">
        <f>P25*N30+P26*N29+P27*N28+P28*N27+P29*N26+P30*N25</f>
        <v>0.21494246314043419</v>
      </c>
      <c r="S30" s="72">
        <v>5</v>
      </c>
      <c r="T30" s="135">
        <f t="shared" si="13"/>
        <v>0</v>
      </c>
      <c r="U30" s="93">
        <v>5</v>
      </c>
      <c r="V30" s="86">
        <f>T30*R25+T29*R26+T28*R27+T27*R28+T26*R29+T25*R30</f>
        <v>0.21561277444667062</v>
      </c>
      <c r="W30" s="137"/>
      <c r="X30" s="28">
        <v>5</v>
      </c>
      <c r="Y30" s="73"/>
      <c r="Z30" s="28">
        <v>5</v>
      </c>
      <c r="AA30" s="79"/>
      <c r="AB30" s="28">
        <v>5</v>
      </c>
      <c r="AC30" s="79"/>
      <c r="AD30" s="28">
        <v>5</v>
      </c>
      <c r="AE30" s="79"/>
      <c r="AF30" s="28">
        <v>5</v>
      </c>
      <c r="AG30" s="79"/>
      <c r="AH30" s="28">
        <v>5</v>
      </c>
      <c r="AI30" s="79">
        <f>((($W$25)^M30)*((1-($W$25))^($U$30-M30))*HLOOKUP($U$30,$AV$24:$BF$34,M30+1))*V30</f>
        <v>8.7440904220439155E-5</v>
      </c>
      <c r="AJ30" s="28">
        <v>5</v>
      </c>
      <c r="AK30" s="79">
        <f>((($W$25)^M30)*((1-($W$25))^($U$31-M30))*HLOOKUP($U$31,$AV$24:$BF$34,M30+1))*V31</f>
        <v>2.509802182142959E-4</v>
      </c>
      <c r="AL30" s="28">
        <v>5</v>
      </c>
      <c r="AM30" s="79">
        <f>((($W$25)^Q30)*((1-($W$25))^($U$32-Q30))*HLOOKUP($U$32,$AV$24:$BF$34,Q30+1))*V32</f>
        <v>2.8958550914636577E-4</v>
      </c>
      <c r="AN30" s="28">
        <v>5</v>
      </c>
      <c r="AO30" s="79">
        <f>((($W$25)^Q30)*((1-($W$25))^($U$33-Q30))*HLOOKUP($U$33,$AV$24:$BF$34,Q30+1))*V33</f>
        <v>1.6870219482456995E-4</v>
      </c>
      <c r="AP30" s="28">
        <v>5</v>
      </c>
      <c r="AQ30" s="79">
        <f>((($W$25)^Q30)*((1-($W$25))^($U$34-Q30))*HLOOKUP($U$34,$AV$24:$BF$34,Q30+1))*V34</f>
        <v>5.0314946045783534E-5</v>
      </c>
      <c r="AR30" s="28">
        <v>5</v>
      </c>
      <c r="AS30" s="79">
        <f>((($W$25)^Q30)*((1-($W$25))^($U$35-Q30))*HLOOKUP($U$35,$AV$24:$BF$34,Q30+1))*V35</f>
        <v>6.6602371986527607E-6</v>
      </c>
      <c r="AV30" s="29">
        <v>6</v>
      </c>
      <c r="BB30">
        <v>1</v>
      </c>
      <c r="BC30">
        <v>7</v>
      </c>
      <c r="BD30">
        <f>28</f>
        <v>28</v>
      </c>
      <c r="BE30">
        <f>56+28</f>
        <v>84</v>
      </c>
      <c r="BF30">
        <f t="shared" si="14"/>
        <v>210</v>
      </c>
      <c r="BH30">
        <f t="shared" si="8"/>
        <v>2</v>
      </c>
      <c r="BI30">
        <v>10</v>
      </c>
      <c r="BJ30" s="107">
        <f t="shared" si="9"/>
        <v>2.1290016191469657E-7</v>
      </c>
      <c r="BP30">
        <f>BL10+1</f>
        <v>7</v>
      </c>
      <c r="BQ30">
        <v>6</v>
      </c>
      <c r="BR30" s="107">
        <f t="shared" si="10"/>
        <v>6.9738842497822207E-7</v>
      </c>
    </row>
    <row r="31" spans="1:70" x14ac:dyDescent="0.25">
      <c r="A31" s="189" t="s">
        <v>68</v>
      </c>
      <c r="B31" s="60">
        <f>(B25*D25)+(B26*D26)+(B27*D27)+(B28*D28)+(B29*D29)+(B30*D30)/(B25+B26+B27+B28+B29+B30)</f>
        <v>0.20970463539772016</v>
      </c>
      <c r="C31" s="61">
        <f>(C25*E25)+(C26*E26)+(C27*E27)+(C28*E28)+(C29*E29)+(C30*E30)/(C25+C26+C27+C28+C29+C30)</f>
        <v>0.22182328528197179</v>
      </c>
      <c r="G31" s="87">
        <v>6</v>
      </c>
      <c r="H31" s="128">
        <f>J31*L25+J30*L26+J29*L27+J28*L28</f>
        <v>1.292065323352671E-3</v>
      </c>
      <c r="I31" s="93">
        <v>6</v>
      </c>
      <c r="J31" s="86">
        <f t="shared" si="11"/>
        <v>6.9469381666197434E-5</v>
      </c>
      <c r="K31" s="93">
        <v>6</v>
      </c>
      <c r="L31" s="86"/>
      <c r="M31" s="85"/>
      <c r="N31" s="73"/>
      <c r="O31" s="37"/>
      <c r="P31" s="37"/>
      <c r="Q31" s="28">
        <v>6</v>
      </c>
      <c r="R31" s="37">
        <f>P26*N30+P27*N29+P28*N28+P29*N27+P30*N26</f>
        <v>0.12879942152320448</v>
      </c>
      <c r="S31" s="70">
        <v>6</v>
      </c>
      <c r="T31" s="135">
        <f t="shared" si="13"/>
        <v>0</v>
      </c>
      <c r="U31" s="93">
        <v>6</v>
      </c>
      <c r="V31" s="86">
        <f>T31*R25+T30*R26+T29*R27+T28*R28+T27*R29+T26*R30+T25*R31</f>
        <v>0.13051446743148007</v>
      </c>
      <c r="W31" s="137"/>
      <c r="X31" s="28">
        <v>6</v>
      </c>
      <c r="Y31" s="73"/>
      <c r="Z31" s="28">
        <v>6</v>
      </c>
      <c r="AA31" s="79"/>
      <c r="AB31" s="28">
        <v>6</v>
      </c>
      <c r="AC31" s="79"/>
      <c r="AD31" s="28">
        <v>6</v>
      </c>
      <c r="AE31" s="79"/>
      <c r="AF31" s="28">
        <v>6</v>
      </c>
      <c r="AG31" s="79"/>
      <c r="AH31" s="28">
        <v>6</v>
      </c>
      <c r="AI31" s="79"/>
      <c r="AJ31" s="28">
        <v>6</v>
      </c>
      <c r="AK31" s="79">
        <f>((($W$25)^Q31)*((1-($W$25))^($U$31-Q31))*HLOOKUP($U$31,$AV$24:$BF$34,Q31+1))*V31</f>
        <v>1.1099587468616103E-5</v>
      </c>
      <c r="AL31" s="28">
        <v>6</v>
      </c>
      <c r="AM31" s="79">
        <f>((($W$25)^Q31)*((1-($W$25))^($U$32-Q31))*HLOOKUP($U$32,$AV$24:$BF$34,Q31+1))*V32</f>
        <v>2.5613809018759794E-5</v>
      </c>
      <c r="AN31" s="28">
        <v>6</v>
      </c>
      <c r="AO31" s="79">
        <f>((($W$25)^Q31)*((1-($W$25))^($U$33-Q31))*HLOOKUP($U$33,$AV$24:$BF$34,Q31+1))*V33</f>
        <v>2.2382538125024664E-5</v>
      </c>
      <c r="AP31" s="28">
        <v>6</v>
      </c>
      <c r="AQ31" s="79">
        <f>((($W$25)^Q31)*((1-($W$25))^($U$34-Q31))*HLOOKUP($U$34,$AV$24:$BF$34,Q31+1))*V34</f>
        <v>8.9007037859378762E-6</v>
      </c>
      <c r="AR31" s="28">
        <v>6</v>
      </c>
      <c r="AS31" s="79">
        <f>((($W$25)^Q31)*((1-($W$25))^($U$35-Q31))*HLOOKUP($U$35,$AV$24:$BF$34,Q31+1))*V35</f>
        <v>1.472743267858992E-6</v>
      </c>
      <c r="AV31" s="14">
        <v>7</v>
      </c>
      <c r="BC31">
        <v>1</v>
      </c>
      <c r="BD31">
        <v>8</v>
      </c>
      <c r="BE31">
        <f>28+8</f>
        <v>36</v>
      </c>
      <c r="BF31">
        <f t="shared" si="14"/>
        <v>120</v>
      </c>
      <c r="BH31">
        <f t="shared" ref="BH31:BH37" si="15">BH24+1</f>
        <v>3</v>
      </c>
      <c r="BI31">
        <v>4</v>
      </c>
      <c r="BJ31" s="107">
        <f t="shared" ref="BJ31:BJ37" si="16">$H$28*H43</f>
        <v>1.0963037907753995E-2</v>
      </c>
      <c r="BP31">
        <f t="shared" ref="BP31:BP37" si="17">BP24+1</f>
        <v>8</v>
      </c>
      <c r="BQ31">
        <v>0</v>
      </c>
      <c r="BR31" s="107">
        <f t="shared" ref="BR31:BR38" si="18">$H$33*H39</f>
        <v>1.4800167270630064E-6</v>
      </c>
    </row>
    <row r="32" spans="1:70" x14ac:dyDescent="0.25">
      <c r="A32" s="26" t="s">
        <v>137</v>
      </c>
      <c r="B32" s="75">
        <f>IF(B17&lt;&gt;"TL",0.001,IF(B18&lt;5,0.1,IF(B18&lt;10,0.2,IF(B18&lt;14,0.3,0.35))))</f>
        <v>0.35</v>
      </c>
      <c r="C32" s="58">
        <f>IF(C17&lt;&gt;"TL",0.001,IF(C18&lt;5,0.1,IF(C18&lt;10,0.2,IF(C18&lt;14,0.3,0.35))))</f>
        <v>1E-3</v>
      </c>
      <c r="G32" s="87">
        <v>7</v>
      </c>
      <c r="H32" s="128">
        <f>J32*L25+J31*L26+J30*L27+J29*L28</f>
        <v>1.397354398974648E-4</v>
      </c>
      <c r="I32" s="93">
        <v>7</v>
      </c>
      <c r="J32" s="86">
        <f t="shared" si="11"/>
        <v>3.9033687058045391E-6</v>
      </c>
      <c r="K32" s="93">
        <v>7</v>
      </c>
      <c r="L32" s="86"/>
      <c r="M32" s="85"/>
      <c r="N32" s="73"/>
      <c r="O32" s="37"/>
      <c r="P32" s="37"/>
      <c r="Q32" s="28">
        <v>7</v>
      </c>
      <c r="R32" s="37">
        <f>P27*N30+P28*N29+P29*N28+P30*N27</f>
        <v>5.2923529636189334E-2</v>
      </c>
      <c r="S32" s="72">
        <v>7</v>
      </c>
      <c r="T32" s="135">
        <f t="shared" si="13"/>
        <v>0</v>
      </c>
      <c r="U32" s="93">
        <v>7</v>
      </c>
      <c r="V32" s="86">
        <f>T32*R25+T31*R26+T30*R27+T29*R28+T28*R29+T27*R30+T26*R31+T25*R32</f>
        <v>5.4442556436520545E-2</v>
      </c>
      <c r="W32" s="137"/>
      <c r="X32" s="28">
        <v>7</v>
      </c>
      <c r="Y32" s="73"/>
      <c r="Z32" s="28">
        <v>7</v>
      </c>
      <c r="AA32" s="79"/>
      <c r="AB32" s="28">
        <v>7</v>
      </c>
      <c r="AC32" s="79"/>
      <c r="AD32" s="28">
        <v>7</v>
      </c>
      <c r="AE32" s="79"/>
      <c r="AF32" s="28">
        <v>7</v>
      </c>
      <c r="AG32" s="79"/>
      <c r="AH32" s="28">
        <v>7</v>
      </c>
      <c r="AI32" s="79"/>
      <c r="AJ32" s="28">
        <v>7</v>
      </c>
      <c r="AK32" s="79"/>
      <c r="AL32" s="28">
        <v>7</v>
      </c>
      <c r="AM32" s="79">
        <f>((($W$25)^Q32)*((1-($W$25))^($U$32-Q32))*HLOOKUP($U$32,$AV$24:$BF$34,Q32+1))*V32</f>
        <v>9.7094520822947708E-7</v>
      </c>
      <c r="AN32" s="28">
        <v>7</v>
      </c>
      <c r="AO32" s="79">
        <f>((($W$25)^Q32)*((1-($W$25))^($U$33-Q32))*HLOOKUP($U$33,$AV$24:$BF$34,Q32+1))*V33</f>
        <v>1.6969142016003483E-6</v>
      </c>
      <c r="AP32" s="28">
        <v>7</v>
      </c>
      <c r="AQ32" s="79">
        <f>((($W$25)^Q32)*((1-($W$25))^($U$34-Q32))*HLOOKUP($U$34,$AV$24:$BF$34,Q32+1))*V34</f>
        <v>1.0121995933322681E-6</v>
      </c>
      <c r="AR32" s="28">
        <v>7</v>
      </c>
      <c r="AS32" s="79">
        <f>((($W$25)^Q32)*((1-($W$25))^($U$35-Q32))*HLOOKUP($U$35,$AV$24:$BF$34,Q32+1))*V35</f>
        <v>2.2330970264244554E-7</v>
      </c>
      <c r="AV32" s="14">
        <v>8</v>
      </c>
      <c r="BD32">
        <v>1</v>
      </c>
      <c r="BE32">
        <v>9</v>
      </c>
      <c r="BF32">
        <f t="shared" si="14"/>
        <v>45</v>
      </c>
      <c r="BH32">
        <f t="shared" si="15"/>
        <v>3</v>
      </c>
      <c r="BI32">
        <v>5</v>
      </c>
      <c r="BJ32" s="107">
        <f t="shared" si="16"/>
        <v>3.2876520684226008E-3</v>
      </c>
      <c r="BP32">
        <f t="shared" si="17"/>
        <v>8</v>
      </c>
      <c r="BQ32">
        <v>1</v>
      </c>
      <c r="BR32" s="107">
        <f t="shared" si="18"/>
        <v>3.2713203798427159E-6</v>
      </c>
    </row>
    <row r="33" spans="1:70" x14ac:dyDescent="0.25">
      <c r="A33" s="26" t="s">
        <v>84</v>
      </c>
      <c r="B33" s="75">
        <f>IF(B17&lt;&gt;"CA",0.005,IF((B18-B16)&lt;0,0.1,0.1+0.055*(B18-B16)))</f>
        <v>5.0000000000000001E-3</v>
      </c>
      <c r="C33" s="58">
        <f>IF(C17&lt;&gt;"CA",0.005,IF((C18-C16)&lt;0,0.1,0.1+0.055*(C18-C16)))</f>
        <v>5.0000000000000001E-3</v>
      </c>
      <c r="G33" s="87">
        <v>8</v>
      </c>
      <c r="H33" s="128">
        <f>J33*L25+J32*L26+J31*L27+J30*L28</f>
        <v>1.1214374364131445E-5</v>
      </c>
      <c r="I33" s="93">
        <v>8</v>
      </c>
      <c r="J33" s="86">
        <f t="shared" si="11"/>
        <v>1.4565185813002864E-7</v>
      </c>
      <c r="K33" s="93">
        <v>8</v>
      </c>
      <c r="L33" s="86"/>
      <c r="M33" s="85"/>
      <c r="N33" s="73"/>
      <c r="O33" s="37"/>
      <c r="P33" s="37"/>
      <c r="Q33" s="28">
        <v>8</v>
      </c>
      <c r="R33" s="37">
        <f>P28*N30+P29*N29+P30*N28</f>
        <v>1.4270953985226176E-2</v>
      </c>
      <c r="S33" s="72">
        <v>8</v>
      </c>
      <c r="T33" s="135">
        <f t="shared" si="13"/>
        <v>0</v>
      </c>
      <c r="U33" s="93">
        <v>8</v>
      </c>
      <c r="V33" s="86">
        <f>T33*R25+T32*R26+T31*R27+T30*R28+T29*R29+T28*R30+T27*R31+T26*R32+T25*R33</f>
        <v>1.5049575495535251E-2</v>
      </c>
      <c r="W33" s="137"/>
      <c r="X33" s="28">
        <v>8</v>
      </c>
      <c r="Y33" s="73"/>
      <c r="Z33" s="28">
        <v>8</v>
      </c>
      <c r="AA33" s="79"/>
      <c r="AB33" s="28">
        <v>8</v>
      </c>
      <c r="AC33" s="79"/>
      <c r="AD33" s="28">
        <v>8</v>
      </c>
      <c r="AE33" s="79"/>
      <c r="AF33" s="28">
        <v>8</v>
      </c>
      <c r="AG33" s="79"/>
      <c r="AH33" s="28">
        <v>8</v>
      </c>
      <c r="AI33" s="79"/>
      <c r="AJ33" s="28">
        <v>8</v>
      </c>
      <c r="AK33" s="79"/>
      <c r="AL33" s="28">
        <v>8</v>
      </c>
      <c r="AM33" s="79"/>
      <c r="AN33" s="28">
        <v>8</v>
      </c>
      <c r="AO33" s="79">
        <f>((($W$25)^Q33)*((1-($W$25))^($U$33-Q33))*HLOOKUP($U$33,$AV$24:$BF$34,Q33+1))*V33</f>
        <v>5.6284458616130518E-8</v>
      </c>
      <c r="AP33" s="28">
        <v>8</v>
      </c>
      <c r="AQ33" s="79">
        <f>((($W$25)^Q33)*((1-($W$25))^($U$34-Q33))*HLOOKUP($U$34,$AV$24:$BF$34,Q33+1))*V34</f>
        <v>6.7146713803732825E-8</v>
      </c>
      <c r="AR33" s="28">
        <v>8</v>
      </c>
      <c r="AS33" s="79">
        <f>((($W$25)^Q33)*((1-($W$25))^($U$35-Q33))*HLOOKUP($U$35,$AV$24:$BF$34,Q33+1))*V35</f>
        <v>2.2220685710165297E-8</v>
      </c>
      <c r="AV33" s="29">
        <v>9</v>
      </c>
      <c r="BE33">
        <v>1</v>
      </c>
      <c r="BF33">
        <f t="shared" si="14"/>
        <v>10</v>
      </c>
      <c r="BH33">
        <f t="shared" si="15"/>
        <v>3</v>
      </c>
      <c r="BI33">
        <v>6</v>
      </c>
      <c r="BJ33" s="107">
        <f t="shared" si="16"/>
        <v>7.3231837013862985E-4</v>
      </c>
      <c r="BP33">
        <f t="shared" si="17"/>
        <v>8</v>
      </c>
      <c r="BQ33">
        <v>2</v>
      </c>
      <c r="BR33" s="107">
        <f t="shared" si="18"/>
        <v>3.2935752914825389E-6</v>
      </c>
    </row>
    <row r="34" spans="1:70" x14ac:dyDescent="0.25">
      <c r="A34" s="40" t="s">
        <v>86</v>
      </c>
      <c r="B34" s="56">
        <f>B23*2</f>
        <v>4.1829111200036975</v>
      </c>
      <c r="C34" s="57">
        <f>C23*2</f>
        <v>5.8170888799963025</v>
      </c>
      <c r="G34" s="87">
        <v>9</v>
      </c>
      <c r="H34" s="128">
        <f>J34*L25+J33*L26+J32*L27+J31*L28</f>
        <v>6.6323184662914851E-7</v>
      </c>
      <c r="I34" s="93">
        <v>9</v>
      </c>
      <c r="J34" s="86">
        <f t="shared" si="11"/>
        <v>3.2899849536941987E-9</v>
      </c>
      <c r="K34" s="93">
        <v>9</v>
      </c>
      <c r="L34" s="86"/>
      <c r="M34" s="85"/>
      <c r="N34" s="73"/>
      <c r="O34" s="37"/>
      <c r="P34" s="37"/>
      <c r="Q34" s="28">
        <v>9</v>
      </c>
      <c r="R34" s="37">
        <f>P29*N30+P30*N29</f>
        <v>2.2804125854901879E-3</v>
      </c>
      <c r="S34" s="72">
        <v>9</v>
      </c>
      <c r="T34" s="135">
        <f t="shared" si="13"/>
        <v>0</v>
      </c>
      <c r="U34" s="93">
        <v>9</v>
      </c>
      <c r="V34" s="86">
        <f>T34*R25+T33*R26+T32*R27+T31*R28+T30*R29+T29*R30+T28*R31+T27*R32+T26*R33+T25*R34</f>
        <v>2.5242279758151791E-3</v>
      </c>
      <c r="W34" s="137"/>
      <c r="X34" s="28">
        <v>9</v>
      </c>
      <c r="Y34" s="73"/>
      <c r="Z34" s="28">
        <v>9</v>
      </c>
      <c r="AA34" s="79"/>
      <c r="AB34" s="28">
        <v>9</v>
      </c>
      <c r="AC34" s="79"/>
      <c r="AD34" s="28">
        <v>9</v>
      </c>
      <c r="AE34" s="79"/>
      <c r="AF34" s="28">
        <v>9</v>
      </c>
      <c r="AG34" s="79"/>
      <c r="AH34" s="28">
        <v>9</v>
      </c>
      <c r="AI34" s="79"/>
      <c r="AJ34" s="28">
        <v>9</v>
      </c>
      <c r="AK34" s="79"/>
      <c r="AL34" s="28">
        <v>9</v>
      </c>
      <c r="AM34" s="79"/>
      <c r="AN34" s="28">
        <v>9</v>
      </c>
      <c r="AO34" s="79"/>
      <c r="AP34" s="28">
        <v>9</v>
      </c>
      <c r="AQ34" s="79">
        <f>((($W$25)^Q34)*((1-($W$25))^($U$34-Q34))*HLOOKUP($U$34,$AV$24:$BF$34,Q34+1))*V34</f>
        <v>1.9797066833857008E-9</v>
      </c>
      <c r="AR34" s="28">
        <v>9</v>
      </c>
      <c r="AS34" s="79">
        <f>((($W$25)^Q34)*((1-($W$25))^($U$35-Q34))*HLOOKUP($U$35,$AV$24:$BF$34,Q34+1))*V35</f>
        <v>1.3102782703084977E-9</v>
      </c>
      <c r="AV34" s="14">
        <v>10</v>
      </c>
      <c r="BF34">
        <f t="shared" si="14"/>
        <v>1</v>
      </c>
      <c r="BH34">
        <f t="shared" si="15"/>
        <v>3</v>
      </c>
      <c r="BI34">
        <v>7</v>
      </c>
      <c r="BJ34" s="107">
        <f t="shared" si="16"/>
        <v>1.2279517544483897E-4</v>
      </c>
      <c r="BP34">
        <f t="shared" si="17"/>
        <v>8</v>
      </c>
      <c r="BQ34">
        <v>3</v>
      </c>
      <c r="BR34" s="107">
        <f t="shared" si="18"/>
        <v>2.0136756782164639E-6</v>
      </c>
    </row>
    <row r="35" spans="1:70" ht="15.75" thickBot="1" x14ac:dyDescent="0.3">
      <c r="G35" s="88">
        <v>10</v>
      </c>
      <c r="H35" s="129">
        <f>J35*L25+J34*L26+J33*L27+J32*L28</f>
        <v>2.8242461556234506E-8</v>
      </c>
      <c r="I35" s="94">
        <v>10</v>
      </c>
      <c r="J35" s="89">
        <f t="shared" si="11"/>
        <v>3.4768194177993064E-11</v>
      </c>
      <c r="K35" s="94">
        <v>10</v>
      </c>
      <c r="L35" s="89"/>
      <c r="M35" s="85"/>
      <c r="N35" s="73"/>
      <c r="O35" s="37"/>
      <c r="P35" s="37"/>
      <c r="Q35" s="28">
        <v>10</v>
      </c>
      <c r="R35" s="37">
        <f>P30*N30</f>
        <v>1.6397829496545962E-4</v>
      </c>
      <c r="S35" s="72">
        <v>10</v>
      </c>
      <c r="T35" s="135">
        <f t="shared" si="13"/>
        <v>0</v>
      </c>
      <c r="U35" s="94">
        <v>10</v>
      </c>
      <c r="V35" s="89">
        <f>IF(((T35*R25+T34*R26+T33*R27+T32*R28+T31*R29+T30*R30+T29*R31+T28*R32+T27*R33+T26*R34+T25*R35)+V23)&lt;&gt;1,1-V23,(T35*R25+T34*R26+T33*R27+T32*R28+T31*R29+T30*R30+T29*R31+T28*R32+T27*R33+T26*R34+T25*R35))</f>
        <v>2.1139846550322083E-4</v>
      </c>
      <c r="W35" s="137"/>
      <c r="X35" s="28">
        <v>10</v>
      </c>
      <c r="Y35" s="73"/>
      <c r="Z35" s="28">
        <v>10</v>
      </c>
      <c r="AA35" s="79"/>
      <c r="AB35" s="28">
        <v>10</v>
      </c>
      <c r="AC35" s="79"/>
      <c r="AD35" s="28">
        <v>10</v>
      </c>
      <c r="AE35" s="79"/>
      <c r="AF35" s="28">
        <v>10</v>
      </c>
      <c r="AG35" s="79"/>
      <c r="AH35" s="28">
        <v>10</v>
      </c>
      <c r="AI35" s="79"/>
      <c r="AJ35" s="28">
        <v>10</v>
      </c>
      <c r="AK35" s="79"/>
      <c r="AL35" s="28">
        <v>10</v>
      </c>
      <c r="AM35" s="79"/>
      <c r="AN35" s="28">
        <v>10</v>
      </c>
      <c r="AO35" s="79"/>
      <c r="AP35" s="28">
        <v>10</v>
      </c>
      <c r="AQ35" s="79"/>
      <c r="AR35" s="28">
        <v>10</v>
      </c>
      <c r="AS35" s="79">
        <f>((($W$25)^Q35)*((1-($W$25))^($U$35-Q35))*HLOOKUP($U$35,$AV$24:$BF$34,Q35+1))*V35</f>
        <v>3.4768194177993064E-11</v>
      </c>
      <c r="BH35">
        <f t="shared" si="15"/>
        <v>3</v>
      </c>
      <c r="BI35">
        <v>8</v>
      </c>
      <c r="BJ35" s="107">
        <f t="shared" si="16"/>
        <v>1.5506865455422792E-5</v>
      </c>
      <c r="BP35">
        <f t="shared" si="17"/>
        <v>8</v>
      </c>
      <c r="BQ35">
        <v>4</v>
      </c>
      <c r="BR35" s="107">
        <f t="shared" si="18"/>
        <v>8.378653017860457E-7</v>
      </c>
    </row>
    <row r="36" spans="1:70" x14ac:dyDescent="0.25">
      <c r="A36" s="1"/>
      <c r="B36" s="108">
        <f>SUM(B37:B39)</f>
        <v>0.99999993858347014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59">
        <f>SUM(V39:V49)</f>
        <v>1</v>
      </c>
      <c r="W36" s="13"/>
      <c r="X36" s="13"/>
      <c r="AS36" s="82">
        <f>Y37+AA37+AC37+AE37+AG37+AI37+AK37+AM37+AO37+AQ37+AS37</f>
        <v>0.99999999999999978</v>
      </c>
      <c r="BH36">
        <f t="shared" si="15"/>
        <v>3</v>
      </c>
      <c r="BI36">
        <v>9</v>
      </c>
      <c r="BJ36" s="107">
        <f t="shared" si="16"/>
        <v>1.4568768119557922E-6</v>
      </c>
      <c r="BP36">
        <f t="shared" si="17"/>
        <v>8</v>
      </c>
      <c r="BQ36">
        <v>5</v>
      </c>
      <c r="BR36" s="107">
        <f t="shared" si="18"/>
        <v>2.5126334649706218E-7</v>
      </c>
    </row>
    <row r="37" spans="1:70" ht="15.75" thickBot="1" x14ac:dyDescent="0.3">
      <c r="A37" s="109" t="s">
        <v>104</v>
      </c>
      <c r="B37" s="107">
        <f>SUM(BN4:BN14)</f>
        <v>0.24375022492280413</v>
      </c>
      <c r="G37" s="13"/>
      <c r="H37" s="59">
        <f>SUM(H39:H49)</f>
        <v>0.99999996766576582</v>
      </c>
      <c r="I37" s="13"/>
      <c r="J37" s="59">
        <f>SUM(J39:J49)</f>
        <v>1</v>
      </c>
      <c r="K37" s="59"/>
      <c r="L37" s="59">
        <f>SUM(L39:L49)</f>
        <v>1</v>
      </c>
      <c r="M37" s="13"/>
      <c r="N37" s="74">
        <f>SUM(N39:N49)</f>
        <v>1</v>
      </c>
      <c r="O37" s="13"/>
      <c r="P37" s="74">
        <f>SUM(P39:P49)</f>
        <v>1</v>
      </c>
      <c r="Q37" s="13"/>
      <c r="R37" s="59">
        <f>SUM(R39:R49)</f>
        <v>1</v>
      </c>
      <c r="S37" s="13"/>
      <c r="T37" s="59">
        <f>SUM(T39:T49)</f>
        <v>1</v>
      </c>
      <c r="U37" s="13"/>
      <c r="V37" s="59">
        <f>SUM(V39:V48)</f>
        <v>0.99507943547844246</v>
      </c>
      <c r="W37" s="13"/>
      <c r="X37" s="13"/>
      <c r="Y37" s="80">
        <f>SUM(Y39:Y49)</f>
        <v>1.6153089841581327E-4</v>
      </c>
      <c r="Z37" s="81"/>
      <c r="AA37" s="80">
        <f>SUM(AA39:AA49)</f>
        <v>2.2488122817722715E-3</v>
      </c>
      <c r="AB37" s="81"/>
      <c r="AC37" s="80">
        <f>SUM(AC39:AC49)</f>
        <v>1.4091835432056938E-2</v>
      </c>
      <c r="AD37" s="81"/>
      <c r="AE37" s="80">
        <f>SUM(AE39:AE49)</f>
        <v>5.2345738555502827E-2</v>
      </c>
      <c r="AF37" s="81"/>
      <c r="AG37" s="80">
        <f>SUM(AG39:AG49)</f>
        <v>0.12766407357345666</v>
      </c>
      <c r="AH37" s="81"/>
      <c r="AI37" s="80">
        <f>SUM(AI39:AI49)</f>
        <v>0.21365109092192627</v>
      </c>
      <c r="AJ37" s="81"/>
      <c r="AK37" s="80">
        <f>SUM(AK39:AK49)</f>
        <v>0.2485805312787599</v>
      </c>
      <c r="AL37" s="81"/>
      <c r="AM37" s="80">
        <f>SUM(AM39:AM49)</f>
        <v>0.19871150190441825</v>
      </c>
      <c r="AN37" s="81"/>
      <c r="AO37" s="80">
        <f>SUM(AO39:AO49)</f>
        <v>0.10464975128995825</v>
      </c>
      <c r="AP37" s="81"/>
      <c r="AQ37" s="80">
        <f>SUM(AQ39:AQ49)</f>
        <v>3.2974569342175152E-2</v>
      </c>
      <c r="AR37" s="81"/>
      <c r="AS37" s="80">
        <f>SUM(AS39:AS49)</f>
        <v>4.9205645215575347E-3</v>
      </c>
      <c r="BH37">
        <f t="shared" si="15"/>
        <v>3</v>
      </c>
      <c r="BI37">
        <v>10</v>
      </c>
      <c r="BJ37" s="107">
        <f t="shared" si="16"/>
        <v>9.9002328296665508E-8</v>
      </c>
      <c r="BP37">
        <f t="shared" si="17"/>
        <v>8</v>
      </c>
      <c r="BQ37">
        <v>6</v>
      </c>
      <c r="BR37" s="107">
        <f t="shared" si="18"/>
        <v>5.5968442083529529E-8</v>
      </c>
    </row>
    <row r="38" spans="1:70" ht="15.75" thickBot="1" x14ac:dyDescent="0.3">
      <c r="A38" s="110" t="s">
        <v>105</v>
      </c>
      <c r="B38" s="107">
        <f>SUM(BJ4:BJ59)</f>
        <v>0.42124045890314737</v>
      </c>
      <c r="G38" s="103" t="str">
        <f t="shared" ref="G38:T38" si="19">G24</f>
        <v>G</v>
      </c>
      <c r="H38" s="104" t="str">
        <f t="shared" si="19"/>
        <v>p</v>
      </c>
      <c r="I38" s="103" t="str">
        <f t="shared" si="19"/>
        <v>GT</v>
      </c>
      <c r="J38" s="105" t="str">
        <f t="shared" si="19"/>
        <v>p(x)</v>
      </c>
      <c r="K38" s="106" t="str">
        <f t="shared" si="19"/>
        <v>EE(x)</v>
      </c>
      <c r="L38" s="105" t="str">
        <f t="shared" si="19"/>
        <v>p</v>
      </c>
      <c r="M38" s="90" t="str">
        <f t="shared" si="19"/>
        <v>OcaS</v>
      </c>
      <c r="N38" s="30" t="str">
        <f t="shared" si="19"/>
        <v>P</v>
      </c>
      <c r="O38" s="30" t="str">
        <f t="shared" si="19"/>
        <v>O_CA</v>
      </c>
      <c r="P38" s="30" t="str">
        <f t="shared" si="19"/>
        <v>p</v>
      </c>
      <c r="Q38" s="30" t="str">
        <f t="shared" si="19"/>
        <v>TotalN</v>
      </c>
      <c r="R38" s="30" t="str">
        <f t="shared" si="19"/>
        <v>p</v>
      </c>
      <c r="S38" s="30" t="str">
        <f t="shared" si="19"/>
        <v>OcaCA</v>
      </c>
      <c r="T38" s="141" t="str">
        <f t="shared" si="19"/>
        <v>p</v>
      </c>
      <c r="U38" s="142" t="str">
        <f>U24</f>
        <v>Total</v>
      </c>
      <c r="V38" s="143" t="str">
        <f>V24</f>
        <v>P</v>
      </c>
      <c r="W38" s="90" t="str">
        <f>W24</f>
        <v>E(x)</v>
      </c>
      <c r="X38" s="30" t="str">
        <f t="shared" ref="X38" si="20">X24</f>
        <v>G0</v>
      </c>
      <c r="Y38" s="30" t="str">
        <f>Y24</f>
        <v>p</v>
      </c>
      <c r="Z38" s="30" t="str">
        <f t="shared" ref="Z38" si="21">Z24</f>
        <v>G1</v>
      </c>
      <c r="AA38" s="30" t="str">
        <f>AA24</f>
        <v>p</v>
      </c>
      <c r="AB38" s="30" t="str">
        <f t="shared" ref="AB38" si="22">AB24</f>
        <v>G2</v>
      </c>
      <c r="AC38" s="30" t="str">
        <f>AC24</f>
        <v>p</v>
      </c>
      <c r="AD38" s="30" t="str">
        <f t="shared" ref="AD38" si="23">AD24</f>
        <v>G3</v>
      </c>
      <c r="AE38" s="30" t="str">
        <f>AE24</f>
        <v>p</v>
      </c>
      <c r="AF38" s="30" t="str">
        <f t="shared" ref="AF38" si="24">AF24</f>
        <v>G4</v>
      </c>
      <c r="AG38" s="30" t="str">
        <f>AG24</f>
        <v>p</v>
      </c>
      <c r="AH38" s="30" t="str">
        <f t="shared" ref="AH38" si="25">AH24</f>
        <v>G5</v>
      </c>
      <c r="AI38" s="30" t="str">
        <f>AI24</f>
        <v>p</v>
      </c>
      <c r="AJ38" s="30" t="str">
        <f t="shared" ref="AJ38" si="26">AJ24</f>
        <v>G6</v>
      </c>
      <c r="AK38" s="30" t="str">
        <f>AK24</f>
        <v>p</v>
      </c>
      <c r="AL38" s="30" t="str">
        <f t="shared" ref="AL38" si="27">AL24</f>
        <v>G7</v>
      </c>
      <c r="AM38" s="30" t="str">
        <f>AM24</f>
        <v>p</v>
      </c>
      <c r="AN38" s="30" t="str">
        <f t="shared" ref="AN38" si="28">AN24</f>
        <v>G8</v>
      </c>
      <c r="AO38" s="30" t="str">
        <f>AO24</f>
        <v>p</v>
      </c>
      <c r="AP38" s="30" t="str">
        <f t="shared" ref="AP38" si="29">AP24</f>
        <v>G9</v>
      </c>
      <c r="AQ38" s="30" t="str">
        <f>AQ24</f>
        <v>p</v>
      </c>
      <c r="AR38" s="30" t="str">
        <f t="shared" ref="AR38" si="30">AR24</f>
        <v>G10</v>
      </c>
      <c r="AS38" s="30" t="str">
        <f>AS24</f>
        <v>p</v>
      </c>
      <c r="AV38" s="14">
        <v>0</v>
      </c>
      <c r="AW38" s="14">
        <v>1</v>
      </c>
      <c r="AX38" s="14">
        <v>2</v>
      </c>
      <c r="AY38" s="14">
        <v>3</v>
      </c>
      <c r="AZ38" s="14">
        <v>4</v>
      </c>
      <c r="BA38" s="14">
        <v>5</v>
      </c>
      <c r="BB38" s="14">
        <v>6</v>
      </c>
      <c r="BC38" s="14">
        <v>7</v>
      </c>
      <c r="BD38" s="14">
        <v>8</v>
      </c>
      <c r="BE38" s="14">
        <v>9</v>
      </c>
      <c r="BF38" s="14">
        <v>10</v>
      </c>
      <c r="BH38">
        <f t="shared" ref="BH38:BH43" si="31">BH32+1</f>
        <v>4</v>
      </c>
      <c r="BI38">
        <v>5</v>
      </c>
      <c r="BJ38" s="107">
        <f t="shared" ref="BJ38:BJ43" si="32">$H$29*H44</f>
        <v>9.6960894600603615E-4</v>
      </c>
      <c r="BP38">
        <f>BL11+1</f>
        <v>8</v>
      </c>
      <c r="BQ38">
        <v>7</v>
      </c>
      <c r="BR38" s="107">
        <f t="shared" si="18"/>
        <v>9.3847907484832118E-9</v>
      </c>
    </row>
    <row r="39" spans="1:70" x14ac:dyDescent="0.25">
      <c r="A39" s="111" t="s">
        <v>0</v>
      </c>
      <c r="B39" s="107">
        <f>SUM(BR4:BR47)</f>
        <v>0.33500925475751858</v>
      </c>
      <c r="G39" s="130">
        <v>0</v>
      </c>
      <c r="H39" s="131">
        <f>L39*J39</f>
        <v>0.13197497060529367</v>
      </c>
      <c r="I39" s="97">
        <v>0</v>
      </c>
      <c r="J39" s="98">
        <f t="shared" ref="J39:J49" si="33">Y39+AA39+AC39+AE39+AG39+AI39+AK39+AM39+AO39+AQ39+AS39</f>
        <v>0.25035454277669872</v>
      </c>
      <c r="K39" s="102">
        <v>0</v>
      </c>
      <c r="L39" s="98">
        <f>AC21</f>
        <v>0.52715229027422705</v>
      </c>
      <c r="M39" s="84">
        <v>0</v>
      </c>
      <c r="N39" s="71">
        <f>(1-$C$24)^$B$21</f>
        <v>1.2805401007600645E-2</v>
      </c>
      <c r="O39" s="70">
        <v>0</v>
      </c>
      <c r="P39" s="71">
        <f>N39</f>
        <v>1.2805401007600645E-2</v>
      </c>
      <c r="Q39" s="12">
        <v>0</v>
      </c>
      <c r="R39" s="73">
        <f>P39*N39</f>
        <v>1.6397829496545962E-4</v>
      </c>
      <c r="S39" s="70">
        <v>0</v>
      </c>
      <c r="T39" s="135">
        <f>(1-$C$33)^(INT(B23*2*(1-B31)))</f>
        <v>0.98507487500000002</v>
      </c>
      <c r="U39" s="140">
        <v>0</v>
      </c>
      <c r="V39" s="86">
        <f>R39*T39</f>
        <v>1.6153089841581327E-4</v>
      </c>
      <c r="W39" s="136">
        <f>C31</f>
        <v>0.22182328528197179</v>
      </c>
      <c r="X39" s="12">
        <v>0</v>
      </c>
      <c r="Y39" s="79">
        <f>V39</f>
        <v>1.6153089841581327E-4</v>
      </c>
      <c r="Z39" s="12">
        <v>0</v>
      </c>
      <c r="AA39" s="78">
        <f>((1-W39)^Z40)*V40</f>
        <v>1.749973353447099E-3</v>
      </c>
      <c r="AB39" s="12">
        <v>0</v>
      </c>
      <c r="AC39" s="79">
        <f>(((1-$W$39)^AB41))*V41</f>
        <v>8.5334377629501853E-3</v>
      </c>
      <c r="AD39" s="12">
        <v>0</v>
      </c>
      <c r="AE39" s="79">
        <f>(((1-$W$39)^AB42))*V42</f>
        <v>2.4666982499426341E-2</v>
      </c>
      <c r="AF39" s="12">
        <v>0</v>
      </c>
      <c r="AG39" s="79">
        <f>(((1-$W$39)^AB43))*V43</f>
        <v>4.6814633021351811E-2</v>
      </c>
      <c r="AH39" s="12">
        <v>0</v>
      </c>
      <c r="AI39" s="79">
        <f>(((1-$W$39)^AB44))*V44</f>
        <v>6.0967203004196377E-2</v>
      </c>
      <c r="AJ39" s="12">
        <v>0</v>
      </c>
      <c r="AK39" s="79">
        <f>(((1-$W$39)^AB45))*V45</f>
        <v>5.5199672342197664E-2</v>
      </c>
      <c r="AL39" s="12">
        <v>0</v>
      </c>
      <c r="AM39" s="79">
        <f>(((1-$W$39)^AB46))*V46</f>
        <v>3.433765439036577E-2</v>
      </c>
      <c r="AN39" s="12">
        <v>0</v>
      </c>
      <c r="AO39" s="79">
        <f>(((1-$W$39)^AB47))*V47</f>
        <v>1.4072266498333919E-2</v>
      </c>
      <c r="AP39" s="12">
        <v>0</v>
      </c>
      <c r="AQ39" s="79">
        <f>(((1-$W$39)^AB48))*V48</f>
        <v>3.4505093943694434E-3</v>
      </c>
      <c r="AR39" s="12">
        <v>0</v>
      </c>
      <c r="AS39" s="79">
        <f>(((1-$W$39)^AB49))*V49</f>
        <v>4.0067961164425042E-4</v>
      </c>
      <c r="AV39" s="14">
        <v>1</v>
      </c>
      <c r="AW39">
        <v>1</v>
      </c>
      <c r="AX39">
        <v>2</v>
      </c>
      <c r="AY39">
        <v>3</v>
      </c>
      <c r="AZ39">
        <v>4</v>
      </c>
      <c r="BA39">
        <v>5</v>
      </c>
      <c r="BB39">
        <v>6</v>
      </c>
      <c r="BC39">
        <f>7</f>
        <v>7</v>
      </c>
      <c r="BD39">
        <v>8</v>
      </c>
      <c r="BE39">
        <v>9</v>
      </c>
      <c r="BF39">
        <v>10</v>
      </c>
      <c r="BH39">
        <f t="shared" si="31"/>
        <v>4</v>
      </c>
      <c r="BI39">
        <v>6</v>
      </c>
      <c r="BJ39" s="107">
        <f t="shared" si="32"/>
        <v>2.1597858539564369E-4</v>
      </c>
      <c r="BP39">
        <f t="shared" ref="BP39:BP46" si="34">BP31+1</f>
        <v>9</v>
      </c>
      <c r="BQ39">
        <v>0</v>
      </c>
      <c r="BR39" s="107">
        <f t="shared" ref="BR39:BR47" si="35">$H$34*H39</f>
        <v>8.7530003463376522E-8</v>
      </c>
    </row>
    <row r="40" spans="1:70" x14ac:dyDescent="0.25">
      <c r="G40" s="91">
        <v>1</v>
      </c>
      <c r="H40" s="132">
        <f>L39*J40+L40*J39</f>
        <v>0.29170779159164267</v>
      </c>
      <c r="I40" s="93">
        <v>1</v>
      </c>
      <c r="J40" s="86">
        <f t="shared" si="33"/>
        <v>0.37174426968719976</v>
      </c>
      <c r="K40" s="95">
        <v>1</v>
      </c>
      <c r="L40" s="86">
        <f>AD21</f>
        <v>0.38242544899659148</v>
      </c>
      <c r="M40" s="85">
        <v>1</v>
      </c>
      <c r="N40" s="71">
        <f>(($C$24)^M26)*((1-($C$24))^($B$21-M26))*HLOOKUP($B$21,$AV$24:$BF$34,M26+1)</f>
        <v>8.9041045420469422E-2</v>
      </c>
      <c r="O40" s="72">
        <v>1</v>
      </c>
      <c r="P40" s="71">
        <f t="shared" ref="P40:P44" si="36">N40</f>
        <v>8.9041045420469422E-2</v>
      </c>
      <c r="Q40" s="28">
        <v>1</v>
      </c>
      <c r="R40" s="37">
        <f>P40*N39+P39*N40</f>
        <v>2.2804125854901879E-3</v>
      </c>
      <c r="S40" s="72">
        <v>1</v>
      </c>
      <c r="T40" s="135">
        <f t="shared" ref="T40:T49" si="37">(($C$33)^S40)*((1-($C$33))^(INT($B$23*2*(1-$B$31))-S40))*HLOOKUP(INT($B$23*2*(1-$B$31)),$AV$24:$BF$34,S40+1)</f>
        <v>1.4850375000000002E-2</v>
      </c>
      <c r="U40" s="93">
        <v>1</v>
      </c>
      <c r="V40" s="86">
        <f>R40*T39+T40*R39</f>
        <v>2.2488122817722715E-3</v>
      </c>
      <c r="W40" s="137"/>
      <c r="X40" s="28">
        <v>1</v>
      </c>
      <c r="Y40" s="73"/>
      <c r="Z40" s="28">
        <v>1</v>
      </c>
      <c r="AA40" s="79">
        <f>(1-((1-W39)^Z40))*V40</f>
        <v>4.9883892832517252E-4</v>
      </c>
      <c r="AB40" s="28">
        <v>1</v>
      </c>
      <c r="AC40" s="79">
        <f>((($W$39)^M40)*((1-($W$39))^($U$27-M40))*HLOOKUP($U$27,$AV$24:$BF$34,M40+1))*V41</f>
        <v>4.8650008758299758E-3</v>
      </c>
      <c r="AD40" s="28">
        <v>1</v>
      </c>
      <c r="AE40" s="79">
        <f>((($W$39)^M40)*((1-($W$39))^($U$28-M40))*HLOOKUP($U$28,$AV$24:$BF$34,M40+1))*V42</f>
        <v>2.1094351678198158E-2</v>
      </c>
      <c r="AF40" s="28">
        <v>1</v>
      </c>
      <c r="AG40" s="79">
        <f>((($W$39)^M40)*((1-($W$39))^($U$29-M40))*HLOOKUP($U$29,$AV$24:$BF$34,M40+1))*V43</f>
        <v>5.3379010189627596E-2</v>
      </c>
      <c r="AH40" s="28">
        <v>1</v>
      </c>
      <c r="AI40" s="79">
        <f>((($W$39)^M40)*((1-($W$39))^($U$30-M40))*HLOOKUP($U$30,$AV$24:$BF$34,M40+1))*V44</f>
        <v>8.6895078001300335E-2</v>
      </c>
      <c r="AJ40" s="28">
        <v>1</v>
      </c>
      <c r="AK40" s="79">
        <f>((($W$39)^M40)*((1-($W$39))^($U$31-M40))*HLOOKUP($U$31,$AV$24:$BF$34,M40+1))*V45</f>
        <v>9.4409707465005516E-2</v>
      </c>
      <c r="AL40" s="28">
        <v>1</v>
      </c>
      <c r="AM40" s="79">
        <f>((($W$39)^Q40)*((1-($W$39))^($U$32-Q40))*HLOOKUP($U$32,$AV$24:$BF$34,Q40+1))*V46</f>
        <v>6.8516878148371263E-2</v>
      </c>
      <c r="AN40" s="28">
        <v>1</v>
      </c>
      <c r="AO40" s="79">
        <f>((($W$39)^Q40)*((1-($W$39))^($U$33-Q40))*HLOOKUP($U$33,$AV$24:$BF$34,Q40+1))*V47</f>
        <v>3.2090977043999089E-2</v>
      </c>
      <c r="AP40" s="28">
        <v>1</v>
      </c>
      <c r="AQ40" s="79">
        <f>((($W$39)^Q40)*((1-($W$39))^($U$34-Q40))*HLOOKUP($U$34,$AV$24:$BF$34,Q40+1))*V48</f>
        <v>8.8522694620772908E-3</v>
      </c>
      <c r="AR40" s="28">
        <v>1</v>
      </c>
      <c r="AS40" s="79">
        <f>((($W$39)^Q40)*((1-($W$39))^($U$35-Q40))*HLOOKUP($U$35,$AV$24:$BF$34,Q40+1))*V49</f>
        <v>1.1421578944653705E-3</v>
      </c>
      <c r="AV40" s="14">
        <v>2</v>
      </c>
      <c r="AX40">
        <v>1</v>
      </c>
      <c r="AY40">
        <v>3</v>
      </c>
      <c r="AZ40">
        <v>6</v>
      </c>
      <c r="BA40">
        <v>10</v>
      </c>
      <c r="BB40">
        <v>15</v>
      </c>
      <c r="BC40">
        <f>6+15</f>
        <v>21</v>
      </c>
      <c r="BD40">
        <f>21+7</f>
        <v>28</v>
      </c>
      <c r="BE40">
        <f>28+8</f>
        <v>36</v>
      </c>
      <c r="BF40">
        <f>36+9</f>
        <v>45</v>
      </c>
      <c r="BH40">
        <f t="shared" si="31"/>
        <v>4</v>
      </c>
      <c r="BI40">
        <v>7</v>
      </c>
      <c r="BJ40" s="107">
        <f t="shared" si="32"/>
        <v>3.621529838308669E-5</v>
      </c>
      <c r="BP40">
        <f t="shared" si="34"/>
        <v>9</v>
      </c>
      <c r="BQ40">
        <v>1</v>
      </c>
      <c r="BR40" s="107">
        <f t="shared" si="35"/>
        <v>1.9346989729343598E-7</v>
      </c>
    </row>
    <row r="41" spans="1:70" x14ac:dyDescent="0.25">
      <c r="G41" s="91">
        <v>2</v>
      </c>
      <c r="H41" s="132">
        <f>L39*J41+J40*L40+J39*L41</f>
        <v>0.29369229031776012</v>
      </c>
      <c r="I41" s="93">
        <v>2</v>
      </c>
      <c r="J41" s="86">
        <f t="shared" si="33"/>
        <v>0.24851896289770803</v>
      </c>
      <c r="K41" s="95">
        <v>2</v>
      </c>
      <c r="L41" s="86">
        <f>AE21</f>
        <v>8.1965681049867761E-2</v>
      </c>
      <c r="M41" s="85">
        <v>2</v>
      </c>
      <c r="N41" s="71">
        <f>(($C$24)^M27)*((1-($C$24))^($B$21-M27))*HLOOKUP($B$21,$AV$24:$BF$34,M27+1)</f>
        <v>0.24765511880070762</v>
      </c>
      <c r="O41" s="72">
        <v>2</v>
      </c>
      <c r="P41" s="71">
        <f t="shared" si="36"/>
        <v>0.24765511880070762</v>
      </c>
      <c r="Q41" s="28">
        <v>2</v>
      </c>
      <c r="R41" s="37">
        <f>P41*N39+P40*N40+P39*N41</f>
        <v>1.4270953985226176E-2</v>
      </c>
      <c r="S41" s="72">
        <v>2</v>
      </c>
      <c r="T41" s="135">
        <f t="shared" si="37"/>
        <v>7.4625000000000011E-5</v>
      </c>
      <c r="U41" s="93">
        <v>2</v>
      </c>
      <c r="V41" s="86">
        <f>R41*T39+T40*R40+R39*T41</f>
        <v>1.4091835432056939E-2</v>
      </c>
      <c r="W41" s="137"/>
      <c r="X41" s="28">
        <v>2</v>
      </c>
      <c r="Y41" s="73"/>
      <c r="Z41" s="28">
        <v>2</v>
      </c>
      <c r="AA41" s="79"/>
      <c r="AB41" s="28">
        <v>2</v>
      </c>
      <c r="AC41" s="79">
        <f>((($W$39)^M41)*((1-($W$39))^($U$27-M41))*HLOOKUP($U$27,$AV$24:$BF$34,M41+1))*V41</f>
        <v>6.933967932767765E-4</v>
      </c>
      <c r="AD41" s="28">
        <v>2</v>
      </c>
      <c r="AE41" s="79">
        <f>((($W$39)^M41)*((1-($W$39))^($U$28-M41))*HLOOKUP($U$28,$AV$24:$BF$34,M41+1))*V42</f>
        <v>6.0130537211547132E-3</v>
      </c>
      <c r="AF41" s="28">
        <v>2</v>
      </c>
      <c r="AG41" s="79">
        <f>((($W$39)^M41)*((1-($W$39))^($U$29-M41))*HLOOKUP($U$29,$AV$24:$BF$34,M41+1))*V43</f>
        <v>2.2823943163707065E-2</v>
      </c>
      <c r="AH41" s="28">
        <v>2</v>
      </c>
      <c r="AI41" s="79">
        <f>((($W$39)^M41)*((1-($W$39))^($U$30-M41))*HLOOKUP($U$30,$AV$24:$BF$34,M41+1))*V44</f>
        <v>4.9539780136099401E-2</v>
      </c>
      <c r="AJ41" s="28">
        <v>2</v>
      </c>
      <c r="AK41" s="79">
        <f>((($W$39)^M41)*((1-($W$39))^($U$31-M41))*HLOOKUP($U$31,$AV$24:$BF$34,M41+1))*V45</f>
        <v>6.7279934866676883E-2</v>
      </c>
      <c r="AL41" s="28">
        <v>2</v>
      </c>
      <c r="AM41" s="79">
        <f>((($W$39)^Q41)*((1-($W$39))^($U$32-Q41))*HLOOKUP($U$32,$AV$24:$BF$34,Q41+1))*V46</f>
        <v>5.8593268292447459E-2</v>
      </c>
      <c r="AN41" s="28">
        <v>2</v>
      </c>
      <c r="AO41" s="79">
        <f>((($W$39)^Q41)*((1-($W$39))^($U$33-Q41))*HLOOKUP($U$33,$AV$24:$BF$34,Q41+1))*V47</f>
        <v>3.2016944704335748E-2</v>
      </c>
      <c r="AP41" s="28">
        <v>2</v>
      </c>
      <c r="AQ41" s="79">
        <f>((($W$39)^Q41)*((1-($W$39))^($U$34-Q41))*HLOOKUP($U$34,$AV$24:$BF$34,Q41+1))*V48</f>
        <v>1.0093540231363928E-2</v>
      </c>
      <c r="AR41" s="28">
        <v>2</v>
      </c>
      <c r="AS41" s="79">
        <f>((($W$39)^Q41)*((1-($W$39))^($U$35-Q41))*HLOOKUP($U$35,$AV$24:$BF$34,Q41+1))*V49</f>
        <v>1.4651009886460474E-3</v>
      </c>
      <c r="AV41" s="14">
        <v>3</v>
      </c>
      <c r="AY41">
        <v>1</v>
      </c>
      <c r="AZ41">
        <v>4</v>
      </c>
      <c r="BA41">
        <v>10</v>
      </c>
      <c r="BB41">
        <v>20</v>
      </c>
      <c r="BC41">
        <f>15+20</f>
        <v>35</v>
      </c>
      <c r="BD41">
        <f>21+35</f>
        <v>56</v>
      </c>
      <c r="BE41">
        <f>28+56</f>
        <v>84</v>
      </c>
      <c r="BF41">
        <f>36+84</f>
        <v>120</v>
      </c>
      <c r="BH41">
        <f t="shared" si="31"/>
        <v>4</v>
      </c>
      <c r="BI41">
        <v>8</v>
      </c>
      <c r="BJ41" s="107">
        <f t="shared" si="32"/>
        <v>4.5733536144242633E-6</v>
      </c>
      <c r="BP41">
        <f t="shared" si="34"/>
        <v>9</v>
      </c>
      <c r="BQ41">
        <v>2</v>
      </c>
      <c r="BR41" s="107">
        <f t="shared" si="35"/>
        <v>1.9478608004819203E-7</v>
      </c>
    </row>
    <row r="42" spans="1:70" ht="15" customHeight="1" x14ac:dyDescent="0.25">
      <c r="G42" s="91">
        <v>3</v>
      </c>
      <c r="H42" s="132">
        <f>J42*L39+J41*L40+L42*J39+L41*J40</f>
        <v>0.17956201682165113</v>
      </c>
      <c r="I42" s="93">
        <v>3</v>
      </c>
      <c r="J42" s="86">
        <f t="shared" si="33"/>
        <v>9.8519206743737958E-2</v>
      </c>
      <c r="K42" s="95">
        <v>3</v>
      </c>
      <c r="L42" s="86">
        <f>AF21</f>
        <v>8.4565796793137082E-3</v>
      </c>
      <c r="M42" s="85">
        <v>3</v>
      </c>
      <c r="N42" s="71">
        <f>(($C$24)^M28)*((1-($C$24))^($B$21-M28))*HLOOKUP($B$21,$AV$24:$BF$34,M28+1)</f>
        <v>0.34440890478411268</v>
      </c>
      <c r="O42" s="72">
        <v>3</v>
      </c>
      <c r="P42" s="71">
        <f t="shared" si="36"/>
        <v>0.34440890478411268</v>
      </c>
      <c r="Q42" s="28">
        <v>3</v>
      </c>
      <c r="R42" s="37">
        <f>P42*N39+P41*N40+P40*N41+P39*N42</f>
        <v>5.2923529636189334E-2</v>
      </c>
      <c r="S42" s="72">
        <v>3</v>
      </c>
      <c r="T42" s="135">
        <f t="shared" si="37"/>
        <v>1.2500000000000002E-7</v>
      </c>
      <c r="U42" s="93">
        <v>3</v>
      </c>
      <c r="V42" s="86">
        <f>R42*T39+R41*T40+R40*T41+R39*T42</f>
        <v>5.2345738555502834E-2</v>
      </c>
      <c r="W42" s="137"/>
      <c r="X42" s="28">
        <v>3</v>
      </c>
      <c r="Y42" s="73"/>
      <c r="Z42" s="28">
        <v>3</v>
      </c>
      <c r="AA42" s="79"/>
      <c r="AB42" s="28">
        <v>3</v>
      </c>
      <c r="AC42" s="79"/>
      <c r="AD42" s="28">
        <v>3</v>
      </c>
      <c r="AE42" s="79">
        <f>((($W$39)^M42)*((1-($W$39))^($U$28-M42))*HLOOKUP($U$28,$AV$24:$BF$34,M42+1))*V42</f>
        <v>5.7135065672362024E-4</v>
      </c>
      <c r="AF42" s="28">
        <v>3</v>
      </c>
      <c r="AG42" s="79">
        <f>((($W$39)^M42)*((1-($W$39))^($U$29-M42))*HLOOKUP($U$29,$AV$24:$BF$34,M42+1))*V43</f>
        <v>4.3373884619485464E-3</v>
      </c>
      <c r="AH42" s="28">
        <v>3</v>
      </c>
      <c r="AI42" s="79">
        <f>((($W$39)^M42)*((1-($W$39))^($U$30-M42))*HLOOKUP($U$30,$AV$24:$BF$34,M42+1))*V44</f>
        <v>1.4121569784978753E-2</v>
      </c>
      <c r="AJ42" s="28">
        <v>3</v>
      </c>
      <c r="AK42" s="79">
        <f>((($W$39)^M42)*((1-($W$39))^($U$31-M42))*HLOOKUP($U$31,$AV$24:$BF$34,M42+1))*V45</f>
        <v>2.5571323159917718E-2</v>
      </c>
      <c r="AL42" s="28">
        <v>3</v>
      </c>
      <c r="AM42" s="79">
        <f>((($W$39)^Q42)*((1-($W$39))^($U$32-Q42))*HLOOKUP($U$32,$AV$24:$BF$34,Q42+1))*V46</f>
        <v>2.7837188782045615E-2</v>
      </c>
      <c r="AN42" s="28">
        <v>3</v>
      </c>
      <c r="AO42" s="79">
        <f>((($W$39)^Q42)*((1-($W$39))^($U$33-Q42))*HLOOKUP($U$33,$AV$24:$BF$34,Q42+1))*V47</f>
        <v>1.8253190373552688E-2</v>
      </c>
      <c r="AP42" s="28">
        <v>3</v>
      </c>
      <c r="AQ42" s="79">
        <f>((($W$39)^Q42)*((1-($W$39))^($U$34-Q42))*HLOOKUP($U$34,$AV$24:$BF$34,Q42+1))*V48</f>
        <v>6.7135032798676325E-3</v>
      </c>
      <c r="AR42" s="28">
        <v>3</v>
      </c>
      <c r="AS42" s="79">
        <f>((($W$39)^Q42)*((1-($W$39))^($U$35-Q42))*HLOOKUP($U$35,$AV$24:$BF$34,Q42+1))*V49</f>
        <v>1.1136922447033716E-3</v>
      </c>
      <c r="AV42" s="14">
        <v>4</v>
      </c>
      <c r="AZ42">
        <v>1</v>
      </c>
      <c r="BA42">
        <v>5</v>
      </c>
      <c r="BB42">
        <v>15</v>
      </c>
      <c r="BC42">
        <f>20+15</f>
        <v>35</v>
      </c>
      <c r="BD42">
        <f>35+35</f>
        <v>70</v>
      </c>
      <c r="BE42">
        <f>56+70</f>
        <v>126</v>
      </c>
      <c r="BF42">
        <f>BE41+BE42</f>
        <v>210</v>
      </c>
      <c r="BH42">
        <f t="shared" si="31"/>
        <v>4</v>
      </c>
      <c r="BI42">
        <v>9</v>
      </c>
      <c r="BJ42" s="107">
        <f t="shared" si="32"/>
        <v>4.2966857827472263E-7</v>
      </c>
      <c r="BP42">
        <f t="shared" si="34"/>
        <v>9</v>
      </c>
      <c r="BQ42">
        <v>3</v>
      </c>
      <c r="BR42" s="107">
        <f t="shared" si="35"/>
        <v>1.1909124800107791E-7</v>
      </c>
    </row>
    <row r="43" spans="1:70" ht="15" customHeight="1" x14ac:dyDescent="0.25">
      <c r="G43" s="91">
        <v>4</v>
      </c>
      <c r="H43" s="132">
        <f>J43*L39+J42*L40+J41*L41+J40*L42</f>
        <v>7.4713512727550044E-2</v>
      </c>
      <c r="I43" s="93">
        <v>4</v>
      </c>
      <c r="J43" s="86">
        <f t="shared" si="33"/>
        <v>2.5653971382913789E-2</v>
      </c>
      <c r="K43" s="95">
        <v>4</v>
      </c>
      <c r="L43" s="86"/>
      <c r="M43" s="85">
        <v>4</v>
      </c>
      <c r="N43" s="71">
        <f>(($C$24)^M29)*((1-($C$24))^($B$21-M29))*HLOOKUP($B$21,$AV$24:$BF$34,M29+1)</f>
        <v>0.23948120731161948</v>
      </c>
      <c r="O43" s="72">
        <v>4</v>
      </c>
      <c r="P43" s="71">
        <f t="shared" si="36"/>
        <v>0.23948120731161948</v>
      </c>
      <c r="Q43" s="28">
        <v>4</v>
      </c>
      <c r="R43" s="37">
        <f>P43*N39+P42*N40+P41*N41+P40*N42+P39*N43</f>
        <v>0.12879942152320448</v>
      </c>
      <c r="S43" s="72">
        <v>4</v>
      </c>
      <c r="T43" s="135">
        <f t="shared" si="37"/>
        <v>0</v>
      </c>
      <c r="U43" s="93">
        <v>4</v>
      </c>
      <c r="V43" s="86">
        <f>T43*R39+T42*R40+T41*R41+T40*R42+T39*R43</f>
        <v>0.12766407357345672</v>
      </c>
      <c r="W43" s="137"/>
      <c r="X43" s="28">
        <v>4</v>
      </c>
      <c r="Y43" s="73"/>
      <c r="Z43" s="28">
        <v>4</v>
      </c>
      <c r="AA43" s="79"/>
      <c r="AB43" s="28">
        <v>4</v>
      </c>
      <c r="AC43" s="79"/>
      <c r="AD43" s="28">
        <v>4</v>
      </c>
      <c r="AE43" s="79"/>
      <c r="AF43" s="28">
        <v>4</v>
      </c>
      <c r="AG43" s="79">
        <f>((($W$39)^M43)*((1-($W$39))^($U$29-M43))*HLOOKUP($U$29,$AV$24:$BF$34,M43+1))*V43</f>
        <v>3.090987368216787E-4</v>
      </c>
      <c r="AH43" s="28">
        <v>4</v>
      </c>
      <c r="AI43" s="79">
        <f>((($W$39)^M43)*((1-($W$39))^($U$30-M43))*HLOOKUP($U$30,$AV$24:$BF$34,M43+1))*V44</f>
        <v>2.0127131432978382E-3</v>
      </c>
      <c r="AJ43" s="28">
        <v>4</v>
      </c>
      <c r="AK43" s="79">
        <f>((($W$39)^M43)*((1-($W$39))^($U$31-M43))*HLOOKUP($U$31,$AV$24:$BF$34,M43+1))*V45</f>
        <v>5.4669281460014655E-3</v>
      </c>
      <c r="AL43" s="28">
        <v>4</v>
      </c>
      <c r="AM43" s="79">
        <f>((($W$39)^Q43)*((1-($W$39))^($U$32-Q43))*HLOOKUP($U$32,$AV$24:$BF$34,Q43+1))*V46</f>
        <v>7.9351342077683389E-3</v>
      </c>
      <c r="AN43" s="28">
        <v>4</v>
      </c>
      <c r="AO43" s="79">
        <f>((($W$39)^Q43)*((1-($W$39))^($U$33-Q43))*HLOOKUP($U$33,$AV$24:$BF$34,Q43+1))*V47</f>
        <v>6.5039575506410929E-3</v>
      </c>
      <c r="AP43" s="28">
        <v>4</v>
      </c>
      <c r="AQ43" s="79">
        <f>((($W$39)^Q43)*((1-($W$39))^($U$34-Q43))*HLOOKUP($U$34,$AV$24:$BF$34,Q43+1))*V48</f>
        <v>2.8705780932377534E-3</v>
      </c>
      <c r="AR43" s="28">
        <v>4</v>
      </c>
      <c r="AS43" s="79">
        <f>((($W$39)^Q43)*((1-($W$39))^($U$35-Q43))*HLOOKUP($U$35,$AV$24:$BF$34,Q43+1))*V49</f>
        <v>5.5556150514562107E-4</v>
      </c>
      <c r="AV43" s="14">
        <v>5</v>
      </c>
      <c r="BA43">
        <v>1</v>
      </c>
      <c r="BB43">
        <v>6</v>
      </c>
      <c r="BC43">
        <f>15+6</f>
        <v>21</v>
      </c>
      <c r="BD43">
        <f>35+21</f>
        <v>56</v>
      </c>
      <c r="BE43">
        <f>70+56</f>
        <v>126</v>
      </c>
      <c r="BF43">
        <f t="shared" ref="BF43:BF48" si="38">BE42+BE43</f>
        <v>252</v>
      </c>
      <c r="BH43">
        <f t="shared" si="31"/>
        <v>4</v>
      </c>
      <c r="BI43">
        <v>10</v>
      </c>
      <c r="BJ43" s="107">
        <f t="shared" si="32"/>
        <v>2.9198206256032028E-8</v>
      </c>
      <c r="BP43">
        <f t="shared" si="34"/>
        <v>9</v>
      </c>
      <c r="BQ43">
        <v>4</v>
      </c>
      <c r="BR43" s="107">
        <f t="shared" si="35"/>
        <v>4.9552381014443406E-8</v>
      </c>
    </row>
    <row r="44" spans="1:70" ht="15" customHeight="1" thickBot="1" x14ac:dyDescent="0.3">
      <c r="G44" s="91">
        <v>5</v>
      </c>
      <c r="H44" s="132">
        <f>J44*L39+J43*L40+J42*L41+J41*L42</f>
        <v>2.2405471615136556E-2</v>
      </c>
      <c r="I44" s="93">
        <v>5</v>
      </c>
      <c r="J44" s="86">
        <f t="shared" si="33"/>
        <v>4.5867690348345919E-3</v>
      </c>
      <c r="K44" s="95">
        <v>5</v>
      </c>
      <c r="L44" s="86"/>
      <c r="M44" s="85">
        <v>5</v>
      </c>
      <c r="N44" s="71">
        <f>(($C$24)^M30)*((1-($C$24))^($B$21-M30))*HLOOKUP($B$21,$AV$24:$BF$34,M30+1)</f>
        <v>6.6608322675490148E-2</v>
      </c>
      <c r="O44" s="72">
        <v>5</v>
      </c>
      <c r="P44" s="71">
        <f t="shared" si="36"/>
        <v>6.6608322675490148E-2</v>
      </c>
      <c r="Q44" s="28">
        <v>5</v>
      </c>
      <c r="R44" s="37">
        <f>P44*N39+P43*N40+P42*N41+P41*N42+P40*N43+P39*N44</f>
        <v>0.21494246314043419</v>
      </c>
      <c r="S44" s="72">
        <v>5</v>
      </c>
      <c r="T44" s="135">
        <f t="shared" si="37"/>
        <v>0</v>
      </c>
      <c r="U44" s="93">
        <v>5</v>
      </c>
      <c r="V44" s="86">
        <f>T44*R39+T43*R40+T42*R41+T41*R42+T40*R43+T39*R44</f>
        <v>0.21365109092192633</v>
      </c>
      <c r="W44" s="137"/>
      <c r="X44" s="28">
        <v>5</v>
      </c>
      <c r="Y44" s="73"/>
      <c r="Z44" s="28">
        <v>5</v>
      </c>
      <c r="AA44" s="79"/>
      <c r="AB44" s="28">
        <v>5</v>
      </c>
      <c r="AC44" s="79"/>
      <c r="AD44" s="28">
        <v>5</v>
      </c>
      <c r="AE44" s="79"/>
      <c r="AF44" s="28">
        <v>5</v>
      </c>
      <c r="AG44" s="79"/>
      <c r="AH44" s="28">
        <v>5</v>
      </c>
      <c r="AI44" s="79">
        <f>((($W$39)^M44)*((1-($W$39))^($U$30-M44))*HLOOKUP($U$30,$AV$24:$BF$34,M44+1))*V44</f>
        <v>1.1474685205360003E-4</v>
      </c>
      <c r="AJ44" s="28">
        <v>5</v>
      </c>
      <c r="AK44" s="79">
        <f>((($W$39)^M44)*((1-($W$39))^($U$31-M44))*HLOOKUP($U$31,$AV$24:$BF$34,M44+1))*V45</f>
        <v>6.2335042352735636E-4</v>
      </c>
      <c r="AL44" s="28">
        <v>5</v>
      </c>
      <c r="AM44" s="79">
        <f>((($W$39)^Q44)*((1-($W$39))^($U$32-Q44))*HLOOKUP($U$32,$AV$24:$BF$34,Q44+1))*V46</f>
        <v>1.3571705545764134E-3</v>
      </c>
      <c r="AN44" s="28">
        <v>5</v>
      </c>
      <c r="AO44" s="79">
        <f>((($W$39)^Q44)*((1-($W$39))^($U$33-Q44))*HLOOKUP($U$33,$AV$24:$BF$34,Q44+1))*V47</f>
        <v>1.4831893105313133E-3</v>
      </c>
      <c r="AP44" s="28">
        <v>5</v>
      </c>
      <c r="AQ44" s="79">
        <f>((($W$39)^Q44)*((1-($W$39))^($U$34-Q44))*HLOOKUP($U$34,$AV$24:$BF$34,Q44+1))*V48</f>
        <v>8.1827308792089301E-4</v>
      </c>
      <c r="AR44" s="28">
        <v>5</v>
      </c>
      <c r="AS44" s="79">
        <f>((($W$39)^Q44)*((1-($W$39))^($U$35-Q44))*HLOOKUP($U$35,$AV$24:$BF$34,Q44+1))*V49</f>
        <v>1.9003880622501544E-4</v>
      </c>
      <c r="AV44" s="29">
        <v>6</v>
      </c>
      <c r="BB44">
        <v>1</v>
      </c>
      <c r="BC44">
        <v>7</v>
      </c>
      <c r="BD44">
        <f>28</f>
        <v>28</v>
      </c>
      <c r="BE44">
        <f>56+28</f>
        <v>84</v>
      </c>
      <c r="BF44">
        <f t="shared" si="38"/>
        <v>210</v>
      </c>
      <c r="BH44">
        <f>BH39+1</f>
        <v>5</v>
      </c>
      <c r="BI44">
        <v>6</v>
      </c>
      <c r="BJ44" s="107">
        <f>$H$30*H45</f>
        <v>4.394931216611576E-5</v>
      </c>
      <c r="BP44">
        <f t="shared" si="34"/>
        <v>9</v>
      </c>
      <c r="BQ44">
        <v>5</v>
      </c>
      <c r="BR44" s="107">
        <f t="shared" si="35"/>
        <v>1.4860022313903989E-8</v>
      </c>
    </row>
    <row r="45" spans="1:70" ht="15" customHeight="1" thickBot="1" x14ac:dyDescent="0.3">
      <c r="A45" s="112" t="s">
        <v>108</v>
      </c>
      <c r="B45" s="112" t="s">
        <v>109</v>
      </c>
      <c r="C45" s="112" t="s">
        <v>110</v>
      </c>
      <c r="D45" s="112" t="s">
        <v>111</v>
      </c>
      <c r="E45" s="112" t="s">
        <v>23</v>
      </c>
      <c r="G45" s="91">
        <v>6</v>
      </c>
      <c r="H45" s="132">
        <f>J45*L39+J44*L40+J43*L41+J42*L42</f>
        <v>4.9907770390242622E-3</v>
      </c>
      <c r="I45" s="93">
        <v>6</v>
      </c>
      <c r="J45" s="86">
        <f t="shared" si="33"/>
        <v>5.706113378962218E-4</v>
      </c>
      <c r="K45" s="95">
        <v>6</v>
      </c>
      <c r="L45" s="86"/>
      <c r="M45" s="85"/>
      <c r="N45" s="37"/>
      <c r="O45" s="37"/>
      <c r="P45" s="37"/>
      <c r="Q45" s="28">
        <v>6</v>
      </c>
      <c r="R45" s="37">
        <f>P44*N40+P43*N41+P42*N42+P41*N43+P40*N44</f>
        <v>0.24909673675864324</v>
      </c>
      <c r="S45" s="70">
        <v>6</v>
      </c>
      <c r="T45" s="135">
        <f t="shared" si="37"/>
        <v>0</v>
      </c>
      <c r="U45" s="93">
        <v>6</v>
      </c>
      <c r="V45" s="86">
        <f>T45*R39+T44*R40+T43*R41+T42*R42+T41*R43+T40*R44+T39*R45</f>
        <v>0.24858053127875993</v>
      </c>
      <c r="W45" s="137"/>
      <c r="X45" s="28">
        <v>6</v>
      </c>
      <c r="Y45" s="73"/>
      <c r="Z45" s="28">
        <v>6</v>
      </c>
      <c r="AA45" s="79"/>
      <c r="AB45" s="28">
        <v>6</v>
      </c>
      <c r="AC45" s="79"/>
      <c r="AD45" s="28">
        <v>6</v>
      </c>
      <c r="AE45" s="79"/>
      <c r="AF45" s="28">
        <v>6</v>
      </c>
      <c r="AG45" s="79"/>
      <c r="AH45" s="28">
        <v>6</v>
      </c>
      <c r="AI45" s="79"/>
      <c r="AJ45" s="28">
        <v>6</v>
      </c>
      <c r="AK45" s="79">
        <f>((($W$39)^Q45)*((1-($W$39))^($U$31-Q45))*HLOOKUP($U$31,$AV$24:$BF$34,Q45+1))*V45</f>
        <v>2.961487543328554E-5</v>
      </c>
      <c r="AL45" s="28">
        <v>6</v>
      </c>
      <c r="AM45" s="79">
        <f>((($W$39)^Q45)*((1-($W$39))^($U$32-Q45))*HLOOKUP($U$32,$AV$24:$BF$34,Q45+1))*V46</f>
        <v>1.2895615499245635E-4</v>
      </c>
      <c r="AN45" s="28">
        <v>6</v>
      </c>
      <c r="AO45" s="79">
        <f>((($W$39)^Q45)*((1-($W$39))^($U$33-Q45))*HLOOKUP($U$33,$AV$24:$BF$34,Q45+1))*V47</f>
        <v>2.1139538059576458E-4</v>
      </c>
      <c r="AP45" s="28">
        <v>6</v>
      </c>
      <c r="AQ45" s="79">
        <f>((($W$39)^Q45)*((1-($W$39))^($U$34-Q45))*HLOOKUP($U$34,$AV$24:$BF$34,Q45+1))*V48</f>
        <v>1.555019754831283E-4</v>
      </c>
      <c r="AR45" s="28">
        <v>6</v>
      </c>
      <c r="AS45" s="79">
        <f>((($W$39)^Q45)*((1-($W$39))^($U$35-Q45))*HLOOKUP($U$35,$AV$24:$BF$34,Q45+1))*V49</f>
        <v>4.5142951391586981E-5</v>
      </c>
      <c r="AV45" s="14">
        <v>7</v>
      </c>
      <c r="BC45">
        <v>1</v>
      </c>
      <c r="BD45">
        <v>8</v>
      </c>
      <c r="BE45">
        <f>28+8</f>
        <v>36</v>
      </c>
      <c r="BF45">
        <f t="shared" si="38"/>
        <v>120</v>
      </c>
      <c r="BH45">
        <f>BH40+1</f>
        <v>5</v>
      </c>
      <c r="BI45">
        <v>7</v>
      </c>
      <c r="BJ45" s="107">
        <f>$H$30*H46</f>
        <v>7.3694225328480554E-6</v>
      </c>
      <c r="BP45">
        <f t="shared" si="34"/>
        <v>9</v>
      </c>
      <c r="BQ45">
        <v>6</v>
      </c>
      <c r="BR45" s="107">
        <f t="shared" si="35"/>
        <v>3.3100422717064156E-9</v>
      </c>
    </row>
    <row r="46" spans="1:70" ht="15" customHeight="1" thickBot="1" x14ac:dyDescent="0.3">
      <c r="A46" s="113" t="s">
        <v>112</v>
      </c>
      <c r="B46" s="113" t="s">
        <v>21</v>
      </c>
      <c r="C46" s="113" t="s">
        <v>113</v>
      </c>
      <c r="D46" s="113" t="s">
        <v>114</v>
      </c>
      <c r="E46" s="113" t="s">
        <v>115</v>
      </c>
      <c r="G46" s="91">
        <v>7</v>
      </c>
      <c r="H46" s="132">
        <f>J46*L39+J45*L40+J44*L41+J43*L42</f>
        <v>8.3685370612380703E-4</v>
      </c>
      <c r="I46" s="93">
        <v>7</v>
      </c>
      <c r="J46" s="86">
        <f t="shared" si="33"/>
        <v>4.8818735405294555E-5</v>
      </c>
      <c r="K46" s="95">
        <v>7</v>
      </c>
      <c r="L46" s="86"/>
      <c r="M46" s="85"/>
      <c r="N46" s="37"/>
      <c r="O46" s="37"/>
      <c r="P46" s="37"/>
      <c r="Q46" s="28">
        <v>7</v>
      </c>
      <c r="R46" s="37">
        <f>P44*N41+P43*N42+P42*N43+P41*N44</f>
        <v>0.19795070478377255</v>
      </c>
      <c r="S46" s="72">
        <v>7</v>
      </c>
      <c r="T46" s="135">
        <f t="shared" si="37"/>
        <v>0</v>
      </c>
      <c r="U46" s="93">
        <v>7</v>
      </c>
      <c r="V46" s="86">
        <f>T46*R39+T45*R40+T44*R41+T43*R42+T42*R43+T41*R44+T40*R45+T39*R46</f>
        <v>0.19871150190441833</v>
      </c>
      <c r="W46" s="137"/>
      <c r="X46" s="28">
        <v>7</v>
      </c>
      <c r="Y46" s="73"/>
      <c r="Z46" s="28">
        <v>7</v>
      </c>
      <c r="AA46" s="79"/>
      <c r="AB46" s="28">
        <v>7</v>
      </c>
      <c r="AC46" s="79"/>
      <c r="AD46" s="28">
        <v>7</v>
      </c>
      <c r="AE46" s="79"/>
      <c r="AF46" s="28">
        <v>7</v>
      </c>
      <c r="AG46" s="79"/>
      <c r="AH46" s="28">
        <v>7</v>
      </c>
      <c r="AI46" s="79"/>
      <c r="AJ46" s="28">
        <v>7</v>
      </c>
      <c r="AK46" s="79"/>
      <c r="AL46" s="28">
        <v>7</v>
      </c>
      <c r="AM46" s="79">
        <f>((($W$39)^Q46)*((1-($W$39))^($U$32-Q46))*HLOOKUP($U$32,$AV$24:$BF$34,Q46+1))*V46</f>
        <v>5.2513738509754804E-6</v>
      </c>
      <c r="AN46" s="28">
        <v>7</v>
      </c>
      <c r="AO46" s="79">
        <f>((($W$39)^Q46)*((1-($W$39))^($U$33-Q46))*HLOOKUP($U$33,$AV$24:$BF$34,Q46+1))*V47</f>
        <v>1.7216955234785761E-5</v>
      </c>
      <c r="AP46" s="28">
        <v>7</v>
      </c>
      <c r="AQ46" s="79">
        <f>((($W$39)^Q46)*((1-($W$39))^($U$34-Q46))*HLOOKUP($U$34,$AV$24:$BF$34,Q46+1))*V48</f>
        <v>1.8997131417455014E-5</v>
      </c>
      <c r="AR46" s="28">
        <v>7</v>
      </c>
      <c r="AS46" s="79">
        <f>((($W$39)^Q46)*((1-($W$39))^($U$35-Q46))*HLOOKUP($U$35,$AV$24:$BF$34,Q46+1))*V49</f>
        <v>7.3532749020782957E-6</v>
      </c>
      <c r="AV46" s="14">
        <v>8</v>
      </c>
      <c r="BD46">
        <v>1</v>
      </c>
      <c r="BE46">
        <v>9</v>
      </c>
      <c r="BF46">
        <f t="shared" si="38"/>
        <v>45</v>
      </c>
      <c r="BH46">
        <f>BH41+1</f>
        <v>5</v>
      </c>
      <c r="BI46">
        <v>8</v>
      </c>
      <c r="BJ46" s="107">
        <f>$H$30*H47</f>
        <v>9.3062812351589683E-7</v>
      </c>
      <c r="BP46">
        <f t="shared" si="34"/>
        <v>9</v>
      </c>
      <c r="BQ46">
        <v>7</v>
      </c>
      <c r="BR46" s="107">
        <f t="shared" si="35"/>
        <v>5.5502802887093931E-10</v>
      </c>
    </row>
    <row r="47" spans="1:70" ht="15" customHeight="1" thickBot="1" x14ac:dyDescent="0.3">
      <c r="A47" s="113" t="s">
        <v>116</v>
      </c>
      <c r="B47" s="113" t="s">
        <v>21</v>
      </c>
      <c r="C47" s="113" t="s">
        <v>117</v>
      </c>
      <c r="D47" s="113" t="s">
        <v>118</v>
      </c>
      <c r="E47" s="113" t="s">
        <v>115</v>
      </c>
      <c r="G47" s="91">
        <v>8</v>
      </c>
      <c r="H47" s="132">
        <f>J47*L39+J46*L40+J45*L41+J44*L42</f>
        <v>1.0567986714236349E-4</v>
      </c>
      <c r="I47" s="93">
        <v>8</v>
      </c>
      <c r="J47" s="86">
        <f t="shared" si="33"/>
        <v>2.7533136499611738E-6</v>
      </c>
      <c r="K47" s="95">
        <v>8</v>
      </c>
      <c r="L47" s="86"/>
      <c r="M47" s="85"/>
      <c r="N47" s="37"/>
      <c r="O47" s="37"/>
      <c r="P47" s="37"/>
      <c r="Q47" s="28">
        <v>8</v>
      </c>
      <c r="R47" s="37">
        <f>P44*N42+P43*N43+P42*N44</f>
        <v>0.10323224757977553</v>
      </c>
      <c r="S47" s="72">
        <v>8</v>
      </c>
      <c r="T47" s="135">
        <f t="shared" si="37"/>
        <v>0</v>
      </c>
      <c r="U47" s="93">
        <v>8</v>
      </c>
      <c r="V47" s="86">
        <f>T47*R39+T46*R40+T45*R41+T44*R42+T43*R43+T42*R44+T41*R45+T40*R46+T39*R47</f>
        <v>0.10464975128995826</v>
      </c>
      <c r="W47" s="137"/>
      <c r="X47" s="28">
        <v>8</v>
      </c>
      <c r="Y47" s="73"/>
      <c r="Z47" s="28">
        <v>8</v>
      </c>
      <c r="AA47" s="79"/>
      <c r="AB47" s="28">
        <v>8</v>
      </c>
      <c r="AC47" s="79"/>
      <c r="AD47" s="28">
        <v>8</v>
      </c>
      <c r="AE47" s="79"/>
      <c r="AF47" s="28">
        <v>8</v>
      </c>
      <c r="AG47" s="79"/>
      <c r="AH47" s="28">
        <v>8</v>
      </c>
      <c r="AI47" s="79"/>
      <c r="AJ47" s="28">
        <v>8</v>
      </c>
      <c r="AK47" s="79"/>
      <c r="AL47" s="28">
        <v>8</v>
      </c>
      <c r="AM47" s="79"/>
      <c r="AN47" s="28">
        <v>8</v>
      </c>
      <c r="AO47" s="79">
        <f>((($W$39)^Q47)*((1-($W$39))^($U$33-Q47))*HLOOKUP($U$33,$AV$24:$BF$34,Q47+1))*V47</f>
        <v>6.1347273384373165E-7</v>
      </c>
      <c r="AP47" s="28">
        <v>8</v>
      </c>
      <c r="AQ47" s="79">
        <f>((($W$39)^Q47)*((1-($W$39))^($U$34-Q47))*HLOOKUP($U$34,$AV$24:$BF$34,Q47+1))*V48</f>
        <v>1.3538075678222313E-6</v>
      </c>
      <c r="AR47" s="28">
        <v>8</v>
      </c>
      <c r="AS47" s="79">
        <f>((($W$39)^Q47)*((1-($W$39))^($U$35-Q47))*HLOOKUP($U$35,$AV$24:$BF$34,Q47+1))*V49</f>
        <v>7.8603334829521102E-7</v>
      </c>
      <c r="AV47" s="29">
        <v>9</v>
      </c>
      <c r="BE47">
        <v>1</v>
      </c>
      <c r="BF47">
        <f t="shared" si="38"/>
        <v>10</v>
      </c>
      <c r="BH47">
        <f>BH42+1</f>
        <v>5</v>
      </c>
      <c r="BI47">
        <v>9</v>
      </c>
      <c r="BJ47" s="107">
        <f>$H$30*H48</f>
        <v>8.743292044428686E-8</v>
      </c>
      <c r="BP47">
        <f>BL12+1</f>
        <v>9</v>
      </c>
      <c r="BQ47">
        <v>8</v>
      </c>
      <c r="BR47" s="107">
        <f t="shared" si="35"/>
        <v>7.0090253436352815E-11</v>
      </c>
    </row>
    <row r="48" spans="1:70" ht="15" customHeight="1" thickBot="1" x14ac:dyDescent="0.3">
      <c r="A48" s="114" t="s">
        <v>112</v>
      </c>
      <c r="B48" s="114" t="s">
        <v>119</v>
      </c>
      <c r="C48" s="114" t="s">
        <v>117</v>
      </c>
      <c r="D48" s="115" t="s">
        <v>120</v>
      </c>
      <c r="E48" s="114" t="s">
        <v>115</v>
      </c>
      <c r="G48" s="91">
        <v>9</v>
      </c>
      <c r="H48" s="132">
        <f>J48*L39+J47*L40+J46*L41+J45*L42</f>
        <v>9.9286698767633333E-6</v>
      </c>
      <c r="I48" s="93">
        <v>9</v>
      </c>
      <c r="J48" s="86">
        <f t="shared" si="33"/>
        <v>9.2670616294992108E-8</v>
      </c>
      <c r="K48" s="95">
        <v>9</v>
      </c>
      <c r="L48" s="86"/>
      <c r="M48" s="85"/>
      <c r="N48" s="37"/>
      <c r="O48" s="37"/>
      <c r="P48" s="37"/>
      <c r="Q48" s="28">
        <v>9</v>
      </c>
      <c r="R48" s="37">
        <f>P44*N43+P43*N44</f>
        <v>3.1902883062656602E-2</v>
      </c>
      <c r="S48" s="72">
        <v>9</v>
      </c>
      <c r="T48" s="135">
        <f t="shared" si="37"/>
        <v>0</v>
      </c>
      <c r="U48" s="93">
        <v>9</v>
      </c>
      <c r="V48" s="86">
        <f>T48*R39+T47*R40+T46*R41+T45*R42+T44*R43+T43*R44+T42*R45+T41*R46+T40*R47+T39*R48</f>
        <v>3.2974569342175158E-2</v>
      </c>
      <c r="W48" s="137"/>
      <c r="X48" s="28">
        <v>9</v>
      </c>
      <c r="Y48" s="73"/>
      <c r="Z48" s="28">
        <v>9</v>
      </c>
      <c r="AA48" s="79"/>
      <c r="AB48" s="28">
        <v>9</v>
      </c>
      <c r="AC48" s="79"/>
      <c r="AD48" s="28">
        <v>9</v>
      </c>
      <c r="AE48" s="79"/>
      <c r="AF48" s="28">
        <v>9</v>
      </c>
      <c r="AG48" s="79"/>
      <c r="AH48" s="28">
        <v>9</v>
      </c>
      <c r="AI48" s="79"/>
      <c r="AJ48" s="28">
        <v>9</v>
      </c>
      <c r="AK48" s="79"/>
      <c r="AL48" s="28">
        <v>9</v>
      </c>
      <c r="AM48" s="79"/>
      <c r="AN48" s="28">
        <v>9</v>
      </c>
      <c r="AO48" s="79"/>
      <c r="AP48" s="28">
        <v>9</v>
      </c>
      <c r="AQ48" s="79">
        <f>((($W$39)^Q48)*((1-($W$39))^($U$34-Q48))*HLOOKUP($U$34,$AV$24:$BF$34,Q48+1))*V48</f>
        <v>4.2878869806832E-8</v>
      </c>
      <c r="AR48" s="28">
        <v>9</v>
      </c>
      <c r="AS48" s="79">
        <f>((($W$39)^Q48)*((1-($W$39))^($U$35-Q48))*HLOOKUP($U$35,$AV$24:$BF$34,Q48+1))*V49</f>
        <v>4.9791746488160108E-8</v>
      </c>
      <c r="AV48" s="14">
        <v>10</v>
      </c>
      <c r="BF48">
        <f t="shared" si="38"/>
        <v>1</v>
      </c>
      <c r="BH48">
        <f>BH43+1</f>
        <v>5</v>
      </c>
      <c r="BI48">
        <v>10</v>
      </c>
      <c r="BJ48" s="107">
        <f>$H$30*H49</f>
        <v>5.9415199848923034E-9</v>
      </c>
    </row>
    <row r="49" spans="1:62" ht="15" customHeight="1" thickBot="1" x14ac:dyDescent="0.3">
      <c r="A49" s="114" t="s">
        <v>116</v>
      </c>
      <c r="B49" s="114" t="s">
        <v>119</v>
      </c>
      <c r="C49" s="114" t="s">
        <v>113</v>
      </c>
      <c r="D49" s="114" t="s">
        <v>121</v>
      </c>
      <c r="E49" s="114" t="s">
        <v>122</v>
      </c>
      <c r="G49" s="92">
        <v>10</v>
      </c>
      <c r="H49" s="133">
        <f>J49*L39+J48*L40+J47*L41+J46*L42</f>
        <v>6.7470456432685965E-7</v>
      </c>
      <c r="I49" s="94">
        <v>10</v>
      </c>
      <c r="J49" s="89">
        <f t="shared" si="33"/>
        <v>1.4193394092925143E-9</v>
      </c>
      <c r="K49" s="96">
        <v>10</v>
      </c>
      <c r="L49" s="89"/>
      <c r="M49" s="85"/>
      <c r="N49" s="37"/>
      <c r="O49" s="37"/>
      <c r="P49" s="37"/>
      <c r="Q49" s="28">
        <v>10</v>
      </c>
      <c r="R49" s="37">
        <f>P44*N44</f>
        <v>4.4366686496422145E-3</v>
      </c>
      <c r="S49" s="72">
        <v>10</v>
      </c>
      <c r="T49" s="135">
        <f t="shared" si="37"/>
        <v>0</v>
      </c>
      <c r="U49" s="94">
        <v>10</v>
      </c>
      <c r="V49" s="89">
        <f>IF(((T49*R39+T48*R40+T47*R41+T46*R42+T45*R43+T44*R44+T43*R45+T42*R46+T41*R47+T40*R48+T39*R49)+V37)&lt;&gt;1,1-V37,(T49*R39+T48*R40+T47*R41+T46*R42+T45*R43+T44*R44+T43*R45+T42*R46+T41*R47+T40*R48+T39*R49))</f>
        <v>4.9205645215575355E-3</v>
      </c>
      <c r="W49" s="137"/>
      <c r="X49" s="28">
        <v>10</v>
      </c>
      <c r="Y49" s="73"/>
      <c r="Z49" s="28">
        <v>10</v>
      </c>
      <c r="AA49" s="79"/>
      <c r="AB49" s="28">
        <v>10</v>
      </c>
      <c r="AC49" s="79"/>
      <c r="AD49" s="28">
        <v>10</v>
      </c>
      <c r="AE49" s="79"/>
      <c r="AF49" s="28">
        <v>10</v>
      </c>
      <c r="AG49" s="79"/>
      <c r="AH49" s="28">
        <v>10</v>
      </c>
      <c r="AI49" s="79"/>
      <c r="AJ49" s="28">
        <v>10</v>
      </c>
      <c r="AK49" s="79"/>
      <c r="AL49" s="28">
        <v>10</v>
      </c>
      <c r="AM49" s="79"/>
      <c r="AN49" s="28">
        <v>10</v>
      </c>
      <c r="AO49" s="79"/>
      <c r="AP49" s="28">
        <v>10</v>
      </c>
      <c r="AQ49" s="79"/>
      <c r="AR49" s="28">
        <v>10</v>
      </c>
      <c r="AS49" s="79">
        <f>((($W$39)^Q49)*((1-($W$39))^($U$35-Q49))*HLOOKUP($U$35,$AV$24:$BF$34,Q49+1))*V49</f>
        <v>1.4193394092925143E-9</v>
      </c>
      <c r="BH49">
        <f>BP14+1</f>
        <v>6</v>
      </c>
      <c r="BI49">
        <v>0</v>
      </c>
      <c r="BJ49" s="107">
        <f>$H$31*H39</f>
        <v>1.7052028306958802E-4</v>
      </c>
    </row>
    <row r="50" spans="1:62" ht="15.75" thickBot="1" x14ac:dyDescent="0.3">
      <c r="A50" s="116" t="s">
        <v>112</v>
      </c>
      <c r="B50" s="116" t="s">
        <v>123</v>
      </c>
      <c r="C50" s="116" t="s">
        <v>113</v>
      </c>
      <c r="D50" s="116" t="s">
        <v>124</v>
      </c>
      <c r="E50" s="116" t="s">
        <v>115</v>
      </c>
      <c r="G50" s="76"/>
      <c r="H50" s="77"/>
      <c r="I50" s="33"/>
      <c r="J50" s="33"/>
      <c r="K50" s="77"/>
      <c r="L50" s="77"/>
      <c r="M50" s="31"/>
      <c r="N50" s="31"/>
      <c r="O50" s="32"/>
      <c r="P50" s="32"/>
      <c r="Q50" s="32"/>
      <c r="R50" s="32"/>
      <c r="S50" s="76"/>
      <c r="T50" s="76"/>
      <c r="U50" s="76"/>
      <c r="V50" s="77"/>
      <c r="W50" s="33"/>
      <c r="X50" s="13"/>
      <c r="Y50" s="13"/>
      <c r="BH50">
        <f>BH45+1</f>
        <v>6</v>
      </c>
      <c r="BI50">
        <v>7</v>
      </c>
      <c r="BJ50" s="107">
        <f>$H$31*H46</f>
        <v>1.0812696544017379E-6</v>
      </c>
    </row>
    <row r="51" spans="1:62" ht="15.75" thickBot="1" x14ac:dyDescent="0.3">
      <c r="A51" s="116" t="s">
        <v>116</v>
      </c>
      <c r="B51" s="116" t="s">
        <v>123</v>
      </c>
      <c r="C51" s="116" t="s">
        <v>113</v>
      </c>
      <c r="D51" s="116" t="s">
        <v>125</v>
      </c>
      <c r="E51" s="116" t="s">
        <v>122</v>
      </c>
      <c r="BH51">
        <f>BH46+1</f>
        <v>6</v>
      </c>
      <c r="BI51">
        <v>8</v>
      </c>
      <c r="BJ51" s="107">
        <f>$H$31*H47</f>
        <v>1.3654529171116519E-7</v>
      </c>
    </row>
    <row r="52" spans="1:62" x14ac:dyDescent="0.25">
      <c r="H52" s="107"/>
      <c r="BH52">
        <f>BH47+1</f>
        <v>6</v>
      </c>
      <c r="BI52">
        <v>9</v>
      </c>
      <c r="BJ52" s="107">
        <f>$H$31*H48</f>
        <v>1.282849005478214E-8</v>
      </c>
    </row>
    <row r="53" spans="1:62" x14ac:dyDescent="0.25">
      <c r="BH53">
        <f>BH48+1</f>
        <v>6</v>
      </c>
      <c r="BI53">
        <v>10</v>
      </c>
      <c r="BJ53" s="107">
        <f>$H$31*H49</f>
        <v>8.717623710745069E-10</v>
      </c>
    </row>
    <row r="54" spans="1:62" x14ac:dyDescent="0.25">
      <c r="BH54">
        <f>BH51+1</f>
        <v>7</v>
      </c>
      <c r="BI54">
        <v>8</v>
      </c>
      <c r="BJ54" s="107">
        <f>$H$32*H47</f>
        <v>1.4767222723443798E-8</v>
      </c>
    </row>
    <row r="55" spans="1:62" x14ac:dyDescent="0.25">
      <c r="BH55">
        <f>BH52+1</f>
        <v>7</v>
      </c>
      <c r="BI55">
        <v>9</v>
      </c>
      <c r="BJ55" s="107">
        <f>$H$32*H48</f>
        <v>1.3873870528262319E-9</v>
      </c>
    </row>
    <row r="56" spans="1:62" x14ac:dyDescent="0.25">
      <c r="BH56">
        <f>BH53+1</f>
        <v>7</v>
      </c>
      <c r="BI56">
        <v>10</v>
      </c>
      <c r="BJ56" s="107">
        <f>$H$32*H49</f>
        <v>9.4280139097041074E-11</v>
      </c>
    </row>
    <row r="57" spans="1:62" x14ac:dyDescent="0.25">
      <c r="BH57">
        <f>BH55+1</f>
        <v>8</v>
      </c>
      <c r="BI57">
        <v>9</v>
      </c>
      <c r="BJ57" s="107">
        <f>$H$33*H48</f>
        <v>1.1134382093589884E-10</v>
      </c>
    </row>
    <row r="58" spans="1:62" x14ac:dyDescent="0.25">
      <c r="BH58">
        <f>BH56+1</f>
        <v>8</v>
      </c>
      <c r="BI58">
        <v>10</v>
      </c>
      <c r="BJ58" s="107">
        <f>$H$33*H49</f>
        <v>7.5663895695496102E-12</v>
      </c>
    </row>
    <row r="59" spans="1:62" x14ac:dyDescent="0.25">
      <c r="BH59">
        <f t="shared" ref="BH59" si="39">BH58+1</f>
        <v>9</v>
      </c>
      <c r="BI59">
        <v>10</v>
      </c>
      <c r="BJ59" s="107">
        <f>$H$34*H49</f>
        <v>4.4748555412761823E-13</v>
      </c>
    </row>
  </sheetData>
  <mergeCells count="2">
    <mergeCell ref="P1:Q1"/>
    <mergeCell ref="B3:C3"/>
  </mergeCells>
  <conditionalFormatting sqref="V25:V35 V39:V49">
    <cfRule type="cellIs" dxfId="69" priority="14" operator="greaterThan">
      <formula>0.15</formula>
    </cfRule>
  </conditionalFormatting>
  <conditionalFormatting sqref="V35">
    <cfRule type="cellIs" dxfId="68" priority="13" operator="greaterThan">
      <formula>0.15</formula>
    </cfRule>
  </conditionalFormatting>
  <conditionalFormatting sqref="V49">
    <cfRule type="cellIs" dxfId="67" priority="12" operator="greaterThan">
      <formula>0.15</formula>
    </cfRule>
  </conditionalFormatting>
  <conditionalFormatting sqref="V25:V35 V39:V49">
    <cfRule type="cellIs" dxfId="66" priority="11" operator="greaterThan">
      <formula>0.15</formula>
    </cfRule>
  </conditionalFormatting>
  <conditionalFormatting sqref="V35">
    <cfRule type="cellIs" dxfId="65" priority="10" operator="greaterThan">
      <formula>0.15</formula>
    </cfRule>
  </conditionalFormatting>
  <conditionalFormatting sqref="V49">
    <cfRule type="cellIs" dxfId="64" priority="9" operator="greaterThan">
      <formula>0.15</formula>
    </cfRule>
  </conditionalFormatting>
  <conditionalFormatting sqref="H25:H35">
    <cfRule type="cellIs" dxfId="63" priority="8" operator="greaterThan">
      <formula>0.15</formula>
    </cfRule>
  </conditionalFormatting>
  <conditionalFormatting sqref="H35">
    <cfRule type="cellIs" dxfId="62" priority="7" operator="greaterThan">
      <formula>0.15</formula>
    </cfRule>
  </conditionalFormatting>
  <conditionalFormatting sqref="H25:H35">
    <cfRule type="cellIs" dxfId="61" priority="6" operator="greaterThan">
      <formula>0.15</formula>
    </cfRule>
  </conditionalFormatting>
  <conditionalFormatting sqref="H35">
    <cfRule type="cellIs" dxfId="60" priority="5" operator="greaterThan">
      <formula>0.15</formula>
    </cfRule>
  </conditionalFormatting>
  <conditionalFormatting sqref="H39:H49">
    <cfRule type="cellIs" dxfId="59" priority="4" operator="greaterThan">
      <formula>0.15</formula>
    </cfRule>
  </conditionalFormatting>
  <conditionalFormatting sqref="H49">
    <cfRule type="cellIs" dxfId="58" priority="3" operator="greaterThan">
      <formula>0.15</formula>
    </cfRule>
  </conditionalFormatting>
  <conditionalFormatting sqref="H39:H49">
    <cfRule type="cellIs" dxfId="57" priority="2" operator="greaterThan">
      <formula>0.15</formula>
    </cfRule>
  </conditionalFormatting>
  <conditionalFormatting sqref="H49">
    <cfRule type="cellIs" dxfId="56" priority="1" operator="greaterThan">
      <formula>0.15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BR59"/>
  <sheetViews>
    <sheetView zoomScale="80" zoomScaleNormal="80" workbookViewId="0">
      <selection activeCell="G20" sqref="G20"/>
    </sheetView>
  </sheetViews>
  <sheetFormatPr baseColWidth="10" defaultColWidth="9.140625" defaultRowHeight="15" x14ac:dyDescent="0.25"/>
  <cols>
    <col min="1" max="1" width="22.7109375" bestFit="1" customWidth="1"/>
    <col min="2" max="3" width="9.140625" bestFit="1" customWidth="1"/>
    <col min="4" max="4" width="11.28515625" bestFit="1" customWidth="1"/>
    <col min="5" max="5" width="10.140625" bestFit="1" customWidth="1"/>
    <col min="6" max="6" width="4.85546875" bestFit="1" customWidth="1"/>
    <col min="7" max="7" width="6" bestFit="1" customWidth="1"/>
    <col min="8" max="8" width="9.140625" bestFit="1" customWidth="1"/>
    <col min="9" max="9" width="4.42578125" bestFit="1" customWidth="1"/>
    <col min="10" max="10" width="9.140625" bestFit="1" customWidth="1"/>
    <col min="11" max="11" width="6" bestFit="1" customWidth="1"/>
    <col min="12" max="12" width="9.140625" bestFit="1" customWidth="1"/>
    <col min="13" max="13" width="5.7109375" bestFit="1" customWidth="1"/>
    <col min="14" max="14" width="9.140625" bestFit="1" customWidth="1"/>
    <col min="15" max="15" width="7.140625" bestFit="1" customWidth="1"/>
    <col min="16" max="16" width="9.140625" bestFit="1" customWidth="1"/>
    <col min="17" max="17" width="8.85546875" bestFit="1" customWidth="1"/>
    <col min="18" max="18" width="9.140625" bestFit="1" customWidth="1"/>
    <col min="19" max="19" width="8.85546875" bestFit="1" customWidth="1"/>
    <col min="20" max="20" width="9.140625" bestFit="1" customWidth="1"/>
    <col min="21" max="21" width="8.85546875" bestFit="1" customWidth="1"/>
    <col min="22" max="22" width="9.140625" bestFit="1" customWidth="1"/>
    <col min="23" max="23" width="17.42578125" customWidth="1"/>
    <col min="24" max="24" width="7.140625" bestFit="1" customWidth="1"/>
    <col min="25" max="25" width="9.140625" bestFit="1" customWidth="1"/>
    <col min="26" max="26" width="8.7109375" bestFit="1" customWidth="1"/>
    <col min="27" max="27" width="8" bestFit="1" customWidth="1"/>
    <col min="28" max="28" width="10" customWidth="1"/>
    <col min="29" max="29" width="8.42578125" bestFit="1" customWidth="1"/>
    <col min="30" max="30" width="8.85546875" bestFit="1" customWidth="1"/>
    <col min="31" max="31" width="8.42578125" bestFit="1" customWidth="1"/>
    <col min="32" max="32" width="8.7109375" bestFit="1" customWidth="1"/>
    <col min="33" max="33" width="8.42578125" bestFit="1" customWidth="1"/>
    <col min="34" max="34" width="3.7109375" bestFit="1" customWidth="1"/>
    <col min="35" max="35" width="8.42578125" bestFit="1" customWidth="1"/>
    <col min="36" max="36" width="3.7109375" bestFit="1" customWidth="1"/>
    <col min="37" max="37" width="8.42578125" bestFit="1" customWidth="1"/>
    <col min="38" max="38" width="4.85546875" bestFit="1" customWidth="1"/>
    <col min="39" max="39" width="9.140625" bestFit="1" customWidth="1"/>
    <col min="42" max="42" width="4.5703125" bestFit="1" customWidth="1"/>
    <col min="43" max="43" width="8.42578125" bestFit="1" customWidth="1"/>
    <col min="44" max="44" width="5.42578125" bestFit="1" customWidth="1"/>
    <col min="45" max="45" width="8.42578125" bestFit="1" customWidth="1"/>
    <col min="46" max="46" width="2.28515625" bestFit="1" customWidth="1"/>
    <col min="47" max="47" width="3.42578125" bestFit="1" customWidth="1"/>
    <col min="48" max="48" width="4.28515625" bestFit="1" customWidth="1"/>
    <col min="49" max="52" width="3" bestFit="1" customWidth="1"/>
    <col min="53" max="56" width="3.42578125" bestFit="1" customWidth="1"/>
    <col min="57" max="58" width="4.42578125" bestFit="1" customWidth="1"/>
    <col min="60" max="60" width="2.42578125" bestFit="1" customWidth="1"/>
    <col min="61" max="61" width="3.42578125" bestFit="1" customWidth="1"/>
    <col min="62" max="62" width="6.140625" bestFit="1" customWidth="1"/>
    <col min="63" max="63" width="4.7109375" customWidth="1"/>
    <col min="64" max="65" width="3.42578125" bestFit="1" customWidth="1"/>
    <col min="66" max="66" width="6.140625" bestFit="1" customWidth="1"/>
    <col min="67" max="67" width="4.42578125" customWidth="1"/>
    <col min="68" max="69" width="2.42578125" bestFit="1" customWidth="1"/>
    <col min="70" max="70" width="5.28515625" bestFit="1" customWidth="1"/>
  </cols>
  <sheetData>
    <row r="1" spans="1:70" x14ac:dyDescent="0.25">
      <c r="A1" s="198" t="s">
        <v>143</v>
      </c>
      <c r="B1" t="s">
        <v>146</v>
      </c>
      <c r="F1" s="10" t="s">
        <v>123</v>
      </c>
      <c r="G1" s="70">
        <f>IF(D3="SI",COUNTIF($F$6:$F$18,"RAP"),0)</f>
        <v>1</v>
      </c>
      <c r="H1" s="70">
        <f>G1+G2+G3</f>
        <v>5</v>
      </c>
      <c r="J1" s="11" t="s">
        <v>123</v>
      </c>
      <c r="K1" s="70">
        <f>IF(D3="SI",COUNTIF($J$6:$J$18,"RAP"),0)</f>
        <v>1</v>
      </c>
      <c r="L1" s="70">
        <f>K1+K2+K3</f>
        <v>2</v>
      </c>
      <c r="M1" s="150">
        <f>L1+H1</f>
        <v>7</v>
      </c>
      <c r="P1" s="199" t="s">
        <v>135</v>
      </c>
      <c r="Q1" s="199"/>
      <c r="R1" s="152">
        <v>-0.12364059050405629</v>
      </c>
      <c r="S1" s="153">
        <f>1+R1</f>
        <v>0.87635940949594371</v>
      </c>
      <c r="U1" s="160" t="s">
        <v>145</v>
      </c>
      <c r="V1">
        <f>IF(B17="JC",IF(C17="JC",1.2,1.1),IF(C17="JC",1.1,1))</f>
        <v>1</v>
      </c>
      <c r="AF1">
        <f>COUNTA(J16:J18)</f>
        <v>2</v>
      </c>
    </row>
    <row r="2" spans="1:70" x14ac:dyDescent="0.25">
      <c r="A2" s="198" t="s">
        <v>322</v>
      </c>
      <c r="B2" t="s">
        <v>146</v>
      </c>
      <c r="F2" s="10" t="s">
        <v>21</v>
      </c>
      <c r="G2" s="70">
        <f>IF(D3="SI",COUNTIF($F$6:$F$18,"TEC"),0)</f>
        <v>4</v>
      </c>
      <c r="H2" s="13"/>
      <c r="J2" s="11" t="s">
        <v>21</v>
      </c>
      <c r="K2" s="70">
        <f>IF(D3="SI",COUNTIF($J$6:$J$18,"TEC"),0)</f>
        <v>0</v>
      </c>
      <c r="L2" s="13" t="s">
        <v>134</v>
      </c>
      <c r="M2" s="163" t="str">
        <f>IF(M1&lt;&gt;0,"SI","NO")</f>
        <v>SI</v>
      </c>
      <c r="O2" t="s">
        <v>148</v>
      </c>
      <c r="P2" s="165" t="s">
        <v>149</v>
      </c>
      <c r="R2" s="152">
        <v>7.3959748117051513E-2</v>
      </c>
      <c r="S2" s="153">
        <f>1+R2</f>
        <v>1.0739597481170515</v>
      </c>
      <c r="Y2" t="s">
        <v>148</v>
      </c>
      <c r="Z2" s="164" t="s">
        <v>149</v>
      </c>
    </row>
    <row r="3" spans="1:70" x14ac:dyDescent="0.25">
      <c r="A3" s="162" t="s">
        <v>108</v>
      </c>
      <c r="B3" s="200" t="s">
        <v>112</v>
      </c>
      <c r="C3" s="200"/>
      <c r="D3" t="str">
        <f>IF(B3="Sol","SI",IF(B3="Lluvia","SI","NO"))</f>
        <v>SI</v>
      </c>
      <c r="F3" s="10" t="s">
        <v>131</v>
      </c>
      <c r="G3" s="70">
        <f>IF(D3="SI",COUNTIF($F$6:$F$18,"POT"),0)</f>
        <v>0</v>
      </c>
      <c r="H3" s="13"/>
      <c r="J3" s="11" t="s">
        <v>131</v>
      </c>
      <c r="K3" s="70">
        <f>IF(D3="SI",COUNTIF($J$6:$J$18,"POT"),0)</f>
        <v>1</v>
      </c>
      <c r="L3" s="13"/>
      <c r="O3" t="s">
        <v>132</v>
      </c>
      <c r="P3" s="165" t="s">
        <v>138</v>
      </c>
      <c r="Q3" t="s">
        <v>133</v>
      </c>
      <c r="R3" s="165" t="s">
        <v>139</v>
      </c>
      <c r="Y3" t="s">
        <v>132</v>
      </c>
      <c r="Z3" s="164" t="s">
        <v>138</v>
      </c>
      <c r="AA3" t="s">
        <v>133</v>
      </c>
      <c r="AB3" s="164" t="s">
        <v>139</v>
      </c>
    </row>
    <row r="4" spans="1:70" ht="15.75" x14ac:dyDescent="0.25">
      <c r="A4" s="124"/>
      <c r="B4" s="8" t="s">
        <v>106</v>
      </c>
      <c r="C4" s="9" t="s">
        <v>107</v>
      </c>
      <c r="D4" s="13"/>
      <c r="E4" s="13"/>
      <c r="F4" s="8" t="s">
        <v>13</v>
      </c>
      <c r="G4" s="8" t="s">
        <v>128</v>
      </c>
      <c r="H4" s="8" t="s">
        <v>127</v>
      </c>
      <c r="I4" s="8" t="s">
        <v>129</v>
      </c>
      <c r="J4" s="9" t="s">
        <v>14</v>
      </c>
      <c r="K4" s="9" t="s">
        <v>128</v>
      </c>
      <c r="L4" s="9" t="s">
        <v>127</v>
      </c>
      <c r="M4" s="9" t="s">
        <v>129</v>
      </c>
      <c r="N4" s="13"/>
      <c r="O4" s="8" t="s">
        <v>28</v>
      </c>
      <c r="P4" s="8" t="s">
        <v>29</v>
      </c>
      <c r="Q4" s="8" t="s">
        <v>30</v>
      </c>
      <c r="R4" s="8" t="s">
        <v>70</v>
      </c>
      <c r="S4" s="8" t="s">
        <v>31</v>
      </c>
      <c r="T4" s="8" t="s">
        <v>32</v>
      </c>
      <c r="U4" s="8" t="s">
        <v>33</v>
      </c>
      <c r="V4" s="198"/>
      <c r="W4" s="125"/>
      <c r="X4" s="12" t="s">
        <v>72</v>
      </c>
      <c r="Y4" s="9" t="s">
        <v>28</v>
      </c>
      <c r="Z4" s="9" t="s">
        <v>29</v>
      </c>
      <c r="AA4" s="9" t="s">
        <v>34</v>
      </c>
      <c r="AB4" s="9" t="s">
        <v>35</v>
      </c>
      <c r="AC4" s="9" t="s">
        <v>31</v>
      </c>
      <c r="AD4" s="9" t="s">
        <v>32</v>
      </c>
      <c r="AE4" s="9" t="s">
        <v>33</v>
      </c>
      <c r="AF4" s="14"/>
      <c r="BH4">
        <v>0</v>
      </c>
      <c r="BI4">
        <v>1</v>
      </c>
      <c r="BJ4" s="107">
        <f t="shared" ref="BJ4:BJ13" si="0">$H$25*H40</f>
        <v>1.9606221242972666E-2</v>
      </c>
      <c r="BL4">
        <v>0</v>
      </c>
      <c r="BM4">
        <v>0</v>
      </c>
      <c r="BN4" s="107">
        <f>H25*H39</f>
        <v>5.0588565232684195E-3</v>
      </c>
      <c r="BP4">
        <v>1</v>
      </c>
      <c r="BQ4">
        <v>0</v>
      </c>
      <c r="BR4" s="107">
        <f>$H$26*H39</f>
        <v>1.2026516761438861E-2</v>
      </c>
    </row>
    <row r="5" spans="1:70" x14ac:dyDescent="0.25">
      <c r="A5" s="188" t="s">
        <v>140</v>
      </c>
      <c r="B5" s="161">
        <v>352</v>
      </c>
      <c r="C5" s="161">
        <v>352</v>
      </c>
      <c r="E5" s="192" t="s">
        <v>15</v>
      </c>
      <c r="F5" s="167" t="s">
        <v>16</v>
      </c>
      <c r="G5" s="167">
        <v>12</v>
      </c>
      <c r="H5" s="10"/>
      <c r="I5" s="10"/>
      <c r="J5" s="166" t="s">
        <v>16</v>
      </c>
      <c r="K5" s="166">
        <v>12</v>
      </c>
      <c r="L5" s="10"/>
      <c r="M5" s="10"/>
      <c r="O5" s="67">
        <f>COUNTIF(F5:F18,"IMP")*0.017</f>
        <v>1.7000000000000001E-2</v>
      </c>
      <c r="P5" s="16" t="str">
        <f>P3</f>
        <v>0,6</v>
      </c>
      <c r="Q5" s="16">
        <f>P5*O5</f>
        <v>1.0200000000000001E-2</v>
      </c>
      <c r="R5" s="157">
        <f>IF($M$2="SI",Q5*$B$22/0.5*$S$1,Q5*$B$22/0.5*$S$2)</f>
        <v>8.3293978420728113E-3</v>
      </c>
      <c r="S5" s="176">
        <f>(1-R5)</f>
        <v>0.99167060215792724</v>
      </c>
      <c r="T5" s="177">
        <f>R5*PRODUCT(S6:S19)</f>
        <v>6.0820804170160087E-3</v>
      </c>
      <c r="U5" s="177">
        <f>R5*R6*PRODUCT(S7:S19)+R5*R7*PRODUCT(S8:S19)*PRODUCT(S6)+R5*R8*PRODUCT(S9:S19)*PRODUCT(S6:S7)+R5*R9*PRODUCT(S10:S19)*PRODUCT(S6:S8)+R5*R10*PRODUCT(S11:S19)*PRODUCT(S6:S9)+R5*R11*PRODUCT(S12:S19)*PRODUCT(S6:S10)+R5*R12*PRODUCT(S13:S19)*PRODUCT(S6:S11)+R5*R13*PRODUCT(S14:S19)*PRODUCT(S6:S12)+R5*R14*PRODUCT(S15:S19)*PRODUCT(S6:S13)+R5*R15*PRODUCT(S16:S19)*PRODUCT(S6:S14)+R5*R16*PRODUCT(S17:S19)*PRODUCT(S6:S15)+R5*R17*PRODUCT(S18:S19)*PRODUCT(S6:S16)+R5*R18*PRODUCT(S19)*PRODUCT(S6:S17)+R5*R19*PRODUCT(S6:S18)</f>
        <v>1.9652657785754293E-3</v>
      </c>
      <c r="V5" s="18"/>
      <c r="W5" s="186" t="s">
        <v>36</v>
      </c>
      <c r="X5" s="15" t="s">
        <v>37</v>
      </c>
      <c r="Y5" s="69">
        <f>COUNTIF(J5:J18,"IMP")*0.017</f>
        <v>0</v>
      </c>
      <c r="Z5" s="146" t="str">
        <f>Z3</f>
        <v>0,6</v>
      </c>
      <c r="AA5" s="19">
        <f>Z5*Y5</f>
        <v>0</v>
      </c>
      <c r="AB5" s="157">
        <f>IF($M$2="SI",AA5*$C$22/0.5*$S$1,AA5*$C$22/0.5*$S$2)</f>
        <v>0</v>
      </c>
      <c r="AC5" s="176">
        <f>(1-AB5)</f>
        <v>1</v>
      </c>
      <c r="AD5" s="177">
        <f>AB5*PRODUCT(AC6:AC19)</f>
        <v>0</v>
      </c>
      <c r="AE5" s="177">
        <f>AB5*AB6*PRODUCT(AC7:AC19)+AB5*AB7*PRODUCT(AC8:AC19)*PRODUCT(AC6)+AB5*AB8*PRODUCT(AC9:AC19)*PRODUCT(AC6:AC7)+AB5*AB9*PRODUCT(AC10:AC19)*PRODUCT(AC6:AC8)+AB5*AB10*PRODUCT(AC11:AC19)*PRODUCT(AC6:AC9)+AB5*AB11*PRODUCT(AC12:AC19)*PRODUCT(AC6:AC10)+AB5*AB12*PRODUCT(AC13:AC19)*PRODUCT(AC6:AC11)+AB5*AB13*PRODUCT(AC14:AC19)*PRODUCT(AC6:AC12)+AB5*AB14*PRODUCT(AC15:AC19)*PRODUCT(AC6:AC13)+AB5*AB15*PRODUCT(AC16:AC19)*PRODUCT(AC6:AC14)+AB5*AB16*PRODUCT(AC17:AC19)*PRODUCT(AC6:AC15)+AB5*AB17*PRODUCT(AC18:AC19)*PRODUCT(AC6:AC16)+AB5*AB18*PRODUCT(AC19)*PRODUCT(AC6:AC17)+AB5*AB19*PRODUCT(AC6:AC18)</f>
        <v>0</v>
      </c>
      <c r="AF5" s="18"/>
      <c r="BH5">
        <v>0</v>
      </c>
      <c r="BI5">
        <v>2</v>
      </c>
      <c r="BJ5" s="107">
        <f t="shared" si="0"/>
        <v>3.1408937612324966E-2</v>
      </c>
      <c r="BL5">
        <v>1</v>
      </c>
      <c r="BM5">
        <v>1</v>
      </c>
      <c r="BN5" s="107">
        <f>$H$26*H40</f>
        <v>4.6610246272560343E-2</v>
      </c>
      <c r="BP5">
        <f>BP4+1</f>
        <v>2</v>
      </c>
      <c r="BQ5">
        <v>0</v>
      </c>
      <c r="BR5" s="107">
        <f>$H$27*H39</f>
        <v>1.3199499361867036E-2</v>
      </c>
    </row>
    <row r="6" spans="1:70" x14ac:dyDescent="0.25">
      <c r="A6" s="2" t="s">
        <v>1</v>
      </c>
      <c r="B6" s="168">
        <v>10.25</v>
      </c>
      <c r="C6" s="169">
        <v>11.75</v>
      </c>
      <c r="E6" s="192" t="s">
        <v>17</v>
      </c>
      <c r="F6" s="167" t="s">
        <v>16</v>
      </c>
      <c r="G6" s="167"/>
      <c r="H6" s="10"/>
      <c r="I6" s="10"/>
      <c r="J6" s="166" t="s">
        <v>144</v>
      </c>
      <c r="K6" s="166"/>
      <c r="L6" s="10"/>
      <c r="M6" s="10"/>
      <c r="O6" s="67">
        <f>COUNTIF(F14:F18,"IMP")*0.017</f>
        <v>1.7000000000000001E-2</v>
      </c>
      <c r="P6" s="16" t="str">
        <f>P3</f>
        <v>0,6</v>
      </c>
      <c r="Q6" s="16">
        <f t="shared" ref="Q6:Q19" si="1">P6*O6</f>
        <v>1.0200000000000001E-2</v>
      </c>
      <c r="R6" s="157">
        <f>IF($M$2="SI",Q6*$B$22/0.5*$S$1,Q6*$B$22/0.5*$S$2)</f>
        <v>8.3293978420728113E-3</v>
      </c>
      <c r="S6" s="176">
        <f t="shared" ref="S6:S19" si="2">(1-R6)</f>
        <v>0.99167060215792724</v>
      </c>
      <c r="T6" s="177">
        <f>R6*S5*PRODUCT(S7:S19)</f>
        <v>6.0820804170160078E-3</v>
      </c>
      <c r="U6" s="177">
        <f>R6*R7*PRODUCT(S8:S19)*PRODUCT(S5)+R6*R8*PRODUCT(S9:S19)*S5*PRODUCT(S7)+R6*R9*PRODUCT(S10:S19)*S5*PRODUCT(S7:S8)+R6*R10*PRODUCT(S11:S19)*S5*PRODUCT(S7:S9)+R6*R11*PRODUCT(S12:S19)*S5*PRODUCT(S7:S10)+R6*R12*PRODUCT(S13:S19)*S5*PRODUCT(S7:S11)+R6*R13*PRODUCT(S14:S19)*S5*PRODUCT(S7:S12)+R6*R14*PRODUCT(S15:S19)*S5*PRODUCT(S7:S13)+R6*R15*PRODUCT(S16:S19)*S5*PRODUCT(S7:S14)+R6*R16*PRODUCT(S17:S19)*S5*PRODUCT(S7:S15)+R6*R17*PRODUCT(S18:S19)*S5*PRODUCT(S7:S16)+R6*R18*PRODUCT(S19)*S5*PRODUCT(S7:S17)+R6*R19*S5*PRODUCT(S7:S18)</f>
        <v>1.914180198957996E-3</v>
      </c>
      <c r="V6" s="18"/>
      <c r="W6" s="186" t="s">
        <v>38</v>
      </c>
      <c r="X6" s="15" t="s">
        <v>39</v>
      </c>
      <c r="Y6" s="69">
        <f>COUNTIF(J14:J18,"IMP")*0.017</f>
        <v>0</v>
      </c>
      <c r="Z6" s="146" t="str">
        <f>Z3</f>
        <v>0,6</v>
      </c>
      <c r="AA6" s="19">
        <f t="shared" ref="AA6:AA19" si="3">Z6*Y6</f>
        <v>0</v>
      </c>
      <c r="AB6" s="157">
        <f t="shared" ref="AB6:AB19" si="4">IF($M$2="SI",AA6*$C$22/0.5*$S$1,AA6*$C$22/0.5*$S$2)</f>
        <v>0</v>
      </c>
      <c r="AC6" s="176">
        <f t="shared" ref="AC6:AC19" si="5">(1-AB6)</f>
        <v>1</v>
      </c>
      <c r="AD6" s="177">
        <f>AB6*AC5*PRODUCT(AC7:AC19)</f>
        <v>0</v>
      </c>
      <c r="AE6" s="177">
        <f>AB6*AB7*PRODUCT(AC8:AC19)*PRODUCT(AC5)+AB6*AB8*PRODUCT(AC9:AC19)*AC5*PRODUCT(AC7)+AB6*AB9*PRODUCT(AC10:AC19)*AC5*PRODUCT(AC7:AC8)+AB6*AB10*PRODUCT(AC11:AC19)*AC5*PRODUCT(AC7:AC9)+AB6*AB11*PRODUCT(AC12:AC19)*AC5*PRODUCT(AC7:AC10)+AB6*AB12*PRODUCT(AC13:AC19)*AC5*PRODUCT(AC7:AC11)+AB6*AB13*PRODUCT(AC14:AC19)*AC5*PRODUCT(AC7:AC12)+AB6*AB14*PRODUCT(AC15:AC19)*AC5*PRODUCT(AC7:AC13)+AB6*AB15*PRODUCT(AC16:AC19)*AC5*PRODUCT(AC7:AC14)+AB6*AB16*PRODUCT(AC17:AC19)*AC5*PRODUCT(AC7:AC15)+AB6*AB17*PRODUCT(AC18:AC19)*AC5*PRODUCT(AC7:AC16)+AB6*AB18*PRODUCT(AC19)*AC5*PRODUCT(AC7:AC17)+AB6*AB19*AC5*PRODUCT(AC7:AC18)</f>
        <v>0</v>
      </c>
      <c r="AF6" s="18"/>
      <c r="BH6">
        <v>0</v>
      </c>
      <c r="BI6">
        <v>3</v>
      </c>
      <c r="BJ6" s="107">
        <f t="shared" si="0"/>
        <v>2.8868089618140275E-2</v>
      </c>
      <c r="BL6">
        <f>BH14+1</f>
        <v>2</v>
      </c>
      <c r="BM6">
        <v>2</v>
      </c>
      <c r="BN6" s="107">
        <f>$H$27*H41</f>
        <v>8.1951771129289142E-2</v>
      </c>
      <c r="BP6">
        <f>BL5+1</f>
        <v>2</v>
      </c>
      <c r="BQ6">
        <v>1</v>
      </c>
      <c r="BR6" s="107">
        <f>$H$27*H40</f>
        <v>5.1156284744371727E-2</v>
      </c>
    </row>
    <row r="7" spans="1:70" x14ac:dyDescent="0.25">
      <c r="A7" s="5" t="s">
        <v>2</v>
      </c>
      <c r="B7" s="168">
        <v>15</v>
      </c>
      <c r="C7" s="169">
        <v>12.25</v>
      </c>
      <c r="E7" s="192" t="s">
        <v>18</v>
      </c>
      <c r="F7" s="167"/>
      <c r="G7" s="167"/>
      <c r="H7" s="10"/>
      <c r="I7" s="10"/>
      <c r="J7" s="166"/>
      <c r="K7" s="166"/>
      <c r="L7" s="10"/>
      <c r="M7" s="10"/>
      <c r="O7" s="67">
        <v>0</v>
      </c>
      <c r="P7" s="144">
        <v>0.5</v>
      </c>
      <c r="Q7" s="16">
        <f t="shared" si="1"/>
        <v>0</v>
      </c>
      <c r="R7" s="157">
        <f t="shared" ref="R7:R19" si="6">IF($M$2="SI",Q7*$B$22/0.5*$S$1,Q7*$B$22/0.5*$S$2)</f>
        <v>0</v>
      </c>
      <c r="S7" s="176">
        <f t="shared" si="2"/>
        <v>1</v>
      </c>
      <c r="T7" s="177">
        <f>R7*PRODUCT(S5:S6)*PRODUCT(S8:S19)</f>
        <v>0</v>
      </c>
      <c r="U7" s="177">
        <f>R7*R8*PRODUCT(S9:S19)*PRODUCT(S5:S6)+R7*R9*PRODUCT(S10:S19)*PRODUCT(S5:S6)*PRODUCT(S8)+R7*R10*PRODUCT(S11:S19)*PRODUCT(S5:S6)*PRODUCT(S8:S9)+R7*R11*PRODUCT(S12:S19)*PRODUCT(S5:S6)*PRODUCT(S8:S10)+R7*R12*PRODUCT(S13:S19)*PRODUCT(S5:S6)*PRODUCT(S8:S11)+R7*R13*PRODUCT(S14:S19)*PRODUCT(S5:S6)*PRODUCT(S8:S12)+R7*R14*PRODUCT(S15:S19)*PRODUCT(S5:S6)*PRODUCT(S8:S13)+R7*R15*PRODUCT(S16:S19)*PRODUCT(S5:S6)*PRODUCT(S8:S14)+R7*R16*PRODUCT(S17:S19)*PRODUCT(S5:S6)*PRODUCT(S8:S15)+R7*R17*PRODUCT(S18:S19)*PRODUCT(S5:S6)*PRODUCT(S8:S16)+R7*R18*PRODUCT(S19)*PRODUCT(S5:S6)*PRODUCT(S8:S17)+R7*R19*PRODUCT(S5:S6)*PRODUCT(S8:S18)</f>
        <v>0</v>
      </c>
      <c r="W7" s="186" t="s">
        <v>40</v>
      </c>
      <c r="X7" s="15" t="s">
        <v>41</v>
      </c>
      <c r="Y7" s="69">
        <v>0</v>
      </c>
      <c r="Z7" s="146">
        <v>0.5</v>
      </c>
      <c r="AA7" s="19">
        <f t="shared" si="3"/>
        <v>0</v>
      </c>
      <c r="AB7" s="157">
        <f t="shared" si="4"/>
        <v>0</v>
      </c>
      <c r="AC7" s="176">
        <f t="shared" si="5"/>
        <v>1</v>
      </c>
      <c r="AD7" s="177">
        <f>AB7*PRODUCT(AC5:AC6)*PRODUCT(AC8:AC19)</f>
        <v>0</v>
      </c>
      <c r="AE7" s="177">
        <f>AB7*AB8*PRODUCT(AC9:AC19)*PRODUCT(AC5:AC6)+AB7*AB9*PRODUCT(AC10:AC19)*PRODUCT(AC5:AC6)*PRODUCT(AC8)+AB7*AB10*PRODUCT(AC11:AC19)*PRODUCT(AC5:AC6)*PRODUCT(AC8:AC9)+AB7*AB11*PRODUCT(AC12:AC19)*PRODUCT(AC5:AC6)*PRODUCT(AC8:AC10)+AB7*AB12*PRODUCT(AC13:AC19)*PRODUCT(AC5:AC6)*PRODUCT(AC8:AC11)+AB7*AB13*PRODUCT(AC14:AC19)*PRODUCT(AC5:AC6)*PRODUCT(AC8:AC12)+AB7*AB14*PRODUCT(AC15:AC19)*PRODUCT(AC5:AC6)*PRODUCT(AC8:AC13)+AB7*AB15*PRODUCT(AC16:AC19)*PRODUCT(AC5:AC6)*PRODUCT(AC8:AC14)+AB7*AB16*PRODUCT(AC17:AC19)*PRODUCT(AC5:AC6)*PRODUCT(AC8:AC15)+AB7*AB17*PRODUCT(AC18:AC19)*PRODUCT(AC5:AC6)*PRODUCT(AC8:AC16)+AB7*AB18*PRODUCT(AC19)*PRODUCT(AC5:AC6)*PRODUCT(AC8:AC17)+AB7*AB19*PRODUCT(AC5:AC6)*PRODUCT(AC8:AC18)</f>
        <v>0</v>
      </c>
      <c r="BH7">
        <v>0</v>
      </c>
      <c r="BI7">
        <v>4</v>
      </c>
      <c r="BJ7" s="107">
        <f t="shared" si="0"/>
        <v>1.7358339500742843E-2</v>
      </c>
      <c r="BL7">
        <f>BH23+1</f>
        <v>3</v>
      </c>
      <c r="BM7">
        <v>3</v>
      </c>
      <c r="BN7" s="107">
        <f>$H$28*H42</f>
        <v>5.0605830954771752E-2</v>
      </c>
      <c r="BP7">
        <f>BP5+1</f>
        <v>3</v>
      </c>
      <c r="BQ7">
        <v>0</v>
      </c>
      <c r="BR7" s="107">
        <f>$H$28*H39</f>
        <v>8.8681877265648582E-3</v>
      </c>
    </row>
    <row r="8" spans="1:70" x14ac:dyDescent="0.25">
      <c r="A8" s="5" t="s">
        <v>3</v>
      </c>
      <c r="B8" s="168">
        <v>11.75</v>
      </c>
      <c r="C8" s="169">
        <v>14.25</v>
      </c>
      <c r="E8" s="192" t="s">
        <v>18</v>
      </c>
      <c r="F8" s="167" t="s">
        <v>16</v>
      </c>
      <c r="G8" s="167"/>
      <c r="H8" s="10"/>
      <c r="I8" s="10"/>
      <c r="J8" s="166"/>
      <c r="K8" s="166"/>
      <c r="L8" s="10"/>
      <c r="M8" s="10"/>
      <c r="O8" s="67">
        <f>COUNTIF(F6:F18,"IMP")*0.01</f>
        <v>0.01</v>
      </c>
      <c r="P8" s="16" t="str">
        <f>P3</f>
        <v>0,6</v>
      </c>
      <c r="Q8" s="16">
        <f t="shared" si="1"/>
        <v>6.0000000000000001E-3</v>
      </c>
      <c r="R8" s="157">
        <f t="shared" si="6"/>
        <v>4.8996457894545939E-3</v>
      </c>
      <c r="S8" s="176">
        <f t="shared" si="2"/>
        <v>0.99510035421054543</v>
      </c>
      <c r="T8" s="177">
        <f>R8*PRODUCT(S5:S7)*PRODUCT(S9:S19)</f>
        <v>3.5653633407244918E-3</v>
      </c>
      <c r="U8" s="177">
        <f>R8*R9*PRODUCT(S5:S7)*PRODUCT(S10:S19)+R8*R10*PRODUCT(S5:S7)*PRODUCT(S9)*PRODUCT(S11:S19)+R8*R11*PRODUCT(S5:S7)*PRODUCT(S9:S10)*PRODUCT(S12:S19)+R8*R12*PRODUCT(S5:S7)*PRODUCT(S9:S11)*PRODUCT(S13:S19)+R8*R13*PRODUCT(S5:S7)*PRODUCT(S9:S12)*PRODUCT(S14:S19)+R8*R14*PRODUCT(S5:S7)*PRODUCT(S9:S13)*PRODUCT(S15:S19)+R8*R15*PRODUCT(S5:S7)*PRODUCT(S9:S14)*PRODUCT(S16:S19)+R8*R16*PRODUCT(S5:S7)*PRODUCT(S9:S15)*PRODUCT(S17:S19)+R8*R17*PRODUCT(S5:S7)*PRODUCT(S9:S16)*PRODUCT(S18:S19)+R8*R18*PRODUCT(S5:S7)*PRODUCT(S9:S17)*PRODUCT(S19)+R8*R19*PRODUCT(S5:S7)*PRODUCT(S9:S18)</f>
        <v>1.1045524456353834E-3</v>
      </c>
      <c r="W8" s="186" t="s">
        <v>42</v>
      </c>
      <c r="X8" s="15" t="s">
        <v>43</v>
      </c>
      <c r="Y8" s="69">
        <f>COUNTIF(J6:J18,"IMP")*0.01</f>
        <v>0</v>
      </c>
      <c r="Z8" s="146" t="str">
        <f>Z3</f>
        <v>0,6</v>
      </c>
      <c r="AA8" s="19">
        <f t="shared" si="3"/>
        <v>0</v>
      </c>
      <c r="AB8" s="157">
        <f t="shared" si="4"/>
        <v>0</v>
      </c>
      <c r="AC8" s="176">
        <f t="shared" si="5"/>
        <v>1</v>
      </c>
      <c r="AD8" s="177">
        <f>AB8*PRODUCT(AC5:AC7)*PRODUCT(AC9:AC19)</f>
        <v>0</v>
      </c>
      <c r="AE8" s="177">
        <f>AB8*AB9*PRODUCT(AC5:AC7)*PRODUCT(AC10:AC19)+AB8*AB10*PRODUCT(AC5:AC7)*PRODUCT(AC9)*PRODUCT(AC11:AC19)+AB8*AB11*PRODUCT(AC5:AC7)*PRODUCT(AC9:AC10)*PRODUCT(AC12:AC19)+AB8*AB12*PRODUCT(AC5:AC7)*PRODUCT(AC9:AC11)*PRODUCT(AC13:AC19)+AB8*AB13*PRODUCT(AC5:AC7)*PRODUCT(AC9:AC12)*PRODUCT(AC14:AC19)+AB8*AB14*PRODUCT(AC5:AC7)*PRODUCT(AC9:AC13)*PRODUCT(AC15:AC19)+AB8*AB15*PRODUCT(AC5:AC7)*PRODUCT(AC9:AC14)*PRODUCT(AC16:AC19)+AB8*AB16*PRODUCT(AC5:AC7)*PRODUCT(AC9:AC15)*PRODUCT(AC17:AC19)+AB8*AB17*PRODUCT(AC5:AC7)*PRODUCT(AC9:AC16)*PRODUCT(AC18:AC19)+AB8*AB18*PRODUCT(AC5:AC7)*PRODUCT(AC9:AC17)*PRODUCT(AC19)+AB8*AB19*PRODUCT(AC5:AC7)*PRODUCT(AC9:AC18)</f>
        <v>0</v>
      </c>
      <c r="BH8">
        <v>0</v>
      </c>
      <c r="BI8">
        <v>5</v>
      </c>
      <c r="BJ8" s="107">
        <f t="shared" si="0"/>
        <v>7.298575617370481E-3</v>
      </c>
      <c r="BL8">
        <f>BH31+1</f>
        <v>4</v>
      </c>
      <c r="BM8">
        <v>4</v>
      </c>
      <c r="BN8" s="107">
        <f>$H$29*H43</f>
        <v>1.3989453066096754E-2</v>
      </c>
      <c r="BP8">
        <f>BP6+1</f>
        <v>3</v>
      </c>
      <c r="BQ8">
        <v>1</v>
      </c>
      <c r="BR8" s="107">
        <f>$H$28*H40</f>
        <v>3.4369753281500583E-2</v>
      </c>
    </row>
    <row r="9" spans="1:70" x14ac:dyDescent="0.25">
      <c r="A9" s="5" t="s">
        <v>4</v>
      </c>
      <c r="B9" s="168">
        <v>15.5</v>
      </c>
      <c r="C9" s="169">
        <v>16</v>
      </c>
      <c r="E9" s="192" t="s">
        <v>18</v>
      </c>
      <c r="F9" s="167"/>
      <c r="G9" s="167"/>
      <c r="H9" s="10"/>
      <c r="I9" s="10"/>
      <c r="J9" s="166" t="s">
        <v>144</v>
      </c>
      <c r="K9" s="166"/>
      <c r="L9" s="10"/>
      <c r="M9" s="10"/>
      <c r="O9" s="67">
        <f>COUNTIF(J6:J13,"IMP")*0.025</f>
        <v>0</v>
      </c>
      <c r="P9" s="144">
        <v>0.5</v>
      </c>
      <c r="Q9" s="16">
        <f t="shared" si="1"/>
        <v>0</v>
      </c>
      <c r="R9" s="157">
        <f t="shared" si="6"/>
        <v>0</v>
      </c>
      <c r="S9" s="176">
        <f t="shared" si="2"/>
        <v>1</v>
      </c>
      <c r="T9" s="177">
        <f>R9*PRODUCT(S5:S8)*PRODUCT(S10:S19)</f>
        <v>0</v>
      </c>
      <c r="U9" s="177">
        <f>R9*R10*PRODUCT(S5:S8)*PRODUCT(S11:S19)+R9*R11*PRODUCT(S5:S8)*PRODUCT(S10)*PRODUCT(S12:S19)+R9*R12*PRODUCT(S5:S8)*PRODUCT(S10:S11)*PRODUCT(S13:S19)+R9*R13*PRODUCT(S5:S8)*PRODUCT(S10:S12)*PRODUCT(S14:S19)+R9*R14*PRODUCT(S5:S8)*PRODUCT(S10:S13)*PRODUCT(S15:S19)+R9*R15*PRODUCT(S5:S8)*PRODUCT(S10:S14)*PRODUCT(S16:S19)+R9*R16*PRODUCT(S5:S8)*PRODUCT(S10:S15)*PRODUCT(S17:S19)+R9*R17*PRODUCT(S5:S8)*PRODUCT(S10:S16)*PRODUCT(S18:S19)+R9*R18*PRODUCT(S5:S8)*PRODUCT(S10:S17)*PRODUCT(S19)+R9*R19*PRODUCT(S5:S8)*PRODUCT(S10:S18)</f>
        <v>0</v>
      </c>
      <c r="W9" s="187" t="s">
        <v>44</v>
      </c>
      <c r="X9" s="15" t="s">
        <v>45</v>
      </c>
      <c r="Y9" s="69">
        <f>COUNTIF(F6:F13,"IMP")*0.025</f>
        <v>0</v>
      </c>
      <c r="Z9" s="146">
        <v>0.5</v>
      </c>
      <c r="AA9" s="19">
        <f t="shared" si="3"/>
        <v>0</v>
      </c>
      <c r="AB9" s="157">
        <f t="shared" si="4"/>
        <v>0</v>
      </c>
      <c r="AC9" s="176">
        <f t="shared" si="5"/>
        <v>1</v>
      </c>
      <c r="AD9" s="177">
        <f>AB9*PRODUCT(AC5:AC8)*PRODUCT(AC10:AC19)</f>
        <v>0</v>
      </c>
      <c r="AE9" s="177">
        <f>AB9*AB10*PRODUCT(AC5:AC8)*PRODUCT(AC11:AC19)+AB9*AB11*PRODUCT(AC5:AC8)*PRODUCT(AC10)*PRODUCT(AC12:AC19)+AB9*AB12*PRODUCT(AC5:AC8)*PRODUCT(AC10:AC11)*PRODUCT(AC13:AC19)+AB9*AB13*PRODUCT(AC5:AC8)*PRODUCT(AC10:AC12)*PRODUCT(AC14:AC19)+AB9*AB14*PRODUCT(AC5:AC8)*PRODUCT(AC10:AC13)*PRODUCT(AC15:AC19)+AB9*AB15*PRODUCT(AC5:AC8)*PRODUCT(AC10:AC14)*PRODUCT(AC16:AC19)+AB9*AB16*PRODUCT(AC5:AC8)*PRODUCT(AC10:AC15)*PRODUCT(AC17:AC19)+AB9*AB17*PRODUCT(AC5:AC8)*PRODUCT(AC10:AC16)*PRODUCT(AC18:AC19)+AB9*AB18*PRODUCT(AC5:AC8)*PRODUCT(AC10:AC17)*PRODUCT(AC19)+AB9*AB19*PRODUCT(AC5:AC8)*PRODUCT(AC10:AC18)</f>
        <v>0</v>
      </c>
      <c r="BH9">
        <v>0</v>
      </c>
      <c r="BI9">
        <v>6</v>
      </c>
      <c r="BJ9" s="107">
        <f t="shared" si="0"/>
        <v>2.2246774757093911E-3</v>
      </c>
      <c r="BL9">
        <f>BH38+1</f>
        <v>5</v>
      </c>
      <c r="BM9">
        <v>5</v>
      </c>
      <c r="BN9" s="107">
        <f>$H$30*H44</f>
        <v>1.9588665547146757E-3</v>
      </c>
      <c r="BP9">
        <f>BL6+1</f>
        <v>3</v>
      </c>
      <c r="BQ9">
        <v>2</v>
      </c>
      <c r="BR9" s="107">
        <f>$H$28*H41</f>
        <v>5.505994363684831E-2</v>
      </c>
    </row>
    <row r="10" spans="1:70" x14ac:dyDescent="0.25">
      <c r="A10" s="6" t="s">
        <v>5</v>
      </c>
      <c r="B10" s="168">
        <v>14.25</v>
      </c>
      <c r="C10" s="169">
        <v>12.25</v>
      </c>
      <c r="E10" s="192" t="s">
        <v>17</v>
      </c>
      <c r="F10" s="167" t="s">
        <v>144</v>
      </c>
      <c r="G10" s="167"/>
      <c r="H10" s="10"/>
      <c r="I10" s="10"/>
      <c r="J10" s="166" t="s">
        <v>144</v>
      </c>
      <c r="K10" s="166"/>
      <c r="L10" s="10"/>
      <c r="M10" s="10"/>
      <c r="O10" s="67">
        <f>COUNTIF(F14:F18,"RAP")*0.085</f>
        <v>8.5000000000000006E-2</v>
      </c>
      <c r="P10" s="16" t="str">
        <f>R3</f>
        <v>0,72</v>
      </c>
      <c r="Q10" s="16">
        <f t="shared" si="1"/>
        <v>6.1200000000000004E-2</v>
      </c>
      <c r="R10" s="157">
        <f t="shared" si="6"/>
        <v>4.9976387052436858E-2</v>
      </c>
      <c r="S10" s="176">
        <f t="shared" si="2"/>
        <v>0.9500236129475631</v>
      </c>
      <c r="T10" s="177">
        <f>R10*PRODUCT(S5:S9)*PRODUCT(S11:S19)</f>
        <v>3.8092234344377973E-2</v>
      </c>
      <c r="U10" s="177">
        <f>R10*R11*PRODUCT(S5:S9)*PRODUCT(S12:S19)+R10*R12*PRODUCT(S5:S9)*S11*PRODUCT(S13:S19)+R10*R13*PRODUCT(S5:S9)*PRODUCT(S11:S12)*PRODUCT(S14:S19)+R10*R14*PRODUCT(S5:S9)*PRODUCT(S11:S13)*PRODUCT(S15:S19)+R10*R15*PRODUCT(S5:S9)*PRODUCT(S11:S14)*PRODUCT(S16:S19)+R10*R16*PRODUCT(S5:S9)*PRODUCT(S11:S15)*PRODUCT(S17:S19)+R10*R17*PRODUCT(S5:S9)*PRODUCT(S11:S16)*PRODUCT(S18:S19)+R10*R18*PRODUCT(S5:S9)*PRODUCT(S11:S17)*PRODUCT(S19)+R10*R19*PRODUCT(S5:S9)*PRODUCT(S11:S18)</f>
        <v>9.7971471769776868E-3</v>
      </c>
      <c r="W10" s="186" t="s">
        <v>46</v>
      </c>
      <c r="X10" s="15" t="s">
        <v>47</v>
      </c>
      <c r="Y10" s="69">
        <f>COUNTIF(J14:J18,"RAP")*0.085</f>
        <v>8.5000000000000006E-2</v>
      </c>
      <c r="Z10" s="146" t="str">
        <f>AB3</f>
        <v>0,72</v>
      </c>
      <c r="AA10" s="19">
        <f t="shared" si="3"/>
        <v>6.1200000000000004E-2</v>
      </c>
      <c r="AB10" s="157">
        <f t="shared" si="4"/>
        <v>5.7290004669866661E-2</v>
      </c>
      <c r="AC10" s="176">
        <f t="shared" si="5"/>
        <v>0.94270999533013333</v>
      </c>
      <c r="AD10" s="177">
        <f>AB10*PRODUCT(AC5:AC9)*PRODUCT(AC11:AC19)</f>
        <v>2.056273618784752E-2</v>
      </c>
      <c r="AE10" s="177">
        <f>AB10*AB11*PRODUCT(AC5:AC9)*PRODUCT(AC12:AC19)+AB10*AB12*PRODUCT(AC5:AC9)*AC11*PRODUCT(AC13:AC19)+AB10*AB13*PRODUCT(AC5:AC9)*PRODUCT(AC11:AC12)*PRODUCT(AC14:AC19)+AB10*AB14*PRODUCT(AC5:AC9)*PRODUCT(AC11:AC13)*PRODUCT(AC15:AC19)+AB10*AB15*PRODUCT(AC5:AC9)*PRODUCT(AC11:AC14)*PRODUCT(AC16:AC19)+AB10*AB16*PRODUCT(AC5:AC9)*PRODUCT(AC11:AC15)*PRODUCT(AC17:AC19)+AB10*AB17*PRODUCT(AC5:AC9)*PRODUCT(AC11:AC16)*PRODUCT(AC18:AC19)+AB10*AB18*PRODUCT(AC5:AC9)*PRODUCT(AC11:AC17)*PRODUCT(AC19)+AB10*AB19*PRODUCT(AC5:AC9)*PRODUCT(AC11:AC18)</f>
        <v>3.2492606645588486E-2</v>
      </c>
      <c r="BH10">
        <v>0</v>
      </c>
      <c r="BI10">
        <v>7</v>
      </c>
      <c r="BJ10" s="107">
        <f t="shared" si="0"/>
        <v>5.0045644100604584E-4</v>
      </c>
      <c r="BL10">
        <f>BH44+1</f>
        <v>6</v>
      </c>
      <c r="BM10">
        <v>6</v>
      </c>
      <c r="BN10" s="107">
        <f>$H$31*H45</f>
        <v>1.4864178742593934E-4</v>
      </c>
      <c r="BP10">
        <f>BP7+1</f>
        <v>4</v>
      </c>
      <c r="BQ10">
        <v>0</v>
      </c>
      <c r="BR10" s="107">
        <f>$H$29*H39</f>
        <v>4.0770395058439979E-3</v>
      </c>
    </row>
    <row r="11" spans="1:70" x14ac:dyDescent="0.25">
      <c r="A11" s="6" t="s">
        <v>6</v>
      </c>
      <c r="B11" s="168">
        <v>8.75</v>
      </c>
      <c r="C11" s="169">
        <v>9.5</v>
      </c>
      <c r="E11" s="192" t="s">
        <v>19</v>
      </c>
      <c r="F11" s="167" t="s">
        <v>21</v>
      </c>
      <c r="G11" s="167"/>
      <c r="H11" s="10"/>
      <c r="I11" s="10"/>
      <c r="J11" s="166" t="s">
        <v>144</v>
      </c>
      <c r="K11" s="166"/>
      <c r="L11" s="10"/>
      <c r="M11" s="10"/>
      <c r="O11" s="67">
        <f>IF(COUNTA(F16:F18)=0,0,COUNTIF(F14:F15,"RAP")*0.085)+IF(COUNTA(F17:F18)=0,0,COUNTIF(F16:F16,"RAP")*0.085)+IF(COUNTA(F16:F17)=0,0,COUNTIF(F18:F18,"RAP")*0.085)+IF(COUNTA(F16,F18)=0,0,COUNTIF(F17:F17,"RAP")*0.085)</f>
        <v>8.5000000000000006E-2</v>
      </c>
      <c r="P11" s="16" t="str">
        <f>R3</f>
        <v>0,72</v>
      </c>
      <c r="Q11" s="16">
        <f t="shared" si="1"/>
        <v>6.1200000000000004E-2</v>
      </c>
      <c r="R11" s="157">
        <f t="shared" si="6"/>
        <v>4.9976387052436858E-2</v>
      </c>
      <c r="S11" s="176">
        <f t="shared" si="2"/>
        <v>0.9500236129475631</v>
      </c>
      <c r="T11" s="177">
        <f>R11*PRODUCT(S5:S10)*PRODUCT(S12:S19)</f>
        <v>3.8092234344377973E-2</v>
      </c>
      <c r="U11" s="177">
        <f>R11*R12*PRODUCT(S5:S10)*PRODUCT(S13:S19)+R11*R13*PRODUCT(S5:S10)*S12*PRODUCT(S14:S19)+R11*R14*PRODUCT(S5:S10)*PRODUCT(S12:S13)*PRODUCT(S15:S19)+R11*R15*PRODUCT(S5:S10)*PRODUCT(S12:S14)*PRODUCT(S16:S19)+R11*R16*PRODUCT(S5:S10)*PRODUCT(S12:S15)*PRODUCT(S17:S19)+R11*R17*PRODUCT(S5:S10)*PRODUCT(S12:S16)*PRODUCT(S18:S19)+R11*R18*PRODUCT(S5:S10)*PRODUCT(S12:S17)*PRODUCT(S19)+R11*R19*PRODUCT(S5:S10)*PRODUCT(S12:S18)</f>
        <v>7.7932893556123158E-3</v>
      </c>
      <c r="W11" s="186" t="s">
        <v>48</v>
      </c>
      <c r="X11" s="15" t="s">
        <v>49</v>
      </c>
      <c r="Y11" s="69">
        <f>IF(COUNTA(J16:J18)=0,0,COUNTIF(J14:J15,"RAP")*0.085)+IF(COUNTA(J17:J18)=0,0,COUNTIF(J16:J16,"RAP")*0.085)+IF(COUNTA(J16:J17)=0,0,COUNTIF(J18:J18,"RAP")*0.085)+IF(COUNTA(J16,J18)=0,0,COUNTIF(J17:J17,"RAP")*0.085)</f>
        <v>8.5000000000000006E-2</v>
      </c>
      <c r="Z11" s="146" t="str">
        <f>AB3</f>
        <v>0,72</v>
      </c>
      <c r="AA11" s="19">
        <f t="shared" si="3"/>
        <v>6.1200000000000004E-2</v>
      </c>
      <c r="AB11" s="157">
        <f t="shared" si="4"/>
        <v>5.7290004669866661E-2</v>
      </c>
      <c r="AC11" s="176">
        <f t="shared" si="5"/>
        <v>0.94270999533013333</v>
      </c>
      <c r="AD11" s="177">
        <f>AB11*PRODUCT(AC5:AC10)*PRODUCT(AC12:AC19)</f>
        <v>2.056273618784752E-2</v>
      </c>
      <c r="AE11" s="177">
        <f>AB11*AB12*PRODUCT(AC5:AC10)*PRODUCT(AC13:AC19)+AB11*AB13*PRODUCT(AC5:AC10)*AC12*PRODUCT(AC14:AC19)+AB11*AB14*PRODUCT(AC5:AC10)*PRODUCT(AC12:AC13)*PRODUCT(AC15:AC19)+AB11*AB15*PRODUCT(AC5:AC10)*PRODUCT(AC12:AC14)*PRODUCT(AC16:AC19)+AB11*AB16*PRODUCT(AC5:AC10)*PRODUCT(AC12:AC15)*PRODUCT(AC17:AC19)+AB11*AB17*PRODUCT(AC5:AC10)*PRODUCT(AC12:AC16)*PRODUCT(AC18:AC19)+AB11*AB18*PRODUCT(AC5:AC10)*PRODUCT(AC12:AC17)*PRODUCT(AC19)+AB11*AB19*PRODUCT(AC5:AC10)*PRODUCT(AC12:AC18)</f>
        <v>3.1242976050747419E-2</v>
      </c>
      <c r="BH11">
        <v>0</v>
      </c>
      <c r="BI11">
        <v>8</v>
      </c>
      <c r="BJ11" s="107">
        <f t="shared" si="0"/>
        <v>8.3455344269522036E-5</v>
      </c>
      <c r="BL11">
        <f>BH50+1</f>
        <v>7</v>
      </c>
      <c r="BM11">
        <v>7</v>
      </c>
      <c r="BN11" s="107">
        <f>$H$32*H46</f>
        <v>6.3238004592971362E-6</v>
      </c>
      <c r="BP11">
        <f>BP8+1</f>
        <v>4</v>
      </c>
      <c r="BQ11">
        <v>1</v>
      </c>
      <c r="BR11" s="107">
        <f>$H$29*H40</f>
        <v>1.5801068522155449E-2</v>
      </c>
    </row>
    <row r="12" spans="1:70" x14ac:dyDescent="0.25">
      <c r="A12" s="6" t="s">
        <v>7</v>
      </c>
      <c r="B12" s="168">
        <v>15.5</v>
      </c>
      <c r="C12" s="169">
        <v>11</v>
      </c>
      <c r="E12" s="192" t="s">
        <v>19</v>
      </c>
      <c r="F12" s="167" t="s">
        <v>16</v>
      </c>
      <c r="G12" s="167"/>
      <c r="H12" s="10"/>
      <c r="I12" s="10"/>
      <c r="J12" s="166" t="s">
        <v>144</v>
      </c>
      <c r="K12" s="166"/>
      <c r="L12" s="10"/>
      <c r="M12" s="10"/>
      <c r="O12" s="67"/>
      <c r="P12" s="144">
        <v>0.5</v>
      </c>
      <c r="Q12" s="16">
        <f t="shared" si="1"/>
        <v>0</v>
      </c>
      <c r="R12" s="157">
        <f t="shared" si="6"/>
        <v>0</v>
      </c>
      <c r="S12" s="176">
        <f t="shared" si="2"/>
        <v>1</v>
      </c>
      <c r="T12" s="177">
        <f>R12*PRODUCT(S5:S11)*PRODUCT(S13:S19)</f>
        <v>0</v>
      </c>
      <c r="U12" s="177">
        <f>R12*R13*PRODUCT(S5:S11)*PRODUCT(S14:S19)+R12*R14*PRODUCT(S5:S11)*S13*PRODUCT(S15:S19)+R12*R15*PRODUCT(S5:S11)*PRODUCT(S13:S14)*PRODUCT(S16:S19)+R12*R16*PRODUCT(S5:S11)*PRODUCT(S13:S15)*PRODUCT(S17:S19)+R12*R17*PRODUCT(S5:S11)*PRODUCT(S13:S16)*PRODUCT(S18:S19)+R12*R18*PRODUCT(S5:S11)*PRODUCT(S13:S17)*PRODUCT(S19)+R12*R19*PRODUCT(S5:S11)*PRODUCT(S13:S18)</f>
        <v>0</v>
      </c>
      <c r="W12" s="187" t="s">
        <v>50</v>
      </c>
      <c r="X12" s="15" t="s">
        <v>51</v>
      </c>
      <c r="Y12" s="69"/>
      <c r="Z12" s="146">
        <v>0.5</v>
      </c>
      <c r="AA12" s="19">
        <f t="shared" si="3"/>
        <v>0</v>
      </c>
      <c r="AB12" s="157">
        <f t="shared" si="4"/>
        <v>0</v>
      </c>
      <c r="AC12" s="176">
        <f t="shared" si="5"/>
        <v>1</v>
      </c>
      <c r="AD12" s="177">
        <f>AB12*PRODUCT(AC5:AC11)*PRODUCT(AC13:AC19)</f>
        <v>0</v>
      </c>
      <c r="AE12" s="177">
        <f>AB12*AB13*PRODUCT(AC5:AC11)*PRODUCT(AC14:AC19)+AB12*AB14*PRODUCT(AC5:AC11)*AC13*PRODUCT(AC15:AC19)+AB12*AB15*PRODUCT(AC5:AC11)*PRODUCT(AC13:AC14)*PRODUCT(AC16:AC19)+AB12*AB16*PRODUCT(AC5:AC11)*PRODUCT(AC13:AC15)*PRODUCT(AC17:AC19)+AB12*AB17*PRODUCT(AC5:AC11)*PRODUCT(AC13:AC16)*PRODUCT(AC18:AC19)+AB12*AB18*PRODUCT(AC5:AC11)*PRODUCT(AC13:AC17)*PRODUCT(AC19)+AB12*AB19*PRODUCT(AC5:AC11)*PRODUCT(AC13:AC18)</f>
        <v>0</v>
      </c>
      <c r="BH12">
        <v>0</v>
      </c>
      <c r="BI12">
        <v>9</v>
      </c>
      <c r="BJ12" s="107">
        <f t="shared" si="0"/>
        <v>1.0230144653706201E-5</v>
      </c>
      <c r="BL12">
        <f>BH54+1</f>
        <v>8</v>
      </c>
      <c r="BM12">
        <v>8</v>
      </c>
      <c r="BN12" s="107">
        <f>$H$33*H47</f>
        <v>1.5215019304320994E-7</v>
      </c>
      <c r="BP12">
        <f>BP9+1</f>
        <v>4</v>
      </c>
      <c r="BQ12">
        <v>2</v>
      </c>
      <c r="BR12" s="107">
        <f>$H$29*H41</f>
        <v>2.5313127362486341E-2</v>
      </c>
    </row>
    <row r="13" spans="1:70" x14ac:dyDescent="0.25">
      <c r="A13" s="7" t="s">
        <v>8</v>
      </c>
      <c r="B13" s="168">
        <v>13</v>
      </c>
      <c r="C13" s="169">
        <v>10.25</v>
      </c>
      <c r="E13" s="192" t="s">
        <v>19</v>
      </c>
      <c r="F13" s="167" t="s">
        <v>21</v>
      </c>
      <c r="G13" s="167"/>
      <c r="H13" s="10"/>
      <c r="I13" s="10"/>
      <c r="J13" s="166" t="s">
        <v>131</v>
      </c>
      <c r="K13" s="166"/>
      <c r="L13" s="10"/>
      <c r="M13" s="10"/>
      <c r="O13" s="67">
        <v>0.125</v>
      </c>
      <c r="P13" s="16" t="str">
        <f>P2</f>
        <v>0,4</v>
      </c>
      <c r="Q13" s="16">
        <f t="shared" si="1"/>
        <v>0.05</v>
      </c>
      <c r="R13" s="157">
        <f t="shared" si="6"/>
        <v>4.0830381578788287E-2</v>
      </c>
      <c r="S13" s="176">
        <f t="shared" si="2"/>
        <v>0.95916961842121173</v>
      </c>
      <c r="T13" s="177">
        <f>R13*PRODUCT(S5:S12)*PRODUCT(S14:S19)</f>
        <v>3.0824356254840965E-2</v>
      </c>
      <c r="U13" s="177">
        <f>R13*R14*PRODUCT(S5:S12)*PRODUCT(S15:S19)+R13*R15*PRODUCT(S5:S12)*S14*PRODUCT(S16:S19)+R13*R16*PRODUCT(S5:S12)*PRODUCT(S14:S15)*PRODUCT(S17:S19)+R13*R17*PRODUCT(S5:S12)*PRODUCT(S14:S16)*PRODUCT(S18:S19)+R13*R18*PRODUCT(S5:S12)*PRODUCT(S14:S17)*PRODUCT(S19)+R13*R19*PRODUCT(S5:S12)*PRODUCT(S14:S18)</f>
        <v>4.9942087082982239E-3</v>
      </c>
      <c r="W13" s="186" t="s">
        <v>52</v>
      </c>
      <c r="X13" s="15" t="s">
        <v>53</v>
      </c>
      <c r="Y13" s="69">
        <v>0.125</v>
      </c>
      <c r="Z13" s="19" t="str">
        <f>Z2</f>
        <v>0,4</v>
      </c>
      <c r="AA13" s="19">
        <f t="shared" si="3"/>
        <v>0.05</v>
      </c>
      <c r="AB13" s="157">
        <f t="shared" si="4"/>
        <v>4.6805559370806091E-2</v>
      </c>
      <c r="AC13" s="176">
        <f t="shared" si="5"/>
        <v>0.9531944406291939</v>
      </c>
      <c r="AD13" s="177">
        <f>AB13*PRODUCT(AC5:AC12)*PRODUCT(AC14:AC19)</f>
        <v>1.6614837460216827E-2</v>
      </c>
      <c r="AE13" s="177">
        <f>AB13*AB14*PRODUCT(AC5:AC12)*PRODUCT(AC15:AC19)+AB13*AB15*PRODUCT(AC5:AC12)*AC14*PRODUCT(AC16:AC19)+AB13*AB16*PRODUCT(AC5:AC12)*PRODUCT(AC14:AC15)*PRODUCT(AC17:AC19)+AB13*AB17*PRODUCT(AC5:AC12)*PRODUCT(AC14:AC16)*PRODUCT(AC18:AC19)+AB13*AB18*PRODUCT(AC5:AC12)*PRODUCT(AC14:AC17)*PRODUCT(AC19)+AB13*AB19*PRODUCT(AC5:AC12)*PRODUCT(AC14:AC18)</f>
        <v>2.4428694195895648E-2</v>
      </c>
      <c r="BH13">
        <v>0</v>
      </c>
      <c r="BI13">
        <v>10</v>
      </c>
      <c r="BJ13" s="107">
        <f t="shared" si="0"/>
        <v>8.9965568022103684E-7</v>
      </c>
      <c r="BL13">
        <f>BH57+1</f>
        <v>9</v>
      </c>
      <c r="BM13">
        <v>9</v>
      </c>
      <c r="BN13" s="107">
        <f>$H$34*H48</f>
        <v>2.0369992402424055E-9</v>
      </c>
      <c r="BP13">
        <f>BL7+1</f>
        <v>4</v>
      </c>
      <c r="BQ13">
        <v>3</v>
      </c>
      <c r="BR13" s="107">
        <f>$H$29*H42</f>
        <v>2.3265404205486694E-2</v>
      </c>
    </row>
    <row r="14" spans="1:70" x14ac:dyDescent="0.25">
      <c r="A14" s="7" t="s">
        <v>9</v>
      </c>
      <c r="B14" s="168">
        <v>11</v>
      </c>
      <c r="C14" s="169">
        <v>8.5</v>
      </c>
      <c r="E14" s="192" t="s">
        <v>20</v>
      </c>
      <c r="F14" s="167" t="s">
        <v>147</v>
      </c>
      <c r="G14" s="167"/>
      <c r="H14" s="10"/>
      <c r="I14" s="10"/>
      <c r="J14" s="166" t="s">
        <v>123</v>
      </c>
      <c r="K14" s="166"/>
      <c r="L14" s="10"/>
      <c r="M14" s="10"/>
      <c r="O14" s="67">
        <f>COUNTIF(F6:F18,"CAB")*0.095</f>
        <v>9.5000000000000001E-2</v>
      </c>
      <c r="P14" s="144">
        <v>0.95</v>
      </c>
      <c r="Q14" s="16">
        <f t="shared" si="1"/>
        <v>9.0249999999999997E-2</v>
      </c>
      <c r="R14" s="157">
        <f t="shared" si="6"/>
        <v>7.369883874971285E-2</v>
      </c>
      <c r="S14" s="176">
        <f t="shared" si="2"/>
        <v>0.92630116125028716</v>
      </c>
      <c r="T14" s="177">
        <f>R14*PRODUCT(S5:S13)*PRODUCT(S15:S19)</f>
        <v>5.7612195699686834E-2</v>
      </c>
      <c r="U14" s="177">
        <f>R14*R15*PRODUCT(S5:S13)*PRODUCT(S16:S19)+R14*R16*PRODUCT(S5:S13)*S15*PRODUCT(S17:S19)+R14*R17*PRODUCT(S5:S13)*PRODUCT(S15:S16)*PRODUCT(S18:S19)+R14*R18*PRODUCT(S5:S13)*PRODUCT(S15:S17)*PRODUCT(S19)+R14*R19*PRODUCT(S5:S13)*PRODUCT(S15:S18)</f>
        <v>4.750644390184312E-3</v>
      </c>
      <c r="W14" s="186" t="s">
        <v>54</v>
      </c>
      <c r="X14" s="15" t="s">
        <v>55</v>
      </c>
      <c r="Y14" s="69">
        <f>COUNTIF(J6:J18,"CAB")*0.095</f>
        <v>0.66500000000000004</v>
      </c>
      <c r="Z14" s="147">
        <v>0.95</v>
      </c>
      <c r="AA14" s="19">
        <f t="shared" si="3"/>
        <v>0.63175000000000003</v>
      </c>
      <c r="AB14" s="157">
        <f t="shared" si="4"/>
        <v>0.59138824265013501</v>
      </c>
      <c r="AC14" s="176">
        <f t="shared" si="5"/>
        <v>0.40861175734986499</v>
      </c>
      <c r="AD14" s="177">
        <f>AB14*PRODUCT(AC5:AC13)*PRODUCT(AC15:AC19)</f>
        <v>0.4897133970890386</v>
      </c>
      <c r="AE14" s="177">
        <f>AB14*AB15*PRODUCT(AC5:AC13)*PRODUCT(AC16:AC19)+AB14*AB16*PRODUCT(AC5:AC13)*AC15*PRODUCT(AC17:AC19)+AB14*AB17*PRODUCT(AC5:AC13)*PRODUCT(AC15:AC16)*PRODUCT(AC18:AC19)+AB14*AB18*PRODUCT(AC5:AC13)*PRODUCT(AC15:AC17)*PRODUCT(AC19)+AB14*AB19*PRODUCT(AC5:AC13)*PRODUCT(AC15:AC18)</f>
        <v>1.125509299464722E-2</v>
      </c>
      <c r="BH14">
        <v>1</v>
      </c>
      <c r="BI14">
        <v>2</v>
      </c>
      <c r="BJ14" s="107">
        <f t="shared" ref="BJ14:BJ22" si="7">$H$26*H41</f>
        <v>7.4669070553035524E-2</v>
      </c>
      <c r="BL14">
        <f>BP39+1</f>
        <v>10</v>
      </c>
      <c r="BM14">
        <v>10</v>
      </c>
      <c r="BN14" s="107">
        <f>$H$35*H49</f>
        <v>1.446676034275364E-11</v>
      </c>
      <c r="BP14">
        <f>BP10+1</f>
        <v>5</v>
      </c>
      <c r="BQ14">
        <v>0</v>
      </c>
      <c r="BR14" s="107">
        <f>$H$30*H39</f>
        <v>1.3577477809431665E-3</v>
      </c>
    </row>
    <row r="15" spans="1:70" x14ac:dyDescent="0.25">
      <c r="A15" s="189" t="s">
        <v>71</v>
      </c>
      <c r="B15" s="170">
        <v>10</v>
      </c>
      <c r="C15" s="171">
        <v>11.25</v>
      </c>
      <c r="E15" s="192" t="s">
        <v>20</v>
      </c>
      <c r="F15" s="167" t="s">
        <v>21</v>
      </c>
      <c r="G15" s="167"/>
      <c r="H15" s="10"/>
      <c r="I15" s="10"/>
      <c r="J15" s="166" t="s">
        <v>144</v>
      </c>
      <c r="K15" s="166"/>
      <c r="L15" s="10"/>
      <c r="M15" s="10"/>
      <c r="O15" s="67"/>
      <c r="P15" s="144">
        <v>0.5</v>
      </c>
      <c r="Q15" s="16">
        <f t="shared" si="1"/>
        <v>0</v>
      </c>
      <c r="R15" s="157">
        <f t="shared" si="6"/>
        <v>0</v>
      </c>
      <c r="S15" s="176">
        <f t="shared" si="2"/>
        <v>1</v>
      </c>
      <c r="T15" s="177">
        <f>R15*PRODUCT(S5:S14)*PRODUCT(S16:S19)</f>
        <v>0</v>
      </c>
      <c r="U15" s="177">
        <f>R15*R16*PRODUCT(S5:S14)*PRODUCT(S17:S19)+R15*R17*PRODUCT(S5:S14)*S16*PRODUCT(S18:S19)+R15*R18*PRODUCT(S5:S14)*S16*S17*S19+R15*R19*PRODUCT(S5:S14)*S16*S17*S18</f>
        <v>0</v>
      </c>
      <c r="W15" s="186" t="s">
        <v>56</v>
      </c>
      <c r="X15" s="15" t="s">
        <v>57</v>
      </c>
      <c r="Y15" s="69"/>
      <c r="Z15" s="146">
        <v>0.5</v>
      </c>
      <c r="AA15" s="19">
        <f t="shared" si="3"/>
        <v>0</v>
      </c>
      <c r="AB15" s="157">
        <f t="shared" si="4"/>
        <v>0</v>
      </c>
      <c r="AC15" s="176">
        <f t="shared" si="5"/>
        <v>1</v>
      </c>
      <c r="AD15" s="177">
        <f>AB15*PRODUCT(AC5:AC14)*PRODUCT(AC16:AC19)</f>
        <v>0</v>
      </c>
      <c r="AE15" s="177">
        <f>AB15*AB16*PRODUCT(AC5:AC14)*PRODUCT(AC17:AC19)+AB15*AB17*PRODUCT(AC5:AC14)*AC16*PRODUCT(AC18:AC19)+AB15*AB18*PRODUCT(AC5:AC14)*AC16*AC17*AC19+AB15*AB19*PRODUCT(AC5:AC14)*AC16*AC17*AC18</f>
        <v>0</v>
      </c>
      <c r="BH15">
        <v>1</v>
      </c>
      <c r="BI15">
        <v>3</v>
      </c>
      <c r="BJ15" s="107">
        <f t="shared" si="7"/>
        <v>6.8628663822822927E-2</v>
      </c>
      <c r="BP15">
        <f>BP11+1</f>
        <v>5</v>
      </c>
      <c r="BQ15">
        <v>1</v>
      </c>
      <c r="BR15" s="107">
        <f>$H$30*H40</f>
        <v>5.2621186750179067E-3</v>
      </c>
    </row>
    <row r="16" spans="1:70" x14ac:dyDescent="0.25">
      <c r="A16" s="189" t="s">
        <v>82</v>
      </c>
      <c r="B16" s="52">
        <f>AVERAGE(G5:G18)</f>
        <v>12</v>
      </c>
      <c r="C16" s="54">
        <f>AVERAGE(K5:K18)</f>
        <v>12</v>
      </c>
      <c r="E16" s="192" t="s">
        <v>22</v>
      </c>
      <c r="F16" s="167" t="s">
        <v>21</v>
      </c>
      <c r="G16" s="167"/>
      <c r="H16" s="10"/>
      <c r="I16" s="10"/>
      <c r="J16" s="166" t="s">
        <v>16</v>
      </c>
      <c r="K16" s="166"/>
      <c r="L16" s="10"/>
      <c r="M16" s="10"/>
      <c r="O16" s="67">
        <f>COUNTA(L6:L13)*0.03</f>
        <v>0</v>
      </c>
      <c r="P16" s="144">
        <v>0.25</v>
      </c>
      <c r="Q16" s="16">
        <f t="shared" si="1"/>
        <v>0</v>
      </c>
      <c r="R16" s="157">
        <f t="shared" si="6"/>
        <v>0</v>
      </c>
      <c r="S16" s="176">
        <f t="shared" si="2"/>
        <v>1</v>
      </c>
      <c r="T16" s="177">
        <f>R16*PRODUCT(S5:S15)*PRODUCT(S17:S19)</f>
        <v>0</v>
      </c>
      <c r="U16" s="177">
        <f>R16*R17*PRODUCT(S5:S15)*PRODUCT(S18:S19)+R16*R18*PRODUCT(S5:S15)*S17*S19+R16*R19*PRODUCT(S5:S15)*S17*S18</f>
        <v>0</v>
      </c>
      <c r="W16" s="187" t="s">
        <v>58</v>
      </c>
      <c r="X16" s="15" t="s">
        <v>59</v>
      </c>
      <c r="Y16" s="69">
        <f>COUNTA(H6:H13)*0.03</f>
        <v>0</v>
      </c>
      <c r="Z16" s="146">
        <v>0.25</v>
      </c>
      <c r="AA16" s="19">
        <f t="shared" si="3"/>
        <v>0</v>
      </c>
      <c r="AB16" s="157">
        <f t="shared" si="4"/>
        <v>0</v>
      </c>
      <c r="AC16" s="176">
        <f t="shared" si="5"/>
        <v>1</v>
      </c>
      <c r="AD16" s="177">
        <f>AB16*PRODUCT(AC5:AC15)*PRODUCT(AC17:AC19)</f>
        <v>0</v>
      </c>
      <c r="AE16" s="177">
        <f>AB16*AB17*PRODUCT(AC5:AC15)*PRODUCT(AC18:AC19)+AB16*AB18*PRODUCT(AC5:AC15)*AC17*AC19+AB16*AB19*PRODUCT(AC5:AC15)*AC17*AC18</f>
        <v>0</v>
      </c>
      <c r="BH16">
        <v>1</v>
      </c>
      <c r="BI16">
        <v>4</v>
      </c>
      <c r="BJ16" s="107">
        <f t="shared" si="7"/>
        <v>4.1266313839150831E-2</v>
      </c>
      <c r="BP16">
        <f>BP12+1</f>
        <v>5</v>
      </c>
      <c r="BQ16">
        <v>2</v>
      </c>
      <c r="BR16" s="107">
        <f>$H$30*H41</f>
        <v>8.4298527046116501E-3</v>
      </c>
    </row>
    <row r="17" spans="1:70" x14ac:dyDescent="0.25">
      <c r="A17" s="188" t="s">
        <v>10</v>
      </c>
      <c r="B17" s="172" t="s">
        <v>323</v>
      </c>
      <c r="C17" s="173" t="s">
        <v>11</v>
      </c>
      <c r="E17" s="192" t="s">
        <v>22</v>
      </c>
      <c r="F17" s="167"/>
      <c r="G17" s="167"/>
      <c r="H17" s="10"/>
      <c r="I17" s="10"/>
      <c r="J17" s="166"/>
      <c r="K17" s="166"/>
      <c r="L17" s="10"/>
      <c r="M17" s="10"/>
      <c r="O17" s="67">
        <f>(0.02*2)*IF(COUNTBLANK(F14:F15)&lt;&gt;0, (2-COUNTBLANK(F14:F15))/2,1)</f>
        <v>0.04</v>
      </c>
      <c r="P17" s="16" t="str">
        <f>P3</f>
        <v>0,6</v>
      </c>
      <c r="Q17" s="16">
        <f t="shared" si="1"/>
        <v>2.4E-2</v>
      </c>
      <c r="R17" s="157">
        <f t="shared" si="6"/>
        <v>1.9598583157818376E-2</v>
      </c>
      <c r="S17" s="176">
        <f t="shared" si="2"/>
        <v>0.98040141684218163</v>
      </c>
      <c r="T17" s="177">
        <f>R17*PRODUCT(S5:S16)*PRODUCT(S18:S19)</f>
        <v>1.4475272117299895E-2</v>
      </c>
      <c r="U17" s="177">
        <f>R17*R18*PRODUCT(S5:S16)*S19+R17*R19*PRODUCT(S5:S16)*S18</f>
        <v>9.0425056250301292E-4</v>
      </c>
      <c r="W17" s="186" t="s">
        <v>60</v>
      </c>
      <c r="X17" s="15" t="s">
        <v>61</v>
      </c>
      <c r="Y17" s="69">
        <f>(0.02*2)*IF(COUNTBLANK(J14:J15)&lt;&gt;0, (2-COUNTBLANK(J14:J15))/2,1)</f>
        <v>0.04</v>
      </c>
      <c r="Z17" s="146" t="str">
        <f>Z3</f>
        <v>0,6</v>
      </c>
      <c r="AA17" s="19">
        <f t="shared" si="3"/>
        <v>2.4E-2</v>
      </c>
      <c r="AB17" s="157">
        <f t="shared" si="4"/>
        <v>2.2466668497986925E-2</v>
      </c>
      <c r="AC17" s="176">
        <f t="shared" si="5"/>
        <v>0.97753333150201305</v>
      </c>
      <c r="AD17" s="177">
        <f>AB17*PRODUCT(AC5:AC16)*PRODUCT(AC18:AC19)</f>
        <v>7.7765552238070104E-3</v>
      </c>
      <c r="AE17" s="177">
        <f>AB17*AB18*PRODUCT(AC5:AC16)*AC19+AB17*AB19*PRODUCT(AC5:AC16)*AC18</f>
        <v>0</v>
      </c>
      <c r="BH17">
        <v>1</v>
      </c>
      <c r="BI17">
        <v>5</v>
      </c>
      <c r="BJ17" s="107">
        <f t="shared" si="7"/>
        <v>1.7351043974701337E-2</v>
      </c>
      <c r="BP17">
        <f>BP13+1</f>
        <v>5</v>
      </c>
      <c r="BQ17">
        <v>3</v>
      </c>
      <c r="BR17" s="107">
        <f>$H$30*H42</f>
        <v>7.7479138692344227E-3</v>
      </c>
    </row>
    <row r="18" spans="1:70" x14ac:dyDescent="0.25">
      <c r="A18" s="188" t="s">
        <v>12</v>
      </c>
      <c r="B18" s="172">
        <v>20</v>
      </c>
      <c r="C18" s="173">
        <v>17</v>
      </c>
      <c r="E18" s="192" t="s">
        <v>22</v>
      </c>
      <c r="F18" s="167" t="s">
        <v>123</v>
      </c>
      <c r="G18" s="167"/>
      <c r="H18" s="10"/>
      <c r="I18" s="10"/>
      <c r="J18" s="166" t="s">
        <v>144</v>
      </c>
      <c r="K18" s="166"/>
      <c r="L18" s="10"/>
      <c r="M18" s="10"/>
      <c r="O18" s="67">
        <v>0</v>
      </c>
      <c r="P18" s="144">
        <v>0.5</v>
      </c>
      <c r="Q18" s="16">
        <f t="shared" si="1"/>
        <v>0</v>
      </c>
      <c r="R18" s="157">
        <f t="shared" si="6"/>
        <v>0</v>
      </c>
      <c r="S18" s="176">
        <f t="shared" si="2"/>
        <v>1</v>
      </c>
      <c r="T18" s="177">
        <f>R18*PRODUCT(S5:S17)*PRODUCT(S19:S19)</f>
        <v>0</v>
      </c>
      <c r="U18" s="177">
        <f>R18*R19*PRODUCT(S5:S17)</f>
        <v>0</v>
      </c>
      <c r="W18" s="186" t="s">
        <v>62</v>
      </c>
      <c r="X18" s="15" t="s">
        <v>63</v>
      </c>
      <c r="Y18" s="69">
        <v>0</v>
      </c>
      <c r="Z18" s="146">
        <v>0.5</v>
      </c>
      <c r="AA18" s="19">
        <f t="shared" si="3"/>
        <v>0</v>
      </c>
      <c r="AB18" s="157">
        <f t="shared" si="4"/>
        <v>0</v>
      </c>
      <c r="AC18" s="176">
        <f t="shared" si="5"/>
        <v>1</v>
      </c>
      <c r="AD18" s="177">
        <f>AB18*PRODUCT(AC5:AC17)*PRODUCT(AC19:AC19)</f>
        <v>0</v>
      </c>
      <c r="AE18" s="177">
        <f>AB18*AB19*PRODUCT(AC5:AC17)</f>
        <v>0</v>
      </c>
      <c r="BH18">
        <v>1</v>
      </c>
      <c r="BI18">
        <v>6</v>
      </c>
      <c r="BJ18" s="107">
        <f t="shared" si="7"/>
        <v>5.2887684850031228E-3</v>
      </c>
      <c r="BP18">
        <f>BL8+1</f>
        <v>5</v>
      </c>
      <c r="BQ18">
        <v>4</v>
      </c>
      <c r="BR18" s="107">
        <f>$H$30*H43</f>
        <v>4.658809126052218E-3</v>
      </c>
    </row>
    <row r="19" spans="1:70" x14ac:dyDescent="0.25">
      <c r="H19" s="13" t="s">
        <v>141</v>
      </c>
      <c r="L19" s="13" t="s">
        <v>141</v>
      </c>
      <c r="O19" s="67">
        <f>COUNTIF(F14:F18,"TEC")*0.06*IF(COUNTIF(J6:J13,"CAB")&lt;&gt;0,1,0)</f>
        <v>0.12</v>
      </c>
      <c r="P19" s="16" t="str">
        <f>P3</f>
        <v>0,6</v>
      </c>
      <c r="Q19" s="16">
        <f t="shared" si="1"/>
        <v>7.1999999999999995E-2</v>
      </c>
      <c r="R19" s="157">
        <f t="shared" si="6"/>
        <v>5.8795749473455117E-2</v>
      </c>
      <c r="S19" s="178">
        <f t="shared" si="2"/>
        <v>0.94120425052654488</v>
      </c>
      <c r="T19" s="179">
        <f>R19*PRODUCT(S5:S18)</f>
        <v>4.5234317476905705E-2</v>
      </c>
      <c r="U19" s="179">
        <v>0</v>
      </c>
      <c r="V19" s="1" t="s">
        <v>66</v>
      </c>
      <c r="W19" s="186" t="s">
        <v>64</v>
      </c>
      <c r="X19" s="15" t="s">
        <v>65</v>
      </c>
      <c r="Y19" s="69">
        <f>COUNTIF(J14:J18,"TEC")*0.06*IF(COUNTIF(F6:F13,"CAB")&lt;&gt;0,1,0)</f>
        <v>0</v>
      </c>
      <c r="Z19" s="146" t="str">
        <f>Z3</f>
        <v>0,6</v>
      </c>
      <c r="AA19" s="19">
        <f t="shared" si="3"/>
        <v>0</v>
      </c>
      <c r="AB19" s="157">
        <f t="shared" si="4"/>
        <v>0</v>
      </c>
      <c r="AC19" s="178">
        <f t="shared" si="5"/>
        <v>1</v>
      </c>
      <c r="AD19" s="179">
        <f>AB19*PRODUCT(AC5:AC18)</f>
        <v>0</v>
      </c>
      <c r="AE19" s="179">
        <v>0</v>
      </c>
      <c r="AF19" s="1" t="s">
        <v>66</v>
      </c>
      <c r="BH19">
        <v>1</v>
      </c>
      <c r="BI19">
        <v>7</v>
      </c>
      <c r="BJ19" s="107">
        <f t="shared" si="7"/>
        <v>1.1897447078101089E-3</v>
      </c>
      <c r="BP19">
        <f>BP15+1</f>
        <v>6</v>
      </c>
      <c r="BQ19">
        <v>1</v>
      </c>
      <c r="BR19" s="107">
        <f>$H$31*H40</f>
        <v>1.3099893364518309E-3</v>
      </c>
    </row>
    <row r="20" spans="1:70" x14ac:dyDescent="0.25">
      <c r="A20" s="190" t="s">
        <v>81</v>
      </c>
      <c r="B20">
        <f>IF(B17="Pres",IF(C17="Pres",2,1),IF(C17="Pres",1,0))</f>
        <v>0</v>
      </c>
      <c r="D20" s="36"/>
      <c r="O20" s="22"/>
      <c r="P20" s="22"/>
      <c r="Q20" s="22"/>
      <c r="S20" s="180">
        <f>PRODUCT(S5:S19)</f>
        <v>0.72411241050940778</v>
      </c>
      <c r="T20" s="181">
        <f>SUM(T5:T19)</f>
        <v>0.24006013441224586</v>
      </c>
      <c r="U20" s="181">
        <f>SUM(U5:U19)</f>
        <v>3.3223538616744361E-2</v>
      </c>
      <c r="V20" s="181">
        <f>1-S20-T20-U20</f>
        <v>2.6039164616020044E-3</v>
      </c>
      <c r="W20" s="21"/>
      <c r="X20" s="22"/>
      <c r="Y20" s="22"/>
      <c r="Z20" s="22"/>
      <c r="AA20" s="22"/>
      <c r="AB20" s="23"/>
      <c r="AC20" s="184">
        <f>PRODUCT(AC5:AC19)</f>
        <v>0.33836088943131887</v>
      </c>
      <c r="AD20" s="181">
        <f>SUM(AD5:AD19)</f>
        <v>0.55523026214875748</v>
      </c>
      <c r="AE20" s="181">
        <f>SUM(AE5:AE19)</f>
        <v>9.9419369886878772E-2</v>
      </c>
      <c r="AF20" s="181">
        <f>1-AC20-AD20-AE20</f>
        <v>6.9894785330449349E-3</v>
      </c>
      <c r="BH20">
        <v>1</v>
      </c>
      <c r="BI20">
        <v>8</v>
      </c>
      <c r="BJ20" s="107">
        <f t="shared" si="7"/>
        <v>1.9839999258184195E-4</v>
      </c>
      <c r="BP20">
        <f>BP16+1</f>
        <v>6</v>
      </c>
      <c r="BQ20">
        <v>2</v>
      </c>
      <c r="BR20" s="107">
        <f>$H$31*H41</f>
        <v>2.0985876284637973E-3</v>
      </c>
    </row>
    <row r="21" spans="1:70" x14ac:dyDescent="0.25">
      <c r="A21" s="190" t="s">
        <v>78</v>
      </c>
      <c r="B21" s="191">
        <f>5-B20</f>
        <v>5</v>
      </c>
      <c r="C21" s="35"/>
      <c r="D21" s="24"/>
      <c r="E21" s="24"/>
      <c r="O21" s="22"/>
      <c r="P21" s="22"/>
      <c r="Q21" s="22"/>
      <c r="S21" s="182">
        <f>1-T21-U21-V21</f>
        <v>0.72411241050940789</v>
      </c>
      <c r="T21" s="183">
        <f>T20*V1</f>
        <v>0.24006013441224586</v>
      </c>
      <c r="U21" s="183">
        <f>U20*V1</f>
        <v>3.3223538616744361E-2</v>
      </c>
      <c r="V21" s="183">
        <f>V20*V1</f>
        <v>2.6039164616020044E-3</v>
      </c>
      <c r="W21" s="21"/>
      <c r="X21" s="22"/>
      <c r="Y21" s="22"/>
      <c r="Z21" s="22"/>
      <c r="AA21" s="22"/>
      <c r="AB21" s="23"/>
      <c r="AC21" s="185">
        <f>1-AD21-AE21-AF21</f>
        <v>0.33836088943131881</v>
      </c>
      <c r="AD21" s="183">
        <f>AD20*V1</f>
        <v>0.55523026214875748</v>
      </c>
      <c r="AE21" s="183">
        <f>AE20*V1</f>
        <v>9.9419369886878772E-2</v>
      </c>
      <c r="AF21" s="183">
        <f>AF20*V1</f>
        <v>6.9894785330449349E-3</v>
      </c>
      <c r="BH21" s="18">
        <v>1</v>
      </c>
      <c r="BI21">
        <v>9</v>
      </c>
      <c r="BJ21" s="107">
        <f t="shared" si="7"/>
        <v>2.4320319341702297E-5</v>
      </c>
      <c r="BP21">
        <f>BP17+1</f>
        <v>6</v>
      </c>
      <c r="BQ21">
        <v>3</v>
      </c>
      <c r="BR21" s="107">
        <f>$H$31*H42</f>
        <v>1.9288209132626224E-3</v>
      </c>
    </row>
    <row r="22" spans="1:70" x14ac:dyDescent="0.25">
      <c r="A22" s="26" t="s">
        <v>77</v>
      </c>
      <c r="B22" s="62">
        <f>(B6)/((B6)+(C6))</f>
        <v>0.46590909090909088</v>
      </c>
      <c r="C22" s="63">
        <f>1-B22</f>
        <v>0.53409090909090917</v>
      </c>
      <c r="D22" s="24"/>
      <c r="E22" s="24"/>
      <c r="V22" s="59">
        <f>SUM(V25:V35)</f>
        <v>1</v>
      </c>
      <c r="AS22" s="82">
        <f>Y23+AA23+AC23+AE23+AG23+AI23+AK23+AM23+AO23+AQ23+AS23</f>
        <v>1</v>
      </c>
      <c r="BH22">
        <v>1</v>
      </c>
      <c r="BI22">
        <v>10</v>
      </c>
      <c r="BJ22" s="107">
        <f t="shared" si="7"/>
        <v>2.1387687252912219E-6</v>
      </c>
      <c r="BP22">
        <f>BP18+1</f>
        <v>6</v>
      </c>
      <c r="BQ22">
        <v>4</v>
      </c>
      <c r="BR22" s="107">
        <f>$H$31*H43</f>
        <v>1.1597971563558685E-3</v>
      </c>
    </row>
    <row r="23" spans="1:70" ht="15.75" thickBot="1" x14ac:dyDescent="0.3">
      <c r="A23" s="40" t="s">
        <v>67</v>
      </c>
      <c r="B23" s="56">
        <f>((B22^2.8)/((B22^2.8)+(C22^2.8)))*B21</f>
        <v>2.0277270249191264</v>
      </c>
      <c r="C23" s="57">
        <f>B21-B23</f>
        <v>2.9722729750808736</v>
      </c>
      <c r="D23" s="151">
        <f>SUM(D25:D30)</f>
        <v>0.99999999999999989</v>
      </c>
      <c r="E23" s="151">
        <f>SUM(E25:E30)</f>
        <v>1</v>
      </c>
      <c r="H23" s="59">
        <f>SUM(H25:H35)</f>
        <v>0.99999989341929085</v>
      </c>
      <c r="J23" s="59">
        <f>SUM(J25:J35)</f>
        <v>1</v>
      </c>
      <c r="K23" s="59"/>
      <c r="L23" s="59">
        <f>SUM(L25:L35)</f>
        <v>1</v>
      </c>
      <c r="N23" s="59">
        <f>SUM(N25:N35)</f>
        <v>1.0000000000000002</v>
      </c>
      <c r="O23" s="34"/>
      <c r="P23" s="59">
        <f>SUM(P25:P35)</f>
        <v>1.0000000000000002</v>
      </c>
      <c r="R23" s="59">
        <f>SUM(R25:R35)</f>
        <v>1</v>
      </c>
      <c r="T23" s="59">
        <f>SUM(T25:T35)</f>
        <v>1</v>
      </c>
      <c r="V23" s="59">
        <f>SUM(V25:V34)</f>
        <v>0.99984289353484068</v>
      </c>
      <c r="Y23" s="80">
        <f>SUM(Y25:Y35)</f>
        <v>5.4010625526795444E-3</v>
      </c>
      <c r="Z23" s="81"/>
      <c r="AA23" s="80">
        <f>SUM(AA25:AA35)</f>
        <v>3.6955383300889405E-2</v>
      </c>
      <c r="AB23" s="81"/>
      <c r="AC23" s="80">
        <f>SUM(AC25:AC35)</f>
        <v>0.11385987364959152</v>
      </c>
      <c r="AD23" s="81"/>
      <c r="AE23" s="80">
        <f>SUM(AE25:AE35)</f>
        <v>0.20806864758674368</v>
      </c>
      <c r="AF23" s="81"/>
      <c r="AG23" s="80">
        <f>SUM(AG25:AG35)</f>
        <v>0.24984034958323034</v>
      </c>
      <c r="AH23" s="81"/>
      <c r="AI23" s="80">
        <f>SUM(AI25:AI35)</f>
        <v>0.20610284847042351</v>
      </c>
      <c r="AJ23" s="81"/>
      <c r="AK23" s="80">
        <f>SUM(AK25:AK35)</f>
        <v>0.11842681369530549</v>
      </c>
      <c r="AL23" s="81"/>
      <c r="AM23" s="80">
        <f>SUM(AM25:AM35)</f>
        <v>4.6905529536489694E-2</v>
      </c>
      <c r="AN23" s="81"/>
      <c r="AO23" s="80">
        <f>SUM(AO25:AO35)</f>
        <v>1.2317460472916935E-2</v>
      </c>
      <c r="AP23" s="81"/>
      <c r="AQ23" s="80">
        <f>SUM(AQ25:AQ35)</f>
        <v>1.9649246865706279E-3</v>
      </c>
      <c r="AR23" s="81"/>
      <c r="AS23" s="80">
        <f>SUM(AS25:AS35)</f>
        <v>1.5710646515931795E-4</v>
      </c>
      <c r="BH23">
        <f t="shared" ref="BH23:BH30" si="8">BH15+1</f>
        <v>2</v>
      </c>
      <c r="BI23">
        <v>3</v>
      </c>
      <c r="BJ23" s="107">
        <f t="shared" ref="BJ23:BJ30" si="9">$H$27*H42</f>
        <v>7.5322225238121265E-2</v>
      </c>
      <c r="BP23">
        <f>BL9+1</f>
        <v>6</v>
      </c>
      <c r="BQ23">
        <v>5</v>
      </c>
      <c r="BR23" s="107">
        <f>$H$31*H44</f>
        <v>4.8765420483406905E-4</v>
      </c>
    </row>
    <row r="24" spans="1:70" ht="15.75" thickBot="1" x14ac:dyDescent="0.3">
      <c r="A24" s="26" t="s">
        <v>76</v>
      </c>
      <c r="B24" s="64">
        <f>B23/B21</f>
        <v>0.4055454049838253</v>
      </c>
      <c r="C24" s="65">
        <f>C23/B21</f>
        <v>0.5944545950161747</v>
      </c>
      <c r="D24" s="13" t="s">
        <v>79</v>
      </c>
      <c r="E24" s="13" t="s">
        <v>80</v>
      </c>
      <c r="G24" s="99" t="s">
        <v>103</v>
      </c>
      <c r="H24" s="100" t="s">
        <v>75</v>
      </c>
      <c r="I24" s="99" t="s">
        <v>100</v>
      </c>
      <c r="J24" s="101" t="s">
        <v>101</v>
      </c>
      <c r="K24" s="99" t="s">
        <v>102</v>
      </c>
      <c r="L24" s="101" t="s">
        <v>75</v>
      </c>
      <c r="M24" s="83" t="s">
        <v>99</v>
      </c>
      <c r="N24" s="27" t="s">
        <v>74</v>
      </c>
      <c r="O24" s="27" t="s">
        <v>126</v>
      </c>
      <c r="P24" s="27" t="s">
        <v>75</v>
      </c>
      <c r="Q24" s="27" t="s">
        <v>87</v>
      </c>
      <c r="R24" s="27" t="s">
        <v>75</v>
      </c>
      <c r="S24" s="27" t="s">
        <v>83</v>
      </c>
      <c r="T24" s="134" t="s">
        <v>75</v>
      </c>
      <c r="U24" s="138" t="s">
        <v>85</v>
      </c>
      <c r="V24" s="139" t="s">
        <v>74</v>
      </c>
      <c r="W24" s="83" t="s">
        <v>73</v>
      </c>
      <c r="X24" s="27" t="s">
        <v>88</v>
      </c>
      <c r="Y24" s="27" t="s">
        <v>75</v>
      </c>
      <c r="Z24" s="27" t="s">
        <v>89</v>
      </c>
      <c r="AA24" s="27" t="s">
        <v>75</v>
      </c>
      <c r="AB24" s="27" t="s">
        <v>90</v>
      </c>
      <c r="AC24" s="27" t="s">
        <v>75</v>
      </c>
      <c r="AD24" s="27" t="s">
        <v>91</v>
      </c>
      <c r="AE24" s="27" t="s">
        <v>75</v>
      </c>
      <c r="AF24" s="27" t="s">
        <v>92</v>
      </c>
      <c r="AG24" s="27" t="s">
        <v>75</v>
      </c>
      <c r="AH24" s="27" t="s">
        <v>93</v>
      </c>
      <c r="AI24" s="27" t="s">
        <v>75</v>
      </c>
      <c r="AJ24" s="27" t="s">
        <v>94</v>
      </c>
      <c r="AK24" s="27" t="s">
        <v>75</v>
      </c>
      <c r="AL24" s="27" t="s">
        <v>95</v>
      </c>
      <c r="AM24" s="27" t="s">
        <v>75</v>
      </c>
      <c r="AN24" s="27" t="s">
        <v>96</v>
      </c>
      <c r="AO24" s="27" t="s">
        <v>75</v>
      </c>
      <c r="AP24" s="27" t="s">
        <v>97</v>
      </c>
      <c r="AQ24" s="27" t="s">
        <v>75</v>
      </c>
      <c r="AR24" s="27" t="s">
        <v>98</v>
      </c>
      <c r="AS24" s="27" t="s">
        <v>75</v>
      </c>
      <c r="AV24" s="14">
        <v>0</v>
      </c>
      <c r="AW24" s="14">
        <v>1</v>
      </c>
      <c r="AX24" s="14">
        <v>2</v>
      </c>
      <c r="AY24" s="14">
        <v>3</v>
      </c>
      <c r="AZ24" s="14">
        <v>4</v>
      </c>
      <c r="BA24" s="14">
        <v>5</v>
      </c>
      <c r="BB24" s="14">
        <v>6</v>
      </c>
      <c r="BC24" s="14">
        <v>7</v>
      </c>
      <c r="BD24" s="14">
        <v>8</v>
      </c>
      <c r="BE24" s="14">
        <v>9</v>
      </c>
      <c r="BF24" s="14">
        <v>10</v>
      </c>
      <c r="BH24">
        <f t="shared" si="8"/>
        <v>2</v>
      </c>
      <c r="BI24">
        <v>4</v>
      </c>
      <c r="BJ24" s="107">
        <f t="shared" si="9"/>
        <v>4.5291142397352685E-2</v>
      </c>
      <c r="BP24">
        <f>BH49+1</f>
        <v>7</v>
      </c>
      <c r="BQ24">
        <v>0</v>
      </c>
      <c r="BR24" s="107">
        <f t="shared" ref="BR24:BR30" si="10">$H$32*H39</f>
        <v>6.3924043301456218E-5</v>
      </c>
    </row>
    <row r="25" spans="1:70" x14ac:dyDescent="0.25">
      <c r="A25" s="26" t="s">
        <v>69</v>
      </c>
      <c r="B25" s="117">
        <f>1/(1+EXP(-3.1416*4*((B11/(B11+C8))-(3.1416/6))))</f>
        <v>0.14196414184697126</v>
      </c>
      <c r="C25" s="118">
        <f>1/(1+EXP(-3.1416*4*((C11/(C11+B8))-(3.1416/6))))</f>
        <v>0.27650853914150708</v>
      </c>
      <c r="D25" s="153">
        <f>IF(B17="AOW", 0.36-0.08, IF(B17="AIM", 0.36+0.08, IF(B17="TL",(0.361)-(0.36*B32),0.36)))</f>
        <v>0.27999999999999997</v>
      </c>
      <c r="E25" s="153">
        <f>IF(C17="AOW", 0.36-0.08, IF(C17="AIM", 0.36+0.08, IF(C17="TL",(0.361)-(0.36*C32),0.36)))</f>
        <v>0.36</v>
      </c>
      <c r="G25" s="126">
        <v>0</v>
      </c>
      <c r="H25" s="127">
        <f>L25*J25</f>
        <v>0.11241879518833622</v>
      </c>
      <c r="I25" s="97">
        <v>0</v>
      </c>
      <c r="J25" s="98">
        <f t="shared" ref="J25:J35" si="11">Y25+AA25+AC25+AE25+AG25+AI25+AK25+AM25+AO25+AQ25+AS25</f>
        <v>0.15525047431413364</v>
      </c>
      <c r="K25" s="97">
        <v>0</v>
      </c>
      <c r="L25" s="98">
        <f>S21</f>
        <v>0.72411241050940789</v>
      </c>
      <c r="M25" s="84">
        <v>0</v>
      </c>
      <c r="N25" s="71">
        <f>(1-$B$24)^$B$21</f>
        <v>7.4232389771098278E-2</v>
      </c>
      <c r="O25" s="70">
        <v>0</v>
      </c>
      <c r="P25" s="71">
        <f>N25</f>
        <v>7.4232389771098278E-2</v>
      </c>
      <c r="Q25" s="12">
        <v>0</v>
      </c>
      <c r="R25" s="73">
        <f>P25*N25</f>
        <v>5.5104476911282561E-3</v>
      </c>
      <c r="S25" s="70">
        <v>0</v>
      </c>
      <c r="T25" s="135">
        <f>(1-$B$33)^(INT(C23*2*(1-C31)))</f>
        <v>0.98014950062500006</v>
      </c>
      <c r="U25" s="140">
        <v>0</v>
      </c>
      <c r="V25" s="86">
        <f>R25*T25</f>
        <v>5.4010625526795444E-3</v>
      </c>
      <c r="W25" s="136">
        <f>B31</f>
        <v>0.41735886132672617</v>
      </c>
      <c r="X25" s="12">
        <v>0</v>
      </c>
      <c r="Y25" s="79">
        <f>V25</f>
        <v>5.4010625526795444E-3</v>
      </c>
      <c r="Z25" s="12">
        <v>0</v>
      </c>
      <c r="AA25" s="78">
        <f>((1-W25)^Z26)*V26</f>
        <v>2.1531726606537491E-2</v>
      </c>
      <c r="AB25" s="12">
        <v>0</v>
      </c>
      <c r="AC25" s="79">
        <f>(((1-$W$25)^AB27))*V27</f>
        <v>3.8652090608324162E-2</v>
      </c>
      <c r="AD25" s="12">
        <v>0</v>
      </c>
      <c r="AE25" s="79">
        <f>(((1-$W$25)^AB28))*V28</f>
        <v>4.1153813151394054E-2</v>
      </c>
      <c r="AF25" s="12">
        <v>0</v>
      </c>
      <c r="AG25" s="79">
        <f>(((1-$W$25)^AB29))*V29</f>
        <v>2.8791690270711434E-2</v>
      </c>
      <c r="AH25" s="12">
        <v>0</v>
      </c>
      <c r="AI25" s="79">
        <f>(((1-$W$25)^AB30))*V30</f>
        <v>1.3838522447507074E-2</v>
      </c>
      <c r="AJ25" s="12">
        <v>0</v>
      </c>
      <c r="AK25" s="79">
        <f>(((1-$W$25)^AB31))*V31</f>
        <v>4.6329425926469742E-3</v>
      </c>
      <c r="AL25" s="12">
        <v>0</v>
      </c>
      <c r="AM25" s="79">
        <f>(((1-$W$25)^AB32))*V32</f>
        <v>1.0691338085220396E-3</v>
      </c>
      <c r="AN25" s="12">
        <v>0</v>
      </c>
      <c r="AO25" s="79">
        <f>(((1-$W$25)^AB33))*V33</f>
        <v>1.6358005237280708E-4</v>
      </c>
      <c r="AP25" s="12">
        <v>0</v>
      </c>
      <c r="AQ25" s="79">
        <f>(((1-$W$25)^AB34))*V34</f>
        <v>1.5203942564491633E-5</v>
      </c>
      <c r="AR25" s="12">
        <v>0</v>
      </c>
      <c r="AS25" s="79">
        <f>(((1-$W$25)^AB35))*V35</f>
        <v>7.0828087359556965E-7</v>
      </c>
      <c r="AV25" s="14">
        <v>1</v>
      </c>
      <c r="AW25">
        <v>1</v>
      </c>
      <c r="AX25">
        <v>2</v>
      </c>
      <c r="AY25">
        <v>3</v>
      </c>
      <c r="AZ25">
        <v>4</v>
      </c>
      <c r="BA25">
        <v>5</v>
      </c>
      <c r="BB25">
        <v>6</v>
      </c>
      <c r="BC25">
        <f>7</f>
        <v>7</v>
      </c>
      <c r="BD25">
        <v>8</v>
      </c>
      <c r="BE25">
        <v>9</v>
      </c>
      <c r="BF25">
        <v>10</v>
      </c>
      <c r="BH25">
        <f t="shared" si="8"/>
        <v>2</v>
      </c>
      <c r="BI25">
        <v>5</v>
      </c>
      <c r="BJ25" s="107">
        <f t="shared" si="9"/>
        <v>1.9043343838852013E-2</v>
      </c>
      <c r="BP25">
        <f>BP19+1</f>
        <v>7</v>
      </c>
      <c r="BQ25">
        <v>1</v>
      </c>
      <c r="BR25" s="107">
        <f t="shared" si="10"/>
        <v>2.4774549939281124E-4</v>
      </c>
    </row>
    <row r="26" spans="1:70" x14ac:dyDescent="0.25">
      <c r="A26" s="40" t="s">
        <v>24</v>
      </c>
      <c r="B26" s="119">
        <f>1/(1+EXP(-3.1416*4*((B10/(B10+C9))-(3.1416/6))))</f>
        <v>0.3407265942093135</v>
      </c>
      <c r="C26" s="120">
        <f>1/(1+EXP(-3.1416*4*((C10/(C10+B9))-(3.1416/6))))</f>
        <v>0.26261185366149137</v>
      </c>
      <c r="D26" s="153">
        <f>IF(B17="AOW", 0.257+0.04, IF(B17="AIM", 0.257-0.04, IF(B17="TL",(0.257)-(0.257*B32),0.257)))</f>
        <v>0.29699999999999999</v>
      </c>
      <c r="E26" s="153">
        <f>IF(C17="AOW", 0.257+0.04, IF(C17="AIM", 0.257-0.04, IF(C17="TL",(0.257)-(0.257*C32),0.257)))</f>
        <v>0.25700000000000001</v>
      </c>
      <c r="G26" s="87">
        <v>1</v>
      </c>
      <c r="H26" s="128">
        <f>L25*J26+L26*J25</f>
        <v>0.2672553606560451</v>
      </c>
      <c r="I26" s="93">
        <v>1</v>
      </c>
      <c r="J26" s="86">
        <f t="shared" si="11"/>
        <v>0.31761078471619597</v>
      </c>
      <c r="K26" s="93">
        <v>1</v>
      </c>
      <c r="L26" s="86">
        <f>T21</f>
        <v>0.24006013441224586</v>
      </c>
      <c r="M26" s="85">
        <v>1</v>
      </c>
      <c r="N26" s="71">
        <f>(($B$24)^M26)*((1-($B$24))^($B$21-M26))*HLOOKUP($B$21,$AV$24:$BF$34,M26+1)</f>
        <v>0.25321197636480625</v>
      </c>
      <c r="O26" s="72">
        <v>1</v>
      </c>
      <c r="P26" s="71">
        <f t="shared" ref="P26:P30" si="12">N26</f>
        <v>0.25321197636480625</v>
      </c>
      <c r="Q26" s="28">
        <v>1</v>
      </c>
      <c r="R26" s="37">
        <f>N26*P25+P26*N25</f>
        <v>3.7593060248444846E-2</v>
      </c>
      <c r="S26" s="72">
        <v>1</v>
      </c>
      <c r="T26" s="135">
        <f t="shared" ref="T26:T35" si="13">(($B$33)^S26)*((1-($B$33))^(INT($C$23*2*(1-$C$31))-S26))*HLOOKUP(INT($C$23*2*(1-$C$31)),$AV$24:$BF$34,S26+1)</f>
        <v>1.9701497500000002E-2</v>
      </c>
      <c r="U26" s="93">
        <v>1</v>
      </c>
      <c r="V26" s="86">
        <f>R26*T25+T26*R25</f>
        <v>3.6955383300889405E-2</v>
      </c>
      <c r="W26" s="137"/>
      <c r="X26" s="28">
        <v>1</v>
      </c>
      <c r="Y26" s="73"/>
      <c r="Z26" s="28">
        <v>1</v>
      </c>
      <c r="AA26" s="79">
        <f>(1-((1-W25)^Z26))*V26</f>
        <v>1.5423656694351914E-2</v>
      </c>
      <c r="AB26" s="28">
        <v>1</v>
      </c>
      <c r="AC26" s="79">
        <f>((($W$25)^M26)*((1-($W$25))^($U$27-M26))*HLOOKUP($U$27,$AV$24:$BF$34,M26+1))*V27</f>
        <v>5.5374711648137849E-2</v>
      </c>
      <c r="AD26" s="28">
        <v>1</v>
      </c>
      <c r="AE26" s="79">
        <f>((($W$25)^M26)*((1-($W$25))^($U$28-M26))*HLOOKUP($U$28,$AV$24:$BF$34,M26+1))*V28</f>
        <v>8.8438186678148539E-2</v>
      </c>
      <c r="AF26" s="28">
        <v>1</v>
      </c>
      <c r="AG26" s="79">
        <f>((($W$25)^M26)*((1-($W$25))^($U$29-M26))*HLOOKUP($U$29,$AV$24:$BF$34,M26+1))*V29</f>
        <v>8.2496523293349847E-2</v>
      </c>
      <c r="AH26" s="28">
        <v>1</v>
      </c>
      <c r="AI26" s="79">
        <f>((($W$25)^M26)*((1-($W$25))^($U$30-M26))*HLOOKUP($U$30,$AV$24:$BF$34,M26+1))*V30</f>
        <v>4.9564213610864487E-2</v>
      </c>
      <c r="AJ26" s="28">
        <v>1</v>
      </c>
      <c r="AK26" s="79">
        <f>((($W$25)^M26)*((1-($W$25))^($U$31-M26))*HLOOKUP($U$31,$AV$24:$BF$34,M26+1))*V31</f>
        <v>1.9912081554648318E-2</v>
      </c>
      <c r="AL26" s="28">
        <v>1</v>
      </c>
      <c r="AM26" s="79">
        <f>((($W$25)^Q26)*((1-($W$25))^($U$32-Q26))*HLOOKUP($U$32,$AV$24:$BF$34,Q26+1))*V32</f>
        <v>5.3609109882407427E-3</v>
      </c>
      <c r="AN26" s="28">
        <v>1</v>
      </c>
      <c r="AO26" s="79">
        <f>((($W$25)^Q26)*((1-($W$25))^($U$33-Q26))*HLOOKUP($U$33,$AV$24:$BF$34,Q26+1))*V33</f>
        <v>9.374083615110529E-4</v>
      </c>
      <c r="AP26" s="28">
        <v>1</v>
      </c>
      <c r="AQ26" s="79">
        <f>((($W$25)^Q26)*((1-($W$25))^($U$34-Q26))*HLOOKUP($U$34,$AV$24:$BF$34,Q26+1))*V34</f>
        <v>9.8018312846192117E-5</v>
      </c>
      <c r="AR26" s="28">
        <v>1</v>
      </c>
      <c r="AS26" s="79">
        <f>((($W$25)^Q26)*((1-($W$25))^($U$35-Q26))*HLOOKUP($U$35,$AV$24:$BF$34,Q26+1))*V35</f>
        <v>5.0735740970242865E-6</v>
      </c>
      <c r="AV26" s="14">
        <v>2</v>
      </c>
      <c r="AX26">
        <v>1</v>
      </c>
      <c r="AY26">
        <v>3</v>
      </c>
      <c r="AZ26">
        <v>6</v>
      </c>
      <c r="BA26">
        <v>10</v>
      </c>
      <c r="BB26">
        <v>15</v>
      </c>
      <c r="BC26">
        <f>6+15</f>
        <v>21</v>
      </c>
      <c r="BD26">
        <f>21+7</f>
        <v>28</v>
      </c>
      <c r="BE26">
        <f>28+8</f>
        <v>36</v>
      </c>
      <c r="BF26">
        <f>36+9</f>
        <v>45</v>
      </c>
      <c r="BH26">
        <f t="shared" si="8"/>
        <v>2</v>
      </c>
      <c r="BI26">
        <v>6</v>
      </c>
      <c r="BJ26" s="107">
        <f t="shared" si="9"/>
        <v>5.8045980916679989E-3</v>
      </c>
      <c r="BP26">
        <f>BP20+1</f>
        <v>7</v>
      </c>
      <c r="BQ26">
        <v>2</v>
      </c>
      <c r="BR26" s="107">
        <f t="shared" si="10"/>
        <v>3.9688539865641613E-4</v>
      </c>
    </row>
    <row r="27" spans="1:70" x14ac:dyDescent="0.25">
      <c r="A27" s="26" t="s">
        <v>25</v>
      </c>
      <c r="B27" s="119">
        <f>1/(1+EXP(-3.1416*4*((B12/(B12+C7))-(3.1416/6))))</f>
        <v>0.6080929919498167</v>
      </c>
      <c r="C27" s="120">
        <f>1/(1+EXP(-3.1416*4*((C12/(C12+B7))-(3.1416/6))))</f>
        <v>0.22042125474416366</v>
      </c>
      <c r="D27" s="153">
        <f>D26</f>
        <v>0.29699999999999999</v>
      </c>
      <c r="E27" s="153">
        <f>E26</f>
        <v>0.25700000000000001</v>
      </c>
      <c r="G27" s="87">
        <v>2</v>
      </c>
      <c r="H27" s="128">
        <f>L25*J27+J26*L26+J25*L27</f>
        <v>0.2933215853276675</v>
      </c>
      <c r="I27" s="93">
        <v>2</v>
      </c>
      <c r="J27" s="86">
        <f t="shared" si="11"/>
        <v>0.29265888065665435</v>
      </c>
      <c r="K27" s="93">
        <v>2</v>
      </c>
      <c r="L27" s="86">
        <f>U21</f>
        <v>3.3223538616744361E-2</v>
      </c>
      <c r="M27" s="85">
        <v>2</v>
      </c>
      <c r="N27" s="71">
        <f>(($B$24)^M27)*((1-($B$24))^($B$21-M27))*HLOOKUP($B$21,$AV$24:$BF$34,M27+1)</f>
        <v>0.3454896450041775</v>
      </c>
      <c r="O27" s="72">
        <v>2</v>
      </c>
      <c r="P27" s="71">
        <f t="shared" si="12"/>
        <v>0.3454896450041775</v>
      </c>
      <c r="Q27" s="28">
        <v>2</v>
      </c>
      <c r="R27" s="37">
        <f>P25*N27+P26*N26+P27*N25</f>
        <v>0.11540934895422816</v>
      </c>
      <c r="S27" s="72">
        <v>2</v>
      </c>
      <c r="T27" s="135">
        <f t="shared" si="13"/>
        <v>1.4850375000000001E-4</v>
      </c>
      <c r="U27" s="93">
        <v>2</v>
      </c>
      <c r="V27" s="86">
        <f>R27*T25+T26*R26+R25*T27</f>
        <v>0.11385987364959151</v>
      </c>
      <c r="W27" s="137"/>
      <c r="X27" s="28">
        <v>2</v>
      </c>
      <c r="Y27" s="73"/>
      <c r="Z27" s="28">
        <v>2</v>
      </c>
      <c r="AA27" s="79"/>
      <c r="AB27" s="28">
        <v>2</v>
      </c>
      <c r="AC27" s="79">
        <f>((($W$25)^M27)*((1-($W$25))^($U$27-M27))*HLOOKUP($U$27,$AV$24:$BF$34,M27+1))*V27</f>
        <v>1.9833071393129502E-2</v>
      </c>
      <c r="AD27" s="28">
        <v>2</v>
      </c>
      <c r="AE27" s="79">
        <f>((($W$25)^M27)*((1-($W$25))^($U$28-M27))*HLOOKUP($U$28,$AV$24:$BF$34,M27+1))*V28</f>
        <v>6.3350248445966151E-2</v>
      </c>
      <c r="AF27" s="28">
        <v>2</v>
      </c>
      <c r="AG27" s="79">
        <f>((($W$25)^M27)*((1-($W$25))^($U$29-M27))*HLOOKUP($U$29,$AV$24:$BF$34,M27+1))*V29</f>
        <v>8.8641153378376081E-2</v>
      </c>
      <c r="AH27" s="28">
        <v>2</v>
      </c>
      <c r="AI27" s="79">
        <f>((($W$25)^M27)*((1-($W$25))^($U$30-M27))*HLOOKUP($U$30,$AV$24:$BF$34,M27+1))*V30</f>
        <v>7.1007906521290437E-2</v>
      </c>
      <c r="AJ27" s="28">
        <v>2</v>
      </c>
      <c r="AK27" s="79">
        <f>((($W$25)^M27)*((1-($W$25))^($U$31-M27))*HLOOKUP($U$31,$AV$24:$BF$34,M27+1))*V31</f>
        <v>3.5658671919462502E-2</v>
      </c>
      <c r="AL27" s="28">
        <v>2</v>
      </c>
      <c r="AM27" s="79">
        <f>((($W$25)^Q27)*((1-($W$25))^($U$32-Q27))*HLOOKUP($U$32,$AV$24:$BF$34,Q27+1))*V32</f>
        <v>1.1520420841656864E-2</v>
      </c>
      <c r="AN27" s="28">
        <v>2</v>
      </c>
      <c r="AO27" s="79">
        <f>((($W$25)^Q27)*((1-($W$25))^($U$33-Q27))*HLOOKUP($U$33,$AV$24:$BF$34,Q27+1))*V33</f>
        <v>2.3502029145633175E-3</v>
      </c>
      <c r="AP27" s="28">
        <v>2</v>
      </c>
      <c r="AQ27" s="79">
        <f>((($W$25)^Q27)*((1-($W$25))^($U$34-Q27))*HLOOKUP($U$34,$AV$24:$BF$34,Q27+1))*V34</f>
        <v>2.8085082719566686E-4</v>
      </c>
      <c r="AR27" s="28">
        <v>2</v>
      </c>
      <c r="AS27" s="79">
        <f>((($W$25)^Q27)*((1-($W$25))^($U$35-Q27))*HLOOKUP($U$35,$AV$24:$BF$34,Q27+1))*V35</f>
        <v>1.6354415013770853E-5</v>
      </c>
      <c r="AV27" s="14">
        <v>3</v>
      </c>
      <c r="AY27">
        <v>1</v>
      </c>
      <c r="AZ27">
        <v>4</v>
      </c>
      <c r="BA27">
        <v>10</v>
      </c>
      <c r="BB27">
        <v>20</v>
      </c>
      <c r="BC27">
        <f>15+20</f>
        <v>35</v>
      </c>
      <c r="BD27">
        <f>21+35</f>
        <v>56</v>
      </c>
      <c r="BE27">
        <f>28+56</f>
        <v>84</v>
      </c>
      <c r="BF27">
        <f>36+84</f>
        <v>120</v>
      </c>
      <c r="BH27">
        <f t="shared" si="8"/>
        <v>2</v>
      </c>
      <c r="BI27">
        <v>7</v>
      </c>
      <c r="BJ27" s="107">
        <f t="shared" si="9"/>
        <v>1.3057841121443192E-3</v>
      </c>
      <c r="BP27">
        <f>BP21+1</f>
        <v>7</v>
      </c>
      <c r="BQ27">
        <v>3</v>
      </c>
      <c r="BR27" s="107">
        <f t="shared" si="10"/>
        <v>3.6477907651511464E-4</v>
      </c>
    </row>
    <row r="28" spans="1:70" x14ac:dyDescent="0.25">
      <c r="A28" s="26" t="s">
        <v>26</v>
      </c>
      <c r="B28" s="174">
        <v>0.9</v>
      </c>
      <c r="C28" s="175">
        <v>0.9</v>
      </c>
      <c r="D28" s="153">
        <v>8.5000000000000006E-2</v>
      </c>
      <c r="E28" s="153">
        <v>8.5000000000000006E-2</v>
      </c>
      <c r="G28" s="87">
        <v>3</v>
      </c>
      <c r="H28" s="128">
        <f>J28*L25+J27*L26+L28*J25+L27*J26</f>
        <v>0.1970704199929163</v>
      </c>
      <c r="I28" s="93">
        <v>3</v>
      </c>
      <c r="J28" s="86">
        <f t="shared" si="11"/>
        <v>0.16000040138406943</v>
      </c>
      <c r="K28" s="93">
        <v>3</v>
      </c>
      <c r="L28" s="86">
        <f>V21</f>
        <v>2.6039164616020044E-3</v>
      </c>
      <c r="M28" s="85">
        <v>3</v>
      </c>
      <c r="N28" s="71">
        <f>(($B$24)^M28)*((1-($B$24))^($B$21-M28))*HLOOKUP($B$21,$AV$24:$BF$34,M28+1)</f>
        <v>0.23569796444609006</v>
      </c>
      <c r="O28" s="72">
        <v>3</v>
      </c>
      <c r="P28" s="71">
        <f t="shared" si="12"/>
        <v>0.23569796444609006</v>
      </c>
      <c r="Q28" s="28">
        <v>3</v>
      </c>
      <c r="R28" s="37">
        <f>P25*N28+P26*N27+P27*N26+P28*N25</f>
        <v>0.20995707798019944</v>
      </c>
      <c r="S28" s="72">
        <v>3</v>
      </c>
      <c r="T28" s="135">
        <f t="shared" si="13"/>
        <v>4.9750000000000011E-7</v>
      </c>
      <c r="U28" s="93">
        <v>3</v>
      </c>
      <c r="V28" s="86">
        <f>R28*T25+R27*T26+R26*T27+R25*T28</f>
        <v>0.20806864758674365</v>
      </c>
      <c r="W28" s="137"/>
      <c r="X28" s="28">
        <v>3</v>
      </c>
      <c r="Y28" s="73"/>
      <c r="Z28" s="28">
        <v>3</v>
      </c>
      <c r="AA28" s="79"/>
      <c r="AB28" s="28">
        <v>3</v>
      </c>
      <c r="AC28" s="79"/>
      <c r="AD28" s="28">
        <v>3</v>
      </c>
      <c r="AE28" s="79">
        <f>((($W$25)^M28)*((1-($W$25))^($U$28-M28))*HLOOKUP($U$28,$AV$24:$BF$34,M28+1))*V28</f>
        <v>1.5126399311234931E-2</v>
      </c>
      <c r="AF28" s="28">
        <v>3</v>
      </c>
      <c r="AG28" s="79">
        <f>((($W$25)^M28)*((1-($W$25))^($U$29-M28))*HLOOKUP($U$29,$AV$24:$BF$34,M28+1))*V29</f>
        <v>4.2330425351161043E-2</v>
      </c>
      <c r="AH28" s="28">
        <v>3</v>
      </c>
      <c r="AI28" s="79">
        <f>((($W$25)^M28)*((1-($W$25))^($U$30-M28))*HLOOKUP($U$30,$AV$24:$BF$34,M28+1))*V30</f>
        <v>5.0864549452178609E-2</v>
      </c>
      <c r="AJ28" s="28">
        <v>3</v>
      </c>
      <c r="AK28" s="79">
        <f>((($W$25)^M28)*((1-($W$25))^($U$31-M28))*HLOOKUP($U$31,$AV$24:$BF$34,M28+1))*V31</f>
        <v>3.4057470876198634E-2</v>
      </c>
      <c r="AL28" s="28">
        <v>3</v>
      </c>
      <c r="AM28" s="79">
        <f>((($W$25)^Q28)*((1-($W$25))^($U$32-Q28))*HLOOKUP($U$32,$AV$24:$BF$34,Q28+1))*V32</f>
        <v>1.3753891275817972E-2</v>
      </c>
      <c r="AN28" s="28">
        <v>3</v>
      </c>
      <c r="AO28" s="79">
        <f>((($W$25)^Q28)*((1-($W$25))^($U$33-Q28))*HLOOKUP($U$33,$AV$24:$BF$34,Q28+1))*V33</f>
        <v>3.3670056822367412E-3</v>
      </c>
      <c r="AP28" s="28">
        <v>3</v>
      </c>
      <c r="AQ28" s="79">
        <f>((($W$25)^Q28)*((1-($W$25))^($U$34-Q28))*HLOOKUP($U$34,$AV$24:$BF$34,Q28+1))*V34</f>
        <v>4.6941934787723228E-4</v>
      </c>
      <c r="AR28" s="28">
        <v>3</v>
      </c>
      <c r="AS28" s="79">
        <f>((($W$25)^Q28)*((1-($W$25))^($U$35-Q28))*HLOOKUP($U$35,$AV$24:$BF$34,Q28+1))*V35</f>
        <v>3.1240087364261102E-5</v>
      </c>
      <c r="AV28" s="14">
        <v>4</v>
      </c>
      <c r="AZ28">
        <v>1</v>
      </c>
      <c r="BA28">
        <v>5</v>
      </c>
      <c r="BB28">
        <v>15</v>
      </c>
      <c r="BC28">
        <f>20+15</f>
        <v>35</v>
      </c>
      <c r="BD28">
        <f>35+35</f>
        <v>70</v>
      </c>
      <c r="BE28">
        <f>56+70</f>
        <v>126</v>
      </c>
      <c r="BF28">
        <f>BE27+BE28</f>
        <v>210</v>
      </c>
      <c r="BH28">
        <f t="shared" si="8"/>
        <v>2</v>
      </c>
      <c r="BI28">
        <v>8</v>
      </c>
      <c r="BJ28" s="107">
        <f t="shared" si="9"/>
        <v>2.1775054468598564E-4</v>
      </c>
      <c r="BP28">
        <f>BP22+1</f>
        <v>7</v>
      </c>
      <c r="BQ28">
        <v>4</v>
      </c>
      <c r="BR28" s="107">
        <f t="shared" si="10"/>
        <v>2.1934111805368311E-4</v>
      </c>
    </row>
    <row r="29" spans="1:70" x14ac:dyDescent="0.25">
      <c r="A29" s="26" t="s">
        <v>27</v>
      </c>
      <c r="B29" s="123">
        <f>1/(1+EXP(-3.1416*4*((B14/(B14+C13))-(3.1416/6))))</f>
        <v>0.48130695652156874</v>
      </c>
      <c r="C29" s="118">
        <f>1/(1+EXP(-3.1416*4*((C14/(C14+B13))-(3.1416/6))))</f>
        <v>0.16635890821379401</v>
      </c>
      <c r="D29" s="153">
        <v>0.04</v>
      </c>
      <c r="E29" s="153">
        <v>0.04</v>
      </c>
      <c r="G29" s="87">
        <v>4</v>
      </c>
      <c r="H29" s="128">
        <f>J29*L25+J28*L26+J27*L27+J26*L28</f>
        <v>9.0600685564830155E-2</v>
      </c>
      <c r="I29" s="93">
        <v>4</v>
      </c>
      <c r="J29" s="86">
        <f t="shared" si="11"/>
        <v>5.7505950076907009E-2</v>
      </c>
      <c r="K29" s="93">
        <v>4</v>
      </c>
      <c r="L29" s="86"/>
      <c r="M29" s="85">
        <v>4</v>
      </c>
      <c r="N29" s="71">
        <f>(($B$24)^M29)*((1-($B$24))^($B$21-M29))*HLOOKUP($B$21,$AV$24:$BF$34,M29+1)</f>
        <v>8.0398256861444584E-2</v>
      </c>
      <c r="O29" s="72">
        <v>4</v>
      </c>
      <c r="P29" s="71">
        <f t="shared" si="12"/>
        <v>8.0398256861444584E-2</v>
      </c>
      <c r="Q29" s="28">
        <v>4</v>
      </c>
      <c r="R29" s="37">
        <f>P25*N29+P26*N28+P27*N27+P28*N26+P29*N25</f>
        <v>0.25066249909073646</v>
      </c>
      <c r="S29" s="72">
        <v>4</v>
      </c>
      <c r="T29" s="135">
        <f t="shared" si="13"/>
        <v>6.2500000000000001E-10</v>
      </c>
      <c r="U29" s="93">
        <v>4</v>
      </c>
      <c r="V29" s="86">
        <f>T29*R25+T28*R26+T27*R27+T26*R28+T25*R29</f>
        <v>0.24984034958323031</v>
      </c>
      <c r="W29" s="137"/>
      <c r="X29" s="28">
        <v>4</v>
      </c>
      <c r="Y29" s="73"/>
      <c r="Z29" s="28">
        <v>4</v>
      </c>
      <c r="AA29" s="79"/>
      <c r="AB29" s="28">
        <v>4</v>
      </c>
      <c r="AC29" s="79"/>
      <c r="AD29" s="28">
        <v>4</v>
      </c>
      <c r="AE29" s="79"/>
      <c r="AF29" s="28">
        <v>4</v>
      </c>
      <c r="AG29" s="79">
        <f>((($W$25)^M29)*((1-($W$25))^($U$29-M29))*HLOOKUP($U$29,$AV$24:$BF$34,M29+1))*V29</f>
        <v>7.5805572896319364E-3</v>
      </c>
      <c r="AH29" s="28">
        <v>4</v>
      </c>
      <c r="AI29" s="79">
        <f>((($W$25)^M29)*((1-($W$25))^($U$30-M29))*HLOOKUP($U$30,$AV$24:$BF$34,M29+1))*V30</f>
        <v>1.8217706433841963E-2</v>
      </c>
      <c r="AJ29" s="28">
        <v>4</v>
      </c>
      <c r="AK29" s="79">
        <f>((($W$25)^M29)*((1-($W$25))^($U$31-M29))*HLOOKUP($U$31,$AV$24:$BF$34,M29+1))*V31</f>
        <v>1.8297095314440091E-2</v>
      </c>
      <c r="AL29" s="28">
        <v>4</v>
      </c>
      <c r="AM29" s="79">
        <f>((($W$25)^Q29)*((1-($W$25))^($U$32-Q29))*HLOOKUP($U$32,$AV$24:$BF$34,Q29+1))*V32</f>
        <v>9.8522195235959103E-3</v>
      </c>
      <c r="AN29" s="28">
        <v>4</v>
      </c>
      <c r="AO29" s="79">
        <f>((($W$25)^Q29)*((1-($W$25))^($U$33-Q29))*HLOOKUP($U$33,$AV$24:$BF$34,Q29+1))*V33</f>
        <v>3.0148267182498107E-3</v>
      </c>
      <c r="AP29" s="28">
        <v>4</v>
      </c>
      <c r="AQ29" s="79">
        <f>((($W$25)^Q29)*((1-($W$25))^($U$34-Q29))*HLOOKUP($U$34,$AV$24:$BF$34,Q29+1))*V34</f>
        <v>5.0438334553811728E-4</v>
      </c>
      <c r="AR29" s="28">
        <v>4</v>
      </c>
      <c r="AS29" s="79">
        <f>((($W$25)^Q29)*((1-($W$25))^($U$35-Q29))*HLOOKUP($U$35,$AV$24:$BF$34,Q29+1))*V35</f>
        <v>3.9161451609173323E-5</v>
      </c>
      <c r="AV29" s="14">
        <v>5</v>
      </c>
      <c r="BA29">
        <v>1</v>
      </c>
      <c r="BB29">
        <v>6</v>
      </c>
      <c r="BC29">
        <f>15+6</f>
        <v>21</v>
      </c>
      <c r="BD29">
        <f>35+21</f>
        <v>56</v>
      </c>
      <c r="BE29">
        <f>70+56</f>
        <v>126</v>
      </c>
      <c r="BF29">
        <f t="shared" ref="BF29:BF34" si="14">BE28+BE29</f>
        <v>252</v>
      </c>
      <c r="BH29">
        <f t="shared" si="8"/>
        <v>2</v>
      </c>
      <c r="BI29">
        <v>9</v>
      </c>
      <c r="BJ29" s="107">
        <f t="shared" si="9"/>
        <v>2.6692353737907684E-5</v>
      </c>
      <c r="BP29">
        <f>BP23+1</f>
        <v>7</v>
      </c>
      <c r="BQ29">
        <v>5</v>
      </c>
      <c r="BR29" s="107">
        <f t="shared" si="10"/>
        <v>9.222528088270672E-5</v>
      </c>
    </row>
    <row r="30" spans="1:70" x14ac:dyDescent="0.25">
      <c r="A30" s="26" t="s">
        <v>136</v>
      </c>
      <c r="B30" s="174">
        <v>0.15</v>
      </c>
      <c r="C30" s="175">
        <v>0.15</v>
      </c>
      <c r="D30" s="153">
        <f>IF(B17="TL",0.875*B32,0.001)</f>
        <v>1E-3</v>
      </c>
      <c r="E30" s="153">
        <f>IF(C17="TL",0.875*C32,0.001)</f>
        <v>1E-3</v>
      </c>
      <c r="G30" s="87">
        <v>5</v>
      </c>
      <c r="H30" s="128">
        <f>J30*L25+J29*L26+J28*L27+J27*L28</f>
        <v>3.0172108855274021E-2</v>
      </c>
      <c r="I30" s="93">
        <v>5</v>
      </c>
      <c r="J30" s="86">
        <f t="shared" si="11"/>
        <v>1.4209650062502327E-2</v>
      </c>
      <c r="K30" s="93">
        <v>5</v>
      </c>
      <c r="L30" s="86"/>
      <c r="M30" s="85">
        <v>5</v>
      </c>
      <c r="N30" s="71">
        <f>(($B$24)^M30)*((1-($B$24))^($B$21-M30))*HLOOKUP($B$21,$AV$24:$BF$34,M30+1)</f>
        <v>1.096976755238337E-2</v>
      </c>
      <c r="O30" s="72">
        <v>5</v>
      </c>
      <c r="P30" s="71">
        <f t="shared" si="12"/>
        <v>1.096976755238337E-2</v>
      </c>
      <c r="Q30" s="28">
        <v>5</v>
      </c>
      <c r="R30" s="37">
        <f>P25*N30+P26*N29+P27*N28+P28*N27+P29*N26+P30*N25</f>
        <v>0.20520663928301097</v>
      </c>
      <c r="S30" s="72">
        <v>5</v>
      </c>
      <c r="T30" s="135">
        <f t="shared" si="13"/>
        <v>0</v>
      </c>
      <c r="U30" s="93">
        <v>5</v>
      </c>
      <c r="V30" s="86">
        <f>T30*R25+T29*R26+T28*R27+T27*R28+T26*R29+T25*R30</f>
        <v>0.20610284847042348</v>
      </c>
      <c r="W30" s="137"/>
      <c r="X30" s="28">
        <v>5</v>
      </c>
      <c r="Y30" s="73"/>
      <c r="Z30" s="28">
        <v>5</v>
      </c>
      <c r="AA30" s="79"/>
      <c r="AB30" s="28">
        <v>5</v>
      </c>
      <c r="AC30" s="79"/>
      <c r="AD30" s="28">
        <v>5</v>
      </c>
      <c r="AE30" s="79"/>
      <c r="AF30" s="28">
        <v>5</v>
      </c>
      <c r="AG30" s="79"/>
      <c r="AH30" s="28">
        <v>5</v>
      </c>
      <c r="AI30" s="79">
        <f>((($W$25)^M30)*((1-($W$25))^($U$30-M30))*HLOOKUP($U$30,$AV$24:$BF$34,M30+1))*V30</f>
        <v>2.6099500047409288E-3</v>
      </c>
      <c r="AJ30" s="28">
        <v>5</v>
      </c>
      <c r="AK30" s="79">
        <f>((($W$25)^M30)*((1-($W$25))^($U$31-M30))*HLOOKUP($U$31,$AV$24:$BF$34,M30+1))*V31</f>
        <v>5.2426472208331786E-3</v>
      </c>
      <c r="AL30" s="28">
        <v>5</v>
      </c>
      <c r="AM30" s="79">
        <f>((($W$25)^Q30)*((1-($W$25))^($U$32-Q30))*HLOOKUP($U$32,$AV$24:$BF$34,Q30+1))*V32</f>
        <v>4.2344189405562277E-3</v>
      </c>
      <c r="AN30" s="28">
        <v>5</v>
      </c>
      <c r="AO30" s="79">
        <f>((($W$25)^Q30)*((1-($W$25))^($U$33-Q30))*HLOOKUP($U$33,$AV$24:$BF$34,Q30+1))*V33</f>
        <v>1.7276701732271266E-3</v>
      </c>
      <c r="AP30" s="28">
        <v>5</v>
      </c>
      <c r="AQ30" s="79">
        <f>((($W$25)^Q30)*((1-($W$25))^($U$34-Q30))*HLOOKUP($U$34,$AV$24:$BF$34,Q30+1))*V34</f>
        <v>3.6130105616177539E-4</v>
      </c>
      <c r="AR30" s="28">
        <v>5</v>
      </c>
      <c r="AS30" s="79">
        <f>((($W$25)^Q30)*((1-($W$25))^($U$35-Q30))*HLOOKUP($U$35,$AV$24:$BF$34,Q30+1))*V35</f>
        <v>3.3662666983091266E-5</v>
      </c>
      <c r="AV30" s="29">
        <v>6</v>
      </c>
      <c r="BB30">
        <v>1</v>
      </c>
      <c r="BC30">
        <v>7</v>
      </c>
      <c r="BD30">
        <f>28</f>
        <v>28</v>
      </c>
      <c r="BE30">
        <f>56+28</f>
        <v>84</v>
      </c>
      <c r="BF30">
        <f t="shared" si="14"/>
        <v>210</v>
      </c>
      <c r="BH30">
        <f t="shared" si="8"/>
        <v>2</v>
      </c>
      <c r="BI30">
        <v>10</v>
      </c>
      <c r="BJ30" s="107">
        <f t="shared" si="9"/>
        <v>2.3473693160416899E-6</v>
      </c>
      <c r="BP30">
        <f>BL10+1</f>
        <v>7</v>
      </c>
      <c r="BQ30">
        <v>6</v>
      </c>
      <c r="BR30" s="107">
        <f t="shared" si="10"/>
        <v>2.8111170703284213E-5</v>
      </c>
    </row>
    <row r="31" spans="1:70" x14ac:dyDescent="0.25">
      <c r="A31" s="189" t="s">
        <v>68</v>
      </c>
      <c r="B31" s="60">
        <f>(B25*D25)+(B26*D26)+(B27*D27)+(B28*D28)+(B29*D29)+(B30*D30)/(B25+B26+B27+B28+B29+B30)</f>
        <v>0.41735886132672617</v>
      </c>
      <c r="C31" s="61">
        <f>(C25*E25)+(C26*E26)+(C27*E27)+(C28*E28)+(C29*E29)+(C30*E30)/(C25+C26+C27+C28+C29+C30)</f>
        <v>0.30691285403141</v>
      </c>
      <c r="G31" s="87">
        <v>6</v>
      </c>
      <c r="H31" s="128">
        <f>J31*L25+J30*L26+J29*L27+J28*L28</f>
        <v>7.5112598745292122E-3</v>
      </c>
      <c r="I31" s="93">
        <v>6</v>
      </c>
      <c r="J31" s="86">
        <f t="shared" si="11"/>
        <v>2.4483913170706413E-3</v>
      </c>
      <c r="K31" s="93">
        <v>6</v>
      </c>
      <c r="L31" s="86"/>
      <c r="M31" s="85"/>
      <c r="N31" s="73"/>
      <c r="O31" s="37"/>
      <c r="P31" s="37"/>
      <c r="Q31" s="28">
        <v>6</v>
      </c>
      <c r="R31" s="37">
        <f>P26*N30+P27*N29+P28*N28+P29*N27+P30*N26</f>
        <v>0.1166624139324637</v>
      </c>
      <c r="S31" s="70">
        <v>6</v>
      </c>
      <c r="T31" s="135">
        <f t="shared" si="13"/>
        <v>0</v>
      </c>
      <c r="U31" s="93">
        <v>6</v>
      </c>
      <c r="V31" s="86">
        <f>T31*R25+T30*R26+T29*R27+T28*R28+T27*R29+T26*R30+T25*R31</f>
        <v>0.11842681369530547</v>
      </c>
      <c r="W31" s="137"/>
      <c r="X31" s="28">
        <v>6</v>
      </c>
      <c r="Y31" s="73"/>
      <c r="Z31" s="28">
        <v>6</v>
      </c>
      <c r="AA31" s="79"/>
      <c r="AB31" s="28">
        <v>6</v>
      </c>
      <c r="AC31" s="79"/>
      <c r="AD31" s="28">
        <v>6</v>
      </c>
      <c r="AE31" s="79"/>
      <c r="AF31" s="28">
        <v>6</v>
      </c>
      <c r="AG31" s="79"/>
      <c r="AH31" s="28">
        <v>6</v>
      </c>
      <c r="AI31" s="79"/>
      <c r="AJ31" s="28">
        <v>6</v>
      </c>
      <c r="AK31" s="79">
        <f>((($W$25)^Q31)*((1-($W$25))^($U$31-Q31))*HLOOKUP($U$31,$AV$24:$BF$34,Q31+1))*V31</f>
        <v>6.2590421707579206E-4</v>
      </c>
      <c r="AL31" s="28">
        <v>6</v>
      </c>
      <c r="AM31" s="79">
        <f>((($W$25)^Q31)*((1-($W$25))^($U$32-Q31))*HLOOKUP($U$32,$AV$24:$BF$34,Q31+1))*V32</f>
        <v>1.0110696219375027E-3</v>
      </c>
      <c r="AN31" s="28">
        <v>6</v>
      </c>
      <c r="AO31" s="79">
        <f>((($W$25)^Q31)*((1-($W$25))^($U$33-Q31))*HLOOKUP($U$33,$AV$24:$BF$34,Q31+1))*V33</f>
        <v>6.1878436689875372E-4</v>
      </c>
      <c r="AP31" s="28">
        <v>6</v>
      </c>
      <c r="AQ31" s="79">
        <f>((($W$25)^Q31)*((1-($W$25))^($U$34-Q31))*HLOOKUP($U$34,$AV$24:$BF$34,Q31+1))*V34</f>
        <v>1.7253867762603636E-4</v>
      </c>
      <c r="AR31" s="28">
        <v>6</v>
      </c>
      <c r="AS31" s="79">
        <f>((($W$25)^Q31)*((1-($W$25))^($U$35-Q31))*HLOOKUP($U$35,$AV$24:$BF$34,Q31+1))*V35</f>
        <v>2.0094433532556484E-5</v>
      </c>
      <c r="AV31" s="14">
        <v>7</v>
      </c>
      <c r="BC31">
        <v>1</v>
      </c>
      <c r="BD31">
        <v>8</v>
      </c>
      <c r="BE31">
        <f>28+8</f>
        <v>36</v>
      </c>
      <c r="BF31">
        <f t="shared" si="14"/>
        <v>120</v>
      </c>
      <c r="BH31">
        <f t="shared" ref="BH31:BH37" si="15">BH24+1</f>
        <v>3</v>
      </c>
      <c r="BI31">
        <v>4</v>
      </c>
      <c r="BJ31" s="107">
        <f t="shared" ref="BJ31:BJ37" si="16">$H$28*H43</f>
        <v>3.0429211148012201E-2</v>
      </c>
      <c r="BP31">
        <f t="shared" ref="BP31:BP37" si="17">BP24+1</f>
        <v>8</v>
      </c>
      <c r="BQ31">
        <v>0</v>
      </c>
      <c r="BR31" s="107">
        <f t="shared" ref="BR31:BR38" si="18">$H$33*H39</f>
        <v>9.2229683231237863E-6</v>
      </c>
    </row>
    <row r="32" spans="1:70" x14ac:dyDescent="0.25">
      <c r="A32" s="26" t="s">
        <v>137</v>
      </c>
      <c r="B32" s="75">
        <f>IF(B17&lt;&gt;"TL",0.001,IF(B18&lt;5,0.1,IF(B18&lt;10,0.2,IF(B18&lt;14,0.3,0.35))))</f>
        <v>1E-3</v>
      </c>
      <c r="C32" s="58">
        <f>IF(C17&lt;&gt;"TL",0.001,IF(C18&lt;5,0.1,IF(C18&lt;10,0.2,IF(C18&lt;14,0.3,0.35))))</f>
        <v>1E-3</v>
      </c>
      <c r="G32" s="87">
        <v>7</v>
      </c>
      <c r="H32" s="128">
        <f>J32*L25+J31*L26+J30*L27+J29*L28</f>
        <v>1.4205312798382845E-3</v>
      </c>
      <c r="I32" s="93">
        <v>7</v>
      </c>
      <c r="J32" s="86">
        <f t="shared" si="11"/>
        <v>2.9130088157562243E-4</v>
      </c>
      <c r="K32" s="93">
        <v>7</v>
      </c>
      <c r="L32" s="86"/>
      <c r="M32" s="85"/>
      <c r="N32" s="73"/>
      <c r="O32" s="37"/>
      <c r="P32" s="37"/>
      <c r="Q32" s="28">
        <v>7</v>
      </c>
      <c r="R32" s="37">
        <f>P27*N30+P28*N29+P29*N28+P30*N27</f>
        <v>4.5479293169415312E-2</v>
      </c>
      <c r="S32" s="72">
        <v>7</v>
      </c>
      <c r="T32" s="135">
        <f t="shared" si="13"/>
        <v>0</v>
      </c>
      <c r="U32" s="93">
        <v>7</v>
      </c>
      <c r="V32" s="86">
        <f>T32*R25+T31*R26+T30*R27+T29*R28+T28*R29+T27*R30+T26*R31+T25*R32</f>
        <v>4.6905529536489687E-2</v>
      </c>
      <c r="W32" s="137"/>
      <c r="X32" s="28">
        <v>7</v>
      </c>
      <c r="Y32" s="73"/>
      <c r="Z32" s="28">
        <v>7</v>
      </c>
      <c r="AA32" s="79"/>
      <c r="AB32" s="28">
        <v>7</v>
      </c>
      <c r="AC32" s="79"/>
      <c r="AD32" s="28">
        <v>7</v>
      </c>
      <c r="AE32" s="79"/>
      <c r="AF32" s="28">
        <v>7</v>
      </c>
      <c r="AG32" s="79"/>
      <c r="AH32" s="28">
        <v>7</v>
      </c>
      <c r="AI32" s="79"/>
      <c r="AJ32" s="28">
        <v>7</v>
      </c>
      <c r="AK32" s="79"/>
      <c r="AL32" s="28">
        <v>7</v>
      </c>
      <c r="AM32" s="79">
        <f>((($W$25)^Q32)*((1-($W$25))^($U$32-Q32))*HLOOKUP($U$32,$AV$24:$BF$34,Q32+1))*V32</f>
        <v>1.0346453616243423E-4</v>
      </c>
      <c r="AN32" s="28">
        <v>7</v>
      </c>
      <c r="AO32" s="79">
        <f>((($W$25)^Q32)*((1-($W$25))^($U$33-Q32))*HLOOKUP($U$33,$AV$24:$BF$34,Q32+1))*V33</f>
        <v>1.2664258942536499E-4</v>
      </c>
      <c r="AP32" s="28">
        <v>7</v>
      </c>
      <c r="AQ32" s="79">
        <f>((($W$25)^Q32)*((1-($W$25))^($U$34-Q32))*HLOOKUP($U$34,$AV$24:$BF$34,Q32+1))*V34</f>
        <v>5.2968560809240956E-5</v>
      </c>
      <c r="AR32" s="28">
        <v>7</v>
      </c>
      <c r="AS32" s="79">
        <f>((($W$25)^Q32)*((1-($W$25))^($U$35-Q32))*HLOOKUP($U$35,$AV$24:$BF$34,Q32+1))*V35</f>
        <v>8.2251951785822112E-6</v>
      </c>
      <c r="AV32" s="14">
        <v>8</v>
      </c>
      <c r="BD32">
        <v>1</v>
      </c>
      <c r="BE32">
        <v>9</v>
      </c>
      <c r="BF32">
        <f t="shared" si="14"/>
        <v>45</v>
      </c>
      <c r="BH32">
        <f t="shared" si="15"/>
        <v>3</v>
      </c>
      <c r="BI32">
        <v>5</v>
      </c>
      <c r="BJ32" s="107">
        <f t="shared" si="16"/>
        <v>1.2794420718133531E-2</v>
      </c>
      <c r="BP32">
        <f t="shared" si="17"/>
        <v>8</v>
      </c>
      <c r="BQ32">
        <v>1</v>
      </c>
      <c r="BR32" s="107">
        <f t="shared" si="18"/>
        <v>3.5744749159888159E-5</v>
      </c>
    </row>
    <row r="33" spans="1:70" x14ac:dyDescent="0.25">
      <c r="A33" s="26" t="s">
        <v>84</v>
      </c>
      <c r="B33" s="75">
        <f>IF(B17&lt;&gt;"CA",0.005,IF((B18-B16)&lt;0,0.1,0.1+0.055*(B18-B16)))</f>
        <v>5.0000000000000001E-3</v>
      </c>
      <c r="C33" s="58">
        <f>IF(C17&lt;&gt;"CA",0.005,IF((C18-C16)&lt;0,0.1,0.1+0.055*(C18-C16)))</f>
        <v>5.0000000000000001E-3</v>
      </c>
      <c r="G33" s="87">
        <v>8</v>
      </c>
      <c r="H33" s="128">
        <f>J33*L25+J32*L26+J31*L27+J30*L28</f>
        <v>2.049544165122692E-4</v>
      </c>
      <c r="I33" s="93">
        <v>8</v>
      </c>
      <c r="J33" s="86">
        <f t="shared" si="11"/>
        <v>2.303471436449168E-5</v>
      </c>
      <c r="K33" s="93">
        <v>8</v>
      </c>
      <c r="L33" s="86"/>
      <c r="M33" s="85"/>
      <c r="N33" s="73"/>
      <c r="O33" s="37"/>
      <c r="P33" s="37"/>
      <c r="Q33" s="28">
        <v>8</v>
      </c>
      <c r="R33" s="37">
        <f>P28*N30+P29*N29+P30*N28</f>
        <v>1.1634983471445877E-2</v>
      </c>
      <c r="S33" s="72">
        <v>8</v>
      </c>
      <c r="T33" s="135">
        <f t="shared" si="13"/>
        <v>0</v>
      </c>
      <c r="U33" s="93">
        <v>8</v>
      </c>
      <c r="V33" s="86">
        <f>T33*R25+T32*R26+T31*R27+T30*R28+T29*R29+T28*R30+T27*R31+T26*R32+T25*R33</f>
        <v>1.2317460472916937E-2</v>
      </c>
      <c r="W33" s="137"/>
      <c r="X33" s="28">
        <v>8</v>
      </c>
      <c r="Y33" s="73"/>
      <c r="Z33" s="28">
        <v>8</v>
      </c>
      <c r="AA33" s="79"/>
      <c r="AB33" s="28">
        <v>8</v>
      </c>
      <c r="AC33" s="79"/>
      <c r="AD33" s="28">
        <v>8</v>
      </c>
      <c r="AE33" s="79"/>
      <c r="AF33" s="28">
        <v>8</v>
      </c>
      <c r="AG33" s="79"/>
      <c r="AH33" s="28">
        <v>8</v>
      </c>
      <c r="AI33" s="79"/>
      <c r="AJ33" s="28">
        <v>8</v>
      </c>
      <c r="AK33" s="79"/>
      <c r="AL33" s="28">
        <v>8</v>
      </c>
      <c r="AM33" s="79"/>
      <c r="AN33" s="28">
        <v>8</v>
      </c>
      <c r="AO33" s="79">
        <f>((($W$25)^Q33)*((1-($W$25))^($U$33-Q33))*HLOOKUP($U$33,$AV$24:$BF$34,Q33+1))*V33</f>
        <v>1.1339614431962985E-5</v>
      </c>
      <c r="AP33" s="28">
        <v>8</v>
      </c>
      <c r="AQ33" s="79">
        <f>((($W$25)^Q33)*((1-($W$25))^($U$34-Q33))*HLOOKUP($U$34,$AV$24:$BF$34,Q33+1))*V34</f>
        <v>9.4856407993261735E-6</v>
      </c>
      <c r="AR33" s="28">
        <v>8</v>
      </c>
      <c r="AS33" s="79">
        <f>((($W$25)^Q33)*((1-($W$25))^($U$35-Q33))*HLOOKUP($U$35,$AV$24:$BF$34,Q33+1))*V35</f>
        <v>2.209459133202521E-6</v>
      </c>
      <c r="AV33" s="29">
        <v>9</v>
      </c>
      <c r="BE33">
        <v>1</v>
      </c>
      <c r="BF33">
        <f t="shared" si="14"/>
        <v>10</v>
      </c>
      <c r="BH33">
        <f t="shared" si="15"/>
        <v>3</v>
      </c>
      <c r="BI33">
        <v>6</v>
      </c>
      <c r="BJ33" s="107">
        <f t="shared" si="16"/>
        <v>3.8998649981290471E-3</v>
      </c>
      <c r="BP33">
        <f t="shared" si="17"/>
        <v>8</v>
      </c>
      <c r="BQ33">
        <v>2</v>
      </c>
      <c r="BR33" s="107">
        <f t="shared" si="18"/>
        <v>5.7262670986819365E-5</v>
      </c>
    </row>
    <row r="34" spans="1:70" x14ac:dyDescent="0.25">
      <c r="A34" s="40" t="s">
        <v>86</v>
      </c>
      <c r="B34" s="56">
        <f>B23*2</f>
        <v>4.0554540498382528</v>
      </c>
      <c r="C34" s="57">
        <f>C23*2</f>
        <v>5.9445459501617472</v>
      </c>
      <c r="G34" s="87">
        <v>9</v>
      </c>
      <c r="H34" s="128">
        <f>J34*L25+J33*L26+J32*L27+J31*L28</f>
        <v>2.238453200215951E-5</v>
      </c>
      <c r="I34" s="93">
        <v>9</v>
      </c>
      <c r="J34" s="86">
        <f t="shared" si="11"/>
        <v>1.1066829140867383E-6</v>
      </c>
      <c r="K34" s="93">
        <v>9</v>
      </c>
      <c r="L34" s="86"/>
      <c r="M34" s="85"/>
      <c r="N34" s="73"/>
      <c r="O34" s="37"/>
      <c r="P34" s="37"/>
      <c r="Q34" s="28">
        <v>9</v>
      </c>
      <c r="R34" s="37">
        <f>P29*N30+P30*N29</f>
        <v>1.7639003787737169E-3</v>
      </c>
      <c r="S34" s="72">
        <v>9</v>
      </c>
      <c r="T34" s="135">
        <f t="shared" si="13"/>
        <v>0</v>
      </c>
      <c r="U34" s="93">
        <v>9</v>
      </c>
      <c r="V34" s="86">
        <f>T34*R25+T33*R26+T32*R27+T31*R28+T30*R29+T29*R30+T28*R31+T27*R32+T26*R33+T25*R34</f>
        <v>1.9649246865706279E-3</v>
      </c>
      <c r="W34" s="137"/>
      <c r="X34" s="28">
        <v>9</v>
      </c>
      <c r="Y34" s="73"/>
      <c r="Z34" s="28">
        <v>9</v>
      </c>
      <c r="AA34" s="79"/>
      <c r="AB34" s="28">
        <v>9</v>
      </c>
      <c r="AC34" s="79"/>
      <c r="AD34" s="28">
        <v>9</v>
      </c>
      <c r="AE34" s="79"/>
      <c r="AF34" s="28">
        <v>9</v>
      </c>
      <c r="AG34" s="79"/>
      <c r="AH34" s="28">
        <v>9</v>
      </c>
      <c r="AI34" s="79"/>
      <c r="AJ34" s="28">
        <v>9</v>
      </c>
      <c r="AK34" s="79"/>
      <c r="AL34" s="28">
        <v>9</v>
      </c>
      <c r="AM34" s="79"/>
      <c r="AN34" s="28">
        <v>9</v>
      </c>
      <c r="AO34" s="79"/>
      <c r="AP34" s="28">
        <v>9</v>
      </c>
      <c r="AQ34" s="79">
        <f>((($W$25)^Q34)*((1-($W$25))^($U$34-Q34))*HLOOKUP($U$34,$AV$24:$BF$34,Q34+1))*V34</f>
        <v>7.5497515254909656E-7</v>
      </c>
      <c r="AR34" s="28">
        <v>9</v>
      </c>
      <c r="AS34" s="79">
        <f>((($W$25)^Q34)*((1-($W$25))^($U$35-Q34))*HLOOKUP($U$35,$AV$24:$BF$34,Q34+1))*V35</f>
        <v>3.5170776153764177E-7</v>
      </c>
      <c r="AV34" s="14">
        <v>10</v>
      </c>
      <c r="BF34">
        <f t="shared" si="14"/>
        <v>1</v>
      </c>
      <c r="BH34">
        <f t="shared" si="15"/>
        <v>3</v>
      </c>
      <c r="BI34">
        <v>7</v>
      </c>
      <c r="BJ34" s="107">
        <f t="shared" si="16"/>
        <v>8.7730135207368112E-4</v>
      </c>
      <c r="BP34">
        <f t="shared" si="17"/>
        <v>8</v>
      </c>
      <c r="BQ34">
        <v>3</v>
      </c>
      <c r="BR34" s="107">
        <f t="shared" si="18"/>
        <v>5.2630367133873225E-5</v>
      </c>
    </row>
    <row r="35" spans="1:70" ht="15.75" thickBot="1" x14ac:dyDescent="0.3">
      <c r="G35" s="88">
        <v>10</v>
      </c>
      <c r="H35" s="129">
        <f>J35*L25+J34*L26+J33*L27+J32*L28</f>
        <v>1.8077313396289465E-6</v>
      </c>
      <c r="I35" s="94">
        <v>10</v>
      </c>
      <c r="J35" s="89">
        <f t="shared" si="11"/>
        <v>2.5193612522688007E-8</v>
      </c>
      <c r="K35" s="94">
        <v>10</v>
      </c>
      <c r="L35" s="89"/>
      <c r="M35" s="85"/>
      <c r="N35" s="73"/>
      <c r="O35" s="37"/>
      <c r="P35" s="37"/>
      <c r="Q35" s="28">
        <v>10</v>
      </c>
      <c r="R35" s="37">
        <f>P30*N30</f>
        <v>1.2033580015332303E-4</v>
      </c>
      <c r="S35" s="72">
        <v>10</v>
      </c>
      <c r="T35" s="135">
        <f t="shared" si="13"/>
        <v>0</v>
      </c>
      <c r="U35" s="94">
        <v>10</v>
      </c>
      <c r="V35" s="89">
        <f>IF(((T35*R25+T34*R26+T33*R27+T32*R28+T31*R29+T30*R30+T29*R31+T28*R32+T27*R33+T26*R34+T25*R35)+V23)&lt;&gt;1,1-V23,(T35*R25+T34*R26+T33*R27+T32*R28+T31*R29+T30*R30+T29*R31+T28*R32+T27*R33+T26*R34+T25*R35))</f>
        <v>1.5710646515931792E-4</v>
      </c>
      <c r="W35" s="137"/>
      <c r="X35" s="28">
        <v>10</v>
      </c>
      <c r="Y35" s="73"/>
      <c r="Z35" s="28">
        <v>10</v>
      </c>
      <c r="AA35" s="79"/>
      <c r="AB35" s="28">
        <v>10</v>
      </c>
      <c r="AC35" s="79"/>
      <c r="AD35" s="28">
        <v>10</v>
      </c>
      <c r="AE35" s="79"/>
      <c r="AF35" s="28">
        <v>10</v>
      </c>
      <c r="AG35" s="79"/>
      <c r="AH35" s="28">
        <v>10</v>
      </c>
      <c r="AI35" s="79"/>
      <c r="AJ35" s="28">
        <v>10</v>
      </c>
      <c r="AK35" s="79"/>
      <c r="AL35" s="28">
        <v>10</v>
      </c>
      <c r="AM35" s="79"/>
      <c r="AN35" s="28">
        <v>10</v>
      </c>
      <c r="AO35" s="79"/>
      <c r="AP35" s="28">
        <v>10</v>
      </c>
      <c r="AQ35" s="79"/>
      <c r="AR35" s="28">
        <v>10</v>
      </c>
      <c r="AS35" s="79">
        <f>((($W$25)^Q35)*((1-($W$25))^($U$35-Q35))*HLOOKUP($U$35,$AV$24:$BF$34,Q35+1))*V35</f>
        <v>2.5193612522688007E-8</v>
      </c>
      <c r="BH35">
        <f t="shared" si="15"/>
        <v>3</v>
      </c>
      <c r="BI35">
        <v>8</v>
      </c>
      <c r="BJ35" s="107">
        <f t="shared" si="16"/>
        <v>1.4629742044731063E-4</v>
      </c>
      <c r="BP35">
        <f t="shared" si="17"/>
        <v>8</v>
      </c>
      <c r="BQ35">
        <v>4</v>
      </c>
      <c r="BR35" s="107">
        <f t="shared" si="18"/>
        <v>3.1646561751853233E-5</v>
      </c>
    </row>
    <row r="36" spans="1:70" x14ac:dyDescent="0.25">
      <c r="A36" s="1"/>
      <c r="B36" s="108">
        <f>SUM(B37:B39)</f>
        <v>0.99999758745752609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59">
        <f>SUM(V39:V49)</f>
        <v>1</v>
      </c>
      <c r="W36" s="13"/>
      <c r="X36" s="13"/>
      <c r="AS36" s="82">
        <f>Y37+AA37+AC37+AE37+AG37+AI37+AK37+AM37+AO37+AQ37+AS37</f>
        <v>1</v>
      </c>
      <c r="BH36">
        <f t="shared" si="15"/>
        <v>3</v>
      </c>
      <c r="BI36">
        <v>9</v>
      </c>
      <c r="BJ36" s="107">
        <f t="shared" si="16"/>
        <v>1.7933468332556373E-5</v>
      </c>
      <c r="BP36">
        <f t="shared" si="17"/>
        <v>8</v>
      </c>
      <c r="BQ36">
        <v>5</v>
      </c>
      <c r="BR36" s="107">
        <f t="shared" si="18"/>
        <v>1.3306274137903617E-5</v>
      </c>
    </row>
    <row r="37" spans="1:70" ht="15.75" thickBot="1" x14ac:dyDescent="0.3">
      <c r="A37" s="109" t="s">
        <v>104</v>
      </c>
      <c r="B37" s="107">
        <f>SUM(BN4:BN14)</f>
        <v>0.20033014429024534</v>
      </c>
      <c r="G37" s="13"/>
      <c r="H37" s="59">
        <f>SUM(H39:H49)</f>
        <v>0.99999950175415409</v>
      </c>
      <c r="I37" s="13"/>
      <c r="J37" s="59">
        <f>SUM(J39:J49)</f>
        <v>1</v>
      </c>
      <c r="K37" s="59"/>
      <c r="L37" s="59">
        <f>SUM(L39:L49)</f>
        <v>1</v>
      </c>
      <c r="M37" s="13"/>
      <c r="N37" s="74">
        <f>SUM(N39:N49)</f>
        <v>0.99999999999999989</v>
      </c>
      <c r="O37" s="13"/>
      <c r="P37" s="74">
        <f>SUM(P39:P49)</f>
        <v>0.99999999999999989</v>
      </c>
      <c r="Q37" s="13"/>
      <c r="R37" s="59">
        <f>SUM(R39:R49)</f>
        <v>1.0000000000000002</v>
      </c>
      <c r="S37" s="13"/>
      <c r="T37" s="59">
        <f>SUM(T39:T49)</f>
        <v>1</v>
      </c>
      <c r="U37" s="13"/>
      <c r="V37" s="59">
        <f>SUM(V39:V48)</f>
        <v>0.99411167629916974</v>
      </c>
      <c r="W37" s="13"/>
      <c r="X37" s="13"/>
      <c r="Y37" s="80">
        <f>SUM(Y39:Y49)</f>
        <v>1.1913545054679363E-4</v>
      </c>
      <c r="Z37" s="81"/>
      <c r="AA37" s="80">
        <f>SUM(AA39:AA49)</f>
        <v>1.7475028137069746E-3</v>
      </c>
      <c r="AB37" s="81"/>
      <c r="AC37" s="80">
        <f>SUM(AC39:AC49)</f>
        <v>1.1536478328482007E-2</v>
      </c>
      <c r="AD37" s="81"/>
      <c r="AE37" s="80">
        <f>SUM(AE39:AE49)</f>
        <v>4.5141449403100747E-2</v>
      </c>
      <c r="AF37" s="81"/>
      <c r="AG37" s="80">
        <f>SUM(AG39:AG49)</f>
        <v>0.11595151619510984</v>
      </c>
      <c r="AH37" s="81"/>
      <c r="AI37" s="80">
        <f>SUM(AI39:AI49)</f>
        <v>0.20432163105712017</v>
      </c>
      <c r="AJ37" s="81"/>
      <c r="AK37" s="80">
        <f>SUM(AK39:AK49)</f>
        <v>0.25020686328352065</v>
      </c>
      <c r="AL37" s="81"/>
      <c r="AM37" s="80">
        <f>SUM(AM39:AM49)</f>
        <v>0.21036197815928184</v>
      </c>
      <c r="AN37" s="81"/>
      <c r="AO37" s="80">
        <f>SUM(AO39:AO49)</f>
        <v>0.11635348018679</v>
      </c>
      <c r="AP37" s="81"/>
      <c r="AQ37" s="80">
        <f>SUM(AQ39:AQ49)</f>
        <v>3.8371641421510692E-2</v>
      </c>
      <c r="AR37" s="81"/>
      <c r="AS37" s="80">
        <f>SUM(AS39:AS49)</f>
        <v>5.8883237008302541E-3</v>
      </c>
      <c r="BH37">
        <f t="shared" si="15"/>
        <v>3</v>
      </c>
      <c r="BI37">
        <v>10</v>
      </c>
      <c r="BJ37" s="107">
        <f t="shared" si="16"/>
        <v>1.5770985843883822E-6</v>
      </c>
      <c r="BP37">
        <f t="shared" si="17"/>
        <v>8</v>
      </c>
      <c r="BQ37">
        <v>6</v>
      </c>
      <c r="BR37" s="107">
        <f t="shared" si="18"/>
        <v>4.0558829437563048E-6</v>
      </c>
    </row>
    <row r="38" spans="1:70" ht="15.75" thickBot="1" x14ac:dyDescent="0.3">
      <c r="A38" s="110" t="s">
        <v>105</v>
      </c>
      <c r="B38" s="107">
        <f>SUM(BJ4:BJ59)</f>
        <v>0.52044915089817578</v>
      </c>
      <c r="G38" s="103" t="str">
        <f t="shared" ref="G38:T38" si="19">G24</f>
        <v>G</v>
      </c>
      <c r="H38" s="104" t="str">
        <f t="shared" si="19"/>
        <v>p</v>
      </c>
      <c r="I38" s="103" t="str">
        <f t="shared" si="19"/>
        <v>GT</v>
      </c>
      <c r="J38" s="105" t="str">
        <f t="shared" si="19"/>
        <v>p(x)</v>
      </c>
      <c r="K38" s="106" t="str">
        <f t="shared" si="19"/>
        <v>EE(x)</v>
      </c>
      <c r="L38" s="105" t="str">
        <f t="shared" si="19"/>
        <v>p</v>
      </c>
      <c r="M38" s="90" t="str">
        <f t="shared" si="19"/>
        <v>OcaS</v>
      </c>
      <c r="N38" s="30" t="str">
        <f t="shared" si="19"/>
        <v>P</v>
      </c>
      <c r="O38" s="30" t="str">
        <f t="shared" si="19"/>
        <v>O_CA</v>
      </c>
      <c r="P38" s="30" t="str">
        <f t="shared" si="19"/>
        <v>p</v>
      </c>
      <c r="Q38" s="30" t="str">
        <f t="shared" si="19"/>
        <v>TotalN</v>
      </c>
      <c r="R38" s="30" t="str">
        <f t="shared" si="19"/>
        <v>p</v>
      </c>
      <c r="S38" s="30" t="str">
        <f t="shared" si="19"/>
        <v>OcaCA</v>
      </c>
      <c r="T38" s="141" t="str">
        <f t="shared" si="19"/>
        <v>p</v>
      </c>
      <c r="U38" s="142" t="str">
        <f>U24</f>
        <v>Total</v>
      </c>
      <c r="V38" s="143" t="str">
        <f>V24</f>
        <v>P</v>
      </c>
      <c r="W38" s="90" t="str">
        <f>W24</f>
        <v>E(x)</v>
      </c>
      <c r="X38" s="30" t="str">
        <f t="shared" ref="X38" si="20">X24</f>
        <v>G0</v>
      </c>
      <c r="Y38" s="30" t="str">
        <f>Y24</f>
        <v>p</v>
      </c>
      <c r="Z38" s="30" t="str">
        <f t="shared" ref="Z38" si="21">Z24</f>
        <v>G1</v>
      </c>
      <c r="AA38" s="30" t="str">
        <f>AA24</f>
        <v>p</v>
      </c>
      <c r="AB38" s="30" t="str">
        <f t="shared" ref="AB38" si="22">AB24</f>
        <v>G2</v>
      </c>
      <c r="AC38" s="30" t="str">
        <f>AC24</f>
        <v>p</v>
      </c>
      <c r="AD38" s="30" t="str">
        <f t="shared" ref="AD38" si="23">AD24</f>
        <v>G3</v>
      </c>
      <c r="AE38" s="30" t="str">
        <f>AE24</f>
        <v>p</v>
      </c>
      <c r="AF38" s="30" t="str">
        <f t="shared" ref="AF38" si="24">AF24</f>
        <v>G4</v>
      </c>
      <c r="AG38" s="30" t="str">
        <f>AG24</f>
        <v>p</v>
      </c>
      <c r="AH38" s="30" t="str">
        <f t="shared" ref="AH38" si="25">AH24</f>
        <v>G5</v>
      </c>
      <c r="AI38" s="30" t="str">
        <f>AI24</f>
        <v>p</v>
      </c>
      <c r="AJ38" s="30" t="str">
        <f t="shared" ref="AJ38" si="26">AJ24</f>
        <v>G6</v>
      </c>
      <c r="AK38" s="30" t="str">
        <f>AK24</f>
        <v>p</v>
      </c>
      <c r="AL38" s="30" t="str">
        <f t="shared" ref="AL38" si="27">AL24</f>
        <v>G7</v>
      </c>
      <c r="AM38" s="30" t="str">
        <f>AM24</f>
        <v>p</v>
      </c>
      <c r="AN38" s="30" t="str">
        <f t="shared" ref="AN38" si="28">AN24</f>
        <v>G8</v>
      </c>
      <c r="AO38" s="30" t="str">
        <f>AO24</f>
        <v>p</v>
      </c>
      <c r="AP38" s="30" t="str">
        <f t="shared" ref="AP38" si="29">AP24</f>
        <v>G9</v>
      </c>
      <c r="AQ38" s="30" t="str">
        <f>AQ24</f>
        <v>p</v>
      </c>
      <c r="AR38" s="30" t="str">
        <f t="shared" ref="AR38" si="30">AR24</f>
        <v>G10</v>
      </c>
      <c r="AS38" s="30" t="str">
        <f>AS24</f>
        <v>p</v>
      </c>
      <c r="AV38" s="14">
        <v>0</v>
      </c>
      <c r="AW38" s="14">
        <v>1</v>
      </c>
      <c r="AX38" s="14">
        <v>2</v>
      </c>
      <c r="AY38" s="14">
        <v>3</v>
      </c>
      <c r="AZ38" s="14">
        <v>4</v>
      </c>
      <c r="BA38" s="14">
        <v>5</v>
      </c>
      <c r="BB38" s="14">
        <v>6</v>
      </c>
      <c r="BC38" s="14">
        <v>7</v>
      </c>
      <c r="BD38" s="14">
        <v>8</v>
      </c>
      <c r="BE38" s="14">
        <v>9</v>
      </c>
      <c r="BF38" s="14">
        <v>10</v>
      </c>
      <c r="BH38">
        <f t="shared" ref="BH38:BH43" si="31">BH32+1</f>
        <v>4</v>
      </c>
      <c r="BI38">
        <v>5</v>
      </c>
      <c r="BJ38" s="107">
        <f t="shared" ref="BJ38:BJ43" si="32">$H$29*H44</f>
        <v>5.8820765110737128E-3</v>
      </c>
      <c r="BP38">
        <f>BL11+1</f>
        <v>8</v>
      </c>
      <c r="BQ38">
        <v>7</v>
      </c>
      <c r="BR38" s="107">
        <f t="shared" si="18"/>
        <v>9.1239865793227277E-7</v>
      </c>
    </row>
    <row r="39" spans="1:70" x14ac:dyDescent="0.25">
      <c r="A39" s="111" t="s">
        <v>0</v>
      </c>
      <c r="B39" s="107">
        <f>SUM(BR4:BR47)</f>
        <v>0.279218292269105</v>
      </c>
      <c r="G39" s="130">
        <v>0</v>
      </c>
      <c r="H39" s="131">
        <f>L39*J39</f>
        <v>4.500009553378749E-2</v>
      </c>
      <c r="I39" s="97">
        <v>0</v>
      </c>
      <c r="J39" s="98">
        <f t="shared" ref="J39:J49" si="33">Y39+AA39+AC39+AE39+AG39+AI39+AK39+AM39+AO39+AQ39+AS39</f>
        <v>0.13299437653512169</v>
      </c>
      <c r="K39" s="102">
        <v>0</v>
      </c>
      <c r="L39" s="98">
        <f>AC21</f>
        <v>0.33836088943131881</v>
      </c>
      <c r="M39" s="84">
        <v>0</v>
      </c>
      <c r="N39" s="71">
        <f>(1-$C$24)^$B$21</f>
        <v>1.096976755238337E-2</v>
      </c>
      <c r="O39" s="70">
        <v>0</v>
      </c>
      <c r="P39" s="71">
        <f>N39</f>
        <v>1.096976755238337E-2</v>
      </c>
      <c r="Q39" s="12">
        <v>0</v>
      </c>
      <c r="R39" s="73">
        <f>P39*N39</f>
        <v>1.2033580015332303E-4</v>
      </c>
      <c r="S39" s="70">
        <v>0</v>
      </c>
      <c r="T39" s="135">
        <f>(1-$C$33)^(INT(B23*2*(1-B31)))</f>
        <v>0.99002500000000004</v>
      </c>
      <c r="U39" s="140">
        <v>0</v>
      </c>
      <c r="V39" s="86">
        <f>R39*T39</f>
        <v>1.1913545054679363E-4</v>
      </c>
      <c r="W39" s="136">
        <f>C31</f>
        <v>0.30691285403141</v>
      </c>
      <c r="X39" s="12">
        <v>0</v>
      </c>
      <c r="Y39" s="79">
        <f>V39</f>
        <v>1.1913545054679363E-4</v>
      </c>
      <c r="Z39" s="12">
        <v>0</v>
      </c>
      <c r="AA39" s="78">
        <f>((1-W39)^Z40)*V40</f>
        <v>1.2111717377242476E-3</v>
      </c>
      <c r="AB39" s="12">
        <v>0</v>
      </c>
      <c r="AC39" s="79">
        <f>(((1-$W$39)^AB41))*V41</f>
        <v>5.5417756939911966E-3</v>
      </c>
      <c r="AD39" s="12">
        <v>0</v>
      </c>
      <c r="AE39" s="79">
        <f>(((1-$W$39)^AB42))*V42</f>
        <v>1.5029309663188816E-2</v>
      </c>
      <c r="AF39" s="12">
        <v>0</v>
      </c>
      <c r="AG39" s="79">
        <f>(((1-$W$39)^AB43))*V43</f>
        <v>2.6756408002254504E-2</v>
      </c>
      <c r="AH39" s="12">
        <v>0</v>
      </c>
      <c r="AI39" s="79">
        <f>(((1-$W$39)^AB44))*V44</f>
        <v>3.267785709288832E-2</v>
      </c>
      <c r="AJ39" s="12">
        <v>0</v>
      </c>
      <c r="AK39" s="79">
        <f>(((1-$W$39)^AB45))*V45</f>
        <v>2.7734879622016838E-2</v>
      </c>
      <c r="AL39" s="12">
        <v>0</v>
      </c>
      <c r="AM39" s="79">
        <f>(((1-$W$39)^AB46))*V46</f>
        <v>1.6161518265991406E-2</v>
      </c>
      <c r="AN39" s="12">
        <v>0</v>
      </c>
      <c r="AO39" s="79">
        <f>(((1-$W$39)^AB47))*V47</f>
        <v>6.1955823453580796E-3</v>
      </c>
      <c r="AP39" s="12">
        <v>0</v>
      </c>
      <c r="AQ39" s="79">
        <f>(((1-$W$39)^AB48))*V48</f>
        <v>1.4161230038968193E-3</v>
      </c>
      <c r="AR39" s="12">
        <v>0</v>
      </c>
      <c r="AS39" s="79">
        <f>(((1-$W$39)^AB49))*V49</f>
        <v>1.5061565726464917E-4</v>
      </c>
      <c r="AV39" s="14">
        <v>1</v>
      </c>
      <c r="AW39">
        <v>1</v>
      </c>
      <c r="AX39">
        <v>2</v>
      </c>
      <c r="AY39">
        <v>3</v>
      </c>
      <c r="AZ39">
        <v>4</v>
      </c>
      <c r="BA39">
        <v>5</v>
      </c>
      <c r="BB39">
        <v>6</v>
      </c>
      <c r="BC39">
        <f>7</f>
        <v>7</v>
      </c>
      <c r="BD39">
        <v>8</v>
      </c>
      <c r="BE39">
        <v>9</v>
      </c>
      <c r="BF39">
        <v>10</v>
      </c>
      <c r="BH39">
        <f t="shared" si="31"/>
        <v>4</v>
      </c>
      <c r="BI39">
        <v>6</v>
      </c>
      <c r="BJ39" s="107">
        <f t="shared" si="32"/>
        <v>1.7929146467210919E-3</v>
      </c>
      <c r="BP39">
        <f t="shared" ref="BP39:BP46" si="34">BP31+1</f>
        <v>9</v>
      </c>
      <c r="BQ39">
        <v>0</v>
      </c>
      <c r="BR39" s="107">
        <f t="shared" ref="BR39:BR47" si="35">$H$34*H39</f>
        <v>1.0073060785763014E-6</v>
      </c>
    </row>
    <row r="40" spans="1:70" x14ac:dyDescent="0.25">
      <c r="G40" s="91">
        <v>1</v>
      </c>
      <c r="H40" s="132">
        <f>L39*J40+L40*J39</f>
        <v>0.17440341012484778</v>
      </c>
      <c r="I40" s="93">
        <v>1</v>
      </c>
      <c r="J40" s="86">
        <f t="shared" si="33"/>
        <v>0.29720015142989403</v>
      </c>
      <c r="K40" s="95">
        <v>1</v>
      </c>
      <c r="L40" s="86">
        <f>AD21</f>
        <v>0.55523026214875748</v>
      </c>
      <c r="M40" s="85">
        <v>1</v>
      </c>
      <c r="N40" s="71">
        <f>(($C$24)^M26)*((1-($C$24))^($B$21-M26))*HLOOKUP($B$21,$AV$24:$BF$34,M26+1)</f>
        <v>8.0398256861444584E-2</v>
      </c>
      <c r="O40" s="72">
        <v>1</v>
      </c>
      <c r="P40" s="71">
        <f t="shared" ref="P40:P44" si="36">N40</f>
        <v>8.0398256861444584E-2</v>
      </c>
      <c r="Q40" s="28">
        <v>1</v>
      </c>
      <c r="R40" s="37">
        <f>P40*N39+P39*N40</f>
        <v>1.7639003787737169E-3</v>
      </c>
      <c r="S40" s="72">
        <v>1</v>
      </c>
      <c r="T40" s="135">
        <f t="shared" ref="T40:T49" si="37">(($C$33)^S40)*((1-($C$33))^(INT($B$23*2*(1-$B$31))-S40))*HLOOKUP(INT($B$23*2*(1-$B$31)),$AV$24:$BF$34,S40+1)</f>
        <v>9.9500000000000005E-3</v>
      </c>
      <c r="U40" s="93">
        <v>1</v>
      </c>
      <c r="V40" s="86">
        <f>R40*T39+T40*R39</f>
        <v>1.7475028137069746E-3</v>
      </c>
      <c r="W40" s="137"/>
      <c r="X40" s="28">
        <v>1</v>
      </c>
      <c r="Y40" s="73"/>
      <c r="Z40" s="28">
        <v>1</v>
      </c>
      <c r="AA40" s="79">
        <f>(1-((1-W39)^Z40))*V40</f>
        <v>5.3633107598272697E-4</v>
      </c>
      <c r="AB40" s="28">
        <v>1</v>
      </c>
      <c r="AC40" s="79">
        <f>((($W$39)^M40)*((1-($W$39))^($U$27-M40))*HLOOKUP($U$27,$AV$24:$BF$34,M40+1))*V41</f>
        <v>4.9080182904497737E-3</v>
      </c>
      <c r="AD40" s="28">
        <v>1</v>
      </c>
      <c r="AE40" s="79">
        <f>((($W$39)^M40)*((1-($W$39))^($U$28-M40))*HLOOKUP($U$28,$AV$24:$BF$34,M40+1))*V42</f>
        <v>1.996583697886169E-2</v>
      </c>
      <c r="AF40" s="28">
        <v>1</v>
      </c>
      <c r="AG40" s="79">
        <f>((($W$39)^M40)*((1-($W$39))^($U$29-M40))*HLOOKUP($U$29,$AV$24:$BF$34,M40+1))*V43</f>
        <v>4.7393090992184944E-2</v>
      </c>
      <c r="AH40" s="28">
        <v>1</v>
      </c>
      <c r="AI40" s="79">
        <f>((($W$39)^M40)*((1-($W$39))^($U$30-M40))*HLOOKUP($U$30,$AV$24:$BF$34,M40+1))*V44</f>
        <v>7.2352044344964825E-2</v>
      </c>
      <c r="AJ40" s="28">
        <v>1</v>
      </c>
      <c r="AK40" s="79">
        <f>((($W$39)^M40)*((1-($W$39))^($U$31-M40))*HLOOKUP($U$31,$AV$24:$BF$34,M40+1))*V45</f>
        <v>7.3689357338592554E-2</v>
      </c>
      <c r="AL40" s="28">
        <v>1</v>
      </c>
      <c r="AM40" s="79">
        <f>((($W$39)^Q40)*((1-($W$39))^($U$32-Q40))*HLOOKUP($U$32,$AV$24:$BF$34,Q40+1))*V46</f>
        <v>5.009650529148154E-2</v>
      </c>
      <c r="AN40" s="28">
        <v>1</v>
      </c>
      <c r="AO40" s="79">
        <f>((($W$39)^Q40)*((1-($W$39))^($U$33-Q40))*HLOOKUP($U$33,$AV$24:$BF$34,Q40+1))*V47</f>
        <v>2.1948222483256268E-2</v>
      </c>
      <c r="AP40" s="28">
        <v>1</v>
      </c>
      <c r="AQ40" s="79">
        <f>((($W$39)^Q40)*((1-($W$39))^($U$34-Q40))*HLOOKUP($U$34,$AV$24:$BF$34,Q40+1))*V48</f>
        <v>5.6437883718115141E-3</v>
      </c>
      <c r="AR40" s="28">
        <v>1</v>
      </c>
      <c r="AS40" s="79">
        <f>((($W$39)^Q40)*((1-($W$39))^($U$35-Q40))*HLOOKUP($U$35,$AV$24:$BF$34,Q40+1))*V49</f>
        <v>6.669562623082474E-4</v>
      </c>
      <c r="AV40" s="14">
        <v>2</v>
      </c>
      <c r="AX40">
        <v>1</v>
      </c>
      <c r="AY40">
        <v>3</v>
      </c>
      <c r="AZ40">
        <v>6</v>
      </c>
      <c r="BA40">
        <v>10</v>
      </c>
      <c r="BB40">
        <v>15</v>
      </c>
      <c r="BC40">
        <f>6+15</f>
        <v>21</v>
      </c>
      <c r="BD40">
        <f>21+7</f>
        <v>28</v>
      </c>
      <c r="BE40">
        <f>28+8</f>
        <v>36</v>
      </c>
      <c r="BF40">
        <f>36+9</f>
        <v>45</v>
      </c>
      <c r="BH40">
        <f t="shared" si="31"/>
        <v>4</v>
      </c>
      <c r="BI40">
        <v>7</v>
      </c>
      <c r="BJ40" s="107">
        <f t="shared" si="32"/>
        <v>4.0332843431137457E-4</v>
      </c>
      <c r="BP40">
        <f t="shared" si="34"/>
        <v>9</v>
      </c>
      <c r="BQ40">
        <v>1</v>
      </c>
      <c r="BR40" s="107">
        <f t="shared" si="35"/>
        <v>3.9039387152254047E-6</v>
      </c>
    </row>
    <row r="41" spans="1:70" x14ac:dyDescent="0.25">
      <c r="G41" s="91">
        <v>2</v>
      </c>
      <c r="H41" s="132">
        <f>L39*J41+J40*L40+J39*L41</f>
        <v>0.27939222760487059</v>
      </c>
      <c r="I41" s="93">
        <v>2</v>
      </c>
      <c r="J41" s="86">
        <f t="shared" si="33"/>
        <v>0.29895740217550398</v>
      </c>
      <c r="K41" s="95">
        <v>2</v>
      </c>
      <c r="L41" s="86">
        <f>AE21</f>
        <v>9.9419369886878772E-2</v>
      </c>
      <c r="M41" s="85">
        <v>2</v>
      </c>
      <c r="N41" s="71">
        <f>(($C$24)^M27)*((1-($C$24))^($B$21-M27))*HLOOKUP($B$21,$AV$24:$BF$34,M27+1)</f>
        <v>0.23569796444609006</v>
      </c>
      <c r="O41" s="72">
        <v>2</v>
      </c>
      <c r="P41" s="71">
        <f t="shared" si="36"/>
        <v>0.23569796444609006</v>
      </c>
      <c r="Q41" s="28">
        <v>2</v>
      </c>
      <c r="R41" s="37">
        <f>P41*N39+P40*N40+P39*N41</f>
        <v>1.1634983471445877E-2</v>
      </c>
      <c r="S41" s="72">
        <v>2</v>
      </c>
      <c r="T41" s="135">
        <f t="shared" si="37"/>
        <v>2.5000000000000001E-5</v>
      </c>
      <c r="U41" s="93">
        <v>2</v>
      </c>
      <c r="V41" s="86">
        <f>R41*T39+T40*R40+R39*T41</f>
        <v>1.1536478328482007E-2</v>
      </c>
      <c r="W41" s="137"/>
      <c r="X41" s="28">
        <v>2</v>
      </c>
      <c r="Y41" s="73"/>
      <c r="Z41" s="28">
        <v>2</v>
      </c>
      <c r="AA41" s="79"/>
      <c r="AB41" s="28">
        <v>2</v>
      </c>
      <c r="AC41" s="79">
        <f>((($W$39)^M41)*((1-($W$39))^($U$27-M41))*HLOOKUP($U$27,$AV$24:$BF$34,M41+1))*V41</f>
        <v>1.086684344041036E-3</v>
      </c>
      <c r="AD41" s="28">
        <v>2</v>
      </c>
      <c r="AE41" s="79">
        <f>((($W$39)^M41)*((1-($W$39))^($U$28-M41))*HLOOKUP($U$28,$AV$24:$BF$34,M41+1))*V42</f>
        <v>8.8412720477520027E-3</v>
      </c>
      <c r="AF41" s="28">
        <v>2</v>
      </c>
      <c r="AG41" s="79">
        <f>((($W$39)^M41)*((1-($W$39))^($U$29-M41))*HLOOKUP($U$29,$AV$24:$BF$34,M41+1))*V43</f>
        <v>3.1479913245514829E-2</v>
      </c>
      <c r="AH41" s="28">
        <v>2</v>
      </c>
      <c r="AI41" s="79">
        <f>((($W$39)^M41)*((1-($W$39))^($U$30-M41))*HLOOKUP($U$30,$AV$24:$BF$34,M41+1))*V44</f>
        <v>6.4077865399992981E-2</v>
      </c>
      <c r="AJ41" s="28">
        <v>2</v>
      </c>
      <c r="AK41" s="79">
        <f>((($W$39)^M41)*((1-($W$39))^($U$31-M41))*HLOOKUP($U$31,$AV$24:$BF$34,M41+1))*V45</f>
        <v>8.1577804119140368E-2</v>
      </c>
      <c r="AL41" s="28">
        <v>2</v>
      </c>
      <c r="AM41" s="79">
        <f>((($W$39)^Q41)*((1-($W$39))^($U$32-Q41))*HLOOKUP($U$32,$AV$24:$BF$34,Q41+1))*V46</f>
        <v>6.6551204298506875E-2</v>
      </c>
      <c r="AN41" s="28">
        <v>2</v>
      </c>
      <c r="AO41" s="79">
        <f>((($W$39)^Q41)*((1-($W$39))^($U$33-Q41))*HLOOKUP($U$33,$AV$24:$BF$34,Q41+1))*V47</f>
        <v>3.4016892029407747E-2</v>
      </c>
      <c r="AP41" s="28">
        <v>2</v>
      </c>
      <c r="AQ41" s="79">
        <f>((($W$39)^Q41)*((1-($W$39))^($U$34-Q41))*HLOOKUP($U$34,$AV$24:$BF$34,Q41+1))*V48</f>
        <v>9.9967295992556531E-3</v>
      </c>
      <c r="AR41" s="28">
        <v>2</v>
      </c>
      <c r="AS41" s="79">
        <f>((($W$39)^Q41)*((1-($W$39))^($U$35-Q41))*HLOOKUP($U$35,$AV$24:$BF$34,Q41+1))*V49</f>
        <v>1.3290370918924844E-3</v>
      </c>
      <c r="AV41" s="14">
        <v>3</v>
      </c>
      <c r="AY41">
        <v>1</v>
      </c>
      <c r="AZ41">
        <v>4</v>
      </c>
      <c r="BA41">
        <v>10</v>
      </c>
      <c r="BB41">
        <v>20</v>
      </c>
      <c r="BC41">
        <f>15+20</f>
        <v>35</v>
      </c>
      <c r="BD41">
        <f>21+35</f>
        <v>56</v>
      </c>
      <c r="BE41">
        <f>28+56</f>
        <v>84</v>
      </c>
      <c r="BF41">
        <f>36+84</f>
        <v>120</v>
      </c>
      <c r="BH41">
        <f t="shared" si="31"/>
        <v>4</v>
      </c>
      <c r="BI41">
        <v>8</v>
      </c>
      <c r="BJ41" s="107">
        <f t="shared" si="32"/>
        <v>6.725842766950506E-5</v>
      </c>
      <c r="BP41">
        <f t="shared" si="34"/>
        <v>9</v>
      </c>
      <c r="BQ41">
        <v>2</v>
      </c>
      <c r="BR41" s="107">
        <f t="shared" si="35"/>
        <v>6.2540642599758599E-6</v>
      </c>
    </row>
    <row r="42" spans="1:70" ht="15" customHeight="1" x14ac:dyDescent="0.25">
      <c r="G42" s="91">
        <v>3</v>
      </c>
      <c r="H42" s="132">
        <f>J42*L39+J41*L40+L42*J39+L41*J40</f>
        <v>0.25679059778017815</v>
      </c>
      <c r="I42" s="93">
        <v>3</v>
      </c>
      <c r="J42" s="86">
        <f t="shared" si="33"/>
        <v>0.17828120730824942</v>
      </c>
      <c r="K42" s="95">
        <v>3</v>
      </c>
      <c r="L42" s="86">
        <f>AF21</f>
        <v>6.9894785330449349E-3</v>
      </c>
      <c r="M42" s="85">
        <v>3</v>
      </c>
      <c r="N42" s="71">
        <f>(($C$24)^M28)*((1-($C$24))^($B$21-M28))*HLOOKUP($B$21,$AV$24:$BF$34,M28+1)</f>
        <v>0.3454896450041775</v>
      </c>
      <c r="O42" s="72">
        <v>3</v>
      </c>
      <c r="P42" s="71">
        <f t="shared" si="36"/>
        <v>0.3454896450041775</v>
      </c>
      <c r="Q42" s="28">
        <v>3</v>
      </c>
      <c r="R42" s="37">
        <f>P42*N39+P41*N40+P40*N41+P39*N42</f>
        <v>4.5479293169415312E-2</v>
      </c>
      <c r="S42" s="72">
        <v>3</v>
      </c>
      <c r="T42" s="135">
        <f t="shared" si="37"/>
        <v>0</v>
      </c>
      <c r="U42" s="93">
        <v>3</v>
      </c>
      <c r="V42" s="86">
        <f>R42*T39+R41*T40+R40*T41+R39*T42</f>
        <v>4.5141449403100754E-2</v>
      </c>
      <c r="W42" s="137"/>
      <c r="X42" s="28">
        <v>3</v>
      </c>
      <c r="Y42" s="73"/>
      <c r="Z42" s="28">
        <v>3</v>
      </c>
      <c r="AA42" s="79"/>
      <c r="AB42" s="28">
        <v>3</v>
      </c>
      <c r="AC42" s="79"/>
      <c r="AD42" s="28">
        <v>3</v>
      </c>
      <c r="AE42" s="79">
        <f>((($W$39)^M42)*((1-($W$39))^($U$28-M42))*HLOOKUP($U$28,$AV$24:$BF$34,M42+1))*V42</f>
        <v>1.3050307132982421E-3</v>
      </c>
      <c r="AF42" s="28">
        <v>3</v>
      </c>
      <c r="AG42" s="79">
        <f>((($W$39)^M42)*((1-($W$39))^($U$29-M42))*HLOOKUP($U$29,$AV$24:$BF$34,M42+1))*V43</f>
        <v>9.2932902449951518E-3</v>
      </c>
      <c r="AH42" s="28">
        <v>3</v>
      </c>
      <c r="AI42" s="79">
        <f>((($W$39)^M42)*((1-($W$39))^($U$30-M42))*HLOOKUP($U$30,$AV$24:$BF$34,M42+1))*V44</f>
        <v>2.837496073119157E-2</v>
      </c>
      <c r="AJ42" s="28">
        <v>3</v>
      </c>
      <c r="AK42" s="79">
        <f>((($W$39)^M42)*((1-($W$39))^($U$31-M42))*HLOOKUP($U$31,$AV$24:$BF$34,M42+1))*V45</f>
        <v>4.8165711596206404E-2</v>
      </c>
      <c r="AL42" s="28">
        <v>3</v>
      </c>
      <c r="AM42" s="79">
        <f>((($W$39)^Q42)*((1-($W$39))^($U$32-Q42))*HLOOKUP($U$32,$AV$24:$BF$34,Q42+1))*V46</f>
        <v>4.9117007794495168E-2</v>
      </c>
      <c r="AN42" s="28">
        <v>3</v>
      </c>
      <c r="AO42" s="79">
        <f>((($W$39)^Q42)*((1-($W$39))^($U$33-Q42))*HLOOKUP($U$33,$AV$24:$BF$34,Q42+1))*V47</f>
        <v>3.0126720654828004E-2</v>
      </c>
      <c r="AP42" s="28">
        <v>3</v>
      </c>
      <c r="AQ42" s="79">
        <f>((($W$39)^Q42)*((1-($W$39))^($U$34-Q42))*HLOOKUP($U$34,$AV$24:$BF$34,Q42+1))*V48</f>
        <v>1.0329087672421928E-2</v>
      </c>
      <c r="AR42" s="28">
        <v>3</v>
      </c>
      <c r="AS42" s="79">
        <f>((($W$39)^Q42)*((1-($W$39))^($U$35-Q42))*HLOOKUP($U$35,$AV$24:$BF$34,Q42+1))*V49</f>
        <v>1.5693979008129457E-3</v>
      </c>
      <c r="AV42" s="14">
        <v>4</v>
      </c>
      <c r="AZ42">
        <v>1</v>
      </c>
      <c r="BA42">
        <v>5</v>
      </c>
      <c r="BB42">
        <v>15</v>
      </c>
      <c r="BC42">
        <f>20+15</f>
        <v>35</v>
      </c>
      <c r="BD42">
        <f>35+35</f>
        <v>70</v>
      </c>
      <c r="BE42">
        <f>56+70</f>
        <v>126</v>
      </c>
      <c r="BF42">
        <f>BE41+BE42</f>
        <v>210</v>
      </c>
      <c r="BH42">
        <f t="shared" si="31"/>
        <v>4</v>
      </c>
      <c r="BI42">
        <v>9</v>
      </c>
      <c r="BJ42" s="107">
        <f t="shared" si="32"/>
        <v>8.2446900226994074E-6</v>
      </c>
      <c r="BP42">
        <f t="shared" si="34"/>
        <v>9</v>
      </c>
      <c r="BQ42">
        <v>3</v>
      </c>
      <c r="BR42" s="107">
        <f t="shared" si="35"/>
        <v>5.7481373538640688E-6</v>
      </c>
    </row>
    <row r="43" spans="1:70" ht="15" customHeight="1" x14ac:dyDescent="0.25">
      <c r="G43" s="91">
        <v>4</v>
      </c>
      <c r="H43" s="132">
        <f>J43*L39+J42*L40+J41*L41+J40*L42</f>
        <v>0.15440780584476341</v>
      </c>
      <c r="I43" s="93">
        <v>4</v>
      </c>
      <c r="J43" s="86">
        <f t="shared" si="33"/>
        <v>6.9810827689818014E-2</v>
      </c>
      <c r="K43" s="95">
        <v>4</v>
      </c>
      <c r="L43" s="86"/>
      <c r="M43" s="85">
        <v>4</v>
      </c>
      <c r="N43" s="71">
        <f>(($C$24)^M29)*((1-($C$24))^($B$21-M29))*HLOOKUP($B$21,$AV$24:$BF$34,M29+1)</f>
        <v>0.25321197636480625</v>
      </c>
      <c r="O43" s="72">
        <v>4</v>
      </c>
      <c r="P43" s="71">
        <f t="shared" si="36"/>
        <v>0.25321197636480625</v>
      </c>
      <c r="Q43" s="28">
        <v>4</v>
      </c>
      <c r="R43" s="37">
        <f>P43*N39+P42*N40+P41*N41+P40*N42+P39*N43</f>
        <v>0.1166624139324637</v>
      </c>
      <c r="S43" s="72">
        <v>4</v>
      </c>
      <c r="T43" s="135">
        <f t="shared" si="37"/>
        <v>0</v>
      </c>
      <c r="U43" s="93">
        <v>4</v>
      </c>
      <c r="V43" s="86">
        <f>T43*R39+T42*R40+T41*R41+T40*R42+T39*R43</f>
        <v>0.11595151619510984</v>
      </c>
      <c r="W43" s="137"/>
      <c r="X43" s="28">
        <v>4</v>
      </c>
      <c r="Y43" s="73"/>
      <c r="Z43" s="28">
        <v>4</v>
      </c>
      <c r="AA43" s="79"/>
      <c r="AB43" s="28">
        <v>4</v>
      </c>
      <c r="AC43" s="79"/>
      <c r="AD43" s="28">
        <v>4</v>
      </c>
      <c r="AE43" s="79"/>
      <c r="AF43" s="28">
        <v>4</v>
      </c>
      <c r="AG43" s="79">
        <f>((($W$39)^M43)*((1-($W$39))^($U$29-M43))*HLOOKUP($U$29,$AV$24:$BF$34,M43+1))*V43</f>
        <v>1.0288137101604044E-3</v>
      </c>
      <c r="AH43" s="28">
        <v>4</v>
      </c>
      <c r="AI43" s="79">
        <f>((($W$39)^M43)*((1-($W$39))^($U$30-M43))*HLOOKUP($U$30,$AV$24:$BF$34,M43+1))*V44</f>
        <v>6.2825001384702187E-3</v>
      </c>
      <c r="AJ43" s="28">
        <v>4</v>
      </c>
      <c r="AK43" s="79">
        <f>((($W$39)^M43)*((1-($W$39))^($U$31-M43))*HLOOKUP($U$31,$AV$24:$BF$34,M43+1))*V45</f>
        <v>1.599655551805107E-2</v>
      </c>
      <c r="AL43" s="28">
        <v>4</v>
      </c>
      <c r="AM43" s="79">
        <f>((($W$39)^Q43)*((1-($W$39))^($U$32-Q43))*HLOOKUP($U$32,$AV$24:$BF$34,Q43+1))*V46</f>
        <v>2.1749993678824759E-2</v>
      </c>
      <c r="AN43" s="28">
        <v>4</v>
      </c>
      <c r="AO43" s="79">
        <f>((($W$39)^Q43)*((1-($W$39))^($U$33-Q43))*HLOOKUP($U$33,$AV$24:$BF$34,Q43+1))*V47</f>
        <v>1.6675893270713109E-2</v>
      </c>
      <c r="AP43" s="28">
        <v>4</v>
      </c>
      <c r="AQ43" s="79">
        <f>((($W$39)^Q43)*((1-($W$39))^($U$34-Q43))*HLOOKUP($U$34,$AV$24:$BF$34,Q43+1))*V48</f>
        <v>6.8608899952690827E-3</v>
      </c>
      <c r="AR43" s="28">
        <v>4</v>
      </c>
      <c r="AS43" s="79">
        <f>((($W$39)^Q43)*((1-($W$39))^($U$35-Q43))*HLOOKUP($U$35,$AV$24:$BF$34,Q43+1))*V49</f>
        <v>1.2161813783293839E-3</v>
      </c>
      <c r="AV43" s="14">
        <v>5</v>
      </c>
      <c r="BA43">
        <v>1</v>
      </c>
      <c r="BB43">
        <v>6</v>
      </c>
      <c r="BC43">
        <f>15+6</f>
        <v>21</v>
      </c>
      <c r="BD43">
        <f>35+21</f>
        <v>56</v>
      </c>
      <c r="BE43">
        <f>70+56</f>
        <v>126</v>
      </c>
      <c r="BF43">
        <f t="shared" ref="BF43:BF48" si="38">BE42+BE43</f>
        <v>252</v>
      </c>
      <c r="BH43">
        <f t="shared" si="31"/>
        <v>4</v>
      </c>
      <c r="BI43">
        <v>10</v>
      </c>
      <c r="BJ43" s="107">
        <f t="shared" si="32"/>
        <v>7.2505154733037371E-7</v>
      </c>
      <c r="BP43">
        <f t="shared" si="34"/>
        <v>9</v>
      </c>
      <c r="BQ43">
        <v>4</v>
      </c>
      <c r="BR43" s="107">
        <f t="shared" si="35"/>
        <v>3.4563464713153389E-6</v>
      </c>
    </row>
    <row r="44" spans="1:70" ht="15" customHeight="1" thickBot="1" x14ac:dyDescent="0.3">
      <c r="G44" s="91">
        <v>5</v>
      </c>
      <c r="H44" s="132">
        <f>J44*L39+J43*L40+J42*L41+J41*L42</f>
        <v>6.4923090530752542E-2</v>
      </c>
      <c r="I44" s="93">
        <v>5</v>
      </c>
      <c r="J44" s="86">
        <f t="shared" si="33"/>
        <v>1.8760574676119308E-2</v>
      </c>
      <c r="K44" s="95">
        <v>5</v>
      </c>
      <c r="L44" s="86"/>
      <c r="M44" s="85">
        <v>5</v>
      </c>
      <c r="N44" s="71">
        <f>(($C$24)^M30)*((1-($C$24))^($B$21-M30))*HLOOKUP($B$21,$AV$24:$BF$34,M30+1)</f>
        <v>7.4232389771098278E-2</v>
      </c>
      <c r="O44" s="72">
        <v>5</v>
      </c>
      <c r="P44" s="71">
        <f t="shared" si="36"/>
        <v>7.4232389771098278E-2</v>
      </c>
      <c r="Q44" s="28">
        <v>5</v>
      </c>
      <c r="R44" s="37">
        <f>P44*N39+P43*N40+P42*N41+P41*N42+P40*N43+P39*N44</f>
        <v>0.20520663928301097</v>
      </c>
      <c r="S44" s="72">
        <v>5</v>
      </c>
      <c r="T44" s="135">
        <f t="shared" si="37"/>
        <v>0</v>
      </c>
      <c r="U44" s="93">
        <v>5</v>
      </c>
      <c r="V44" s="86">
        <f>T44*R39+T43*R40+T42*R41+T41*R42+T40*R43+T39*R44</f>
        <v>0.2043216310571202</v>
      </c>
      <c r="W44" s="137"/>
      <c r="X44" s="28">
        <v>5</v>
      </c>
      <c r="Y44" s="73"/>
      <c r="Z44" s="28">
        <v>5</v>
      </c>
      <c r="AA44" s="79"/>
      <c r="AB44" s="28">
        <v>5</v>
      </c>
      <c r="AC44" s="79"/>
      <c r="AD44" s="28">
        <v>5</v>
      </c>
      <c r="AE44" s="79"/>
      <c r="AF44" s="28">
        <v>5</v>
      </c>
      <c r="AG44" s="79"/>
      <c r="AH44" s="28">
        <v>5</v>
      </c>
      <c r="AI44" s="79">
        <f>((($W$39)^M44)*((1-($W$39))^($U$30-M44))*HLOOKUP($U$30,$AV$24:$BF$34,M44+1))*V44</f>
        <v>5.5640334961225973E-4</v>
      </c>
      <c r="AJ44" s="28">
        <v>5</v>
      </c>
      <c r="AK44" s="79">
        <f>((($W$39)^M44)*((1-($W$39))^($U$31-M44))*HLOOKUP($U$31,$AV$24:$BF$34,M44+1))*V45</f>
        <v>2.8334379232244195E-3</v>
      </c>
      <c r="AL44" s="28">
        <v>5</v>
      </c>
      <c r="AM44" s="79">
        <f>((($W$39)^Q44)*((1-($W$39))^($U$32-Q44))*HLOOKUP($U$32,$AV$24:$BF$34,Q44+1))*V46</f>
        <v>5.778799396838695E-3</v>
      </c>
      <c r="AN44" s="28">
        <v>5</v>
      </c>
      <c r="AO44" s="79">
        <f>((($W$39)^Q44)*((1-($W$39))^($U$33-Q44))*HLOOKUP($U$33,$AV$24:$BF$34,Q44+1))*V47</f>
        <v>5.9075353245344308E-3</v>
      </c>
      <c r="AP44" s="28">
        <v>5</v>
      </c>
      <c r="AQ44" s="79">
        <f>((($W$39)^Q44)*((1-($W$39))^($U$34-Q44))*HLOOKUP($U$34,$AV$24:$BF$34,Q44+1))*V48</f>
        <v>3.0381393478317508E-3</v>
      </c>
      <c r="AR44" s="28">
        <v>5</v>
      </c>
      <c r="AS44" s="79">
        <f>((($W$39)^Q44)*((1-($W$39))^($U$35-Q44))*HLOOKUP($U$35,$AV$24:$BF$34,Q44+1))*V49</f>
        <v>6.462593340777513E-4</v>
      </c>
      <c r="AV44" s="29">
        <v>6</v>
      </c>
      <c r="BB44">
        <v>1</v>
      </c>
      <c r="BC44">
        <v>7</v>
      </c>
      <c r="BD44">
        <f>28</f>
        <v>28</v>
      </c>
      <c r="BE44">
        <f>56+28</f>
        <v>84</v>
      </c>
      <c r="BF44">
        <f t="shared" si="38"/>
        <v>210</v>
      </c>
      <c r="BH44">
        <f>BH39+1</f>
        <v>5</v>
      </c>
      <c r="BI44">
        <v>6</v>
      </c>
      <c r="BJ44" s="107">
        <f>$H$30*H45</f>
        <v>5.9708175000922092E-4</v>
      </c>
      <c r="BP44">
        <f t="shared" si="34"/>
        <v>9</v>
      </c>
      <c r="BQ44">
        <v>5</v>
      </c>
      <c r="BR44" s="107">
        <f t="shared" si="35"/>
        <v>1.4532729976647293E-6</v>
      </c>
    </row>
    <row r="45" spans="1:70" ht="15" customHeight="1" thickBot="1" x14ac:dyDescent="0.3">
      <c r="A45" s="112" t="s">
        <v>108</v>
      </c>
      <c r="B45" s="112" t="s">
        <v>109</v>
      </c>
      <c r="C45" s="112" t="s">
        <v>110</v>
      </c>
      <c r="D45" s="112" t="s">
        <v>111</v>
      </c>
      <c r="E45" s="112" t="s">
        <v>23</v>
      </c>
      <c r="G45" s="91">
        <v>6</v>
      </c>
      <c r="H45" s="132">
        <f>J45*L39+J44*L40+J43*L41+J42*L42</f>
        <v>1.9789195142879523E-2</v>
      </c>
      <c r="I45" s="93">
        <v>6</v>
      </c>
      <c r="J45" s="86">
        <f t="shared" si="33"/>
        <v>3.505473631602158E-3</v>
      </c>
      <c r="K45" s="95">
        <v>6</v>
      </c>
      <c r="L45" s="86"/>
      <c r="M45" s="85"/>
      <c r="N45" s="37"/>
      <c r="O45" s="37"/>
      <c r="P45" s="37"/>
      <c r="Q45" s="28">
        <v>6</v>
      </c>
      <c r="R45" s="37">
        <f>P44*N40+P43*N41+P42*N42+P41*N43+P40*N44</f>
        <v>0.25066249909073646</v>
      </c>
      <c r="S45" s="70">
        <v>6</v>
      </c>
      <c r="T45" s="135">
        <f t="shared" si="37"/>
        <v>0</v>
      </c>
      <c r="U45" s="93">
        <v>6</v>
      </c>
      <c r="V45" s="86">
        <f>T45*R39+T44*R40+T43*R41+T42*R42+T41*R43+T40*R44+T39*R45</f>
        <v>0.25020686328352065</v>
      </c>
      <c r="W45" s="137"/>
      <c r="X45" s="28">
        <v>6</v>
      </c>
      <c r="Y45" s="73"/>
      <c r="Z45" s="28">
        <v>6</v>
      </c>
      <c r="AA45" s="79"/>
      <c r="AB45" s="28">
        <v>6</v>
      </c>
      <c r="AC45" s="79"/>
      <c r="AD45" s="28">
        <v>6</v>
      </c>
      <c r="AE45" s="79"/>
      <c r="AF45" s="28">
        <v>6</v>
      </c>
      <c r="AG45" s="79"/>
      <c r="AH45" s="28">
        <v>6</v>
      </c>
      <c r="AI45" s="79"/>
      <c r="AJ45" s="28">
        <v>6</v>
      </c>
      <c r="AK45" s="79">
        <f>((($W$39)^Q45)*((1-($W$39))^($U$31-Q45))*HLOOKUP($U$31,$AV$24:$BF$34,Q45+1))*V45</f>
        <v>2.0911716628898685E-4</v>
      </c>
      <c r="AL45" s="28">
        <v>6</v>
      </c>
      <c r="AM45" s="79">
        <f>((($W$39)^Q45)*((1-($W$39))^($U$32-Q45))*HLOOKUP($U$32,$AV$24:$BF$34,Q45+1))*V46</f>
        <v>8.5298932756869208E-4</v>
      </c>
      <c r="AN45" s="28">
        <v>6</v>
      </c>
      <c r="AO45" s="79">
        <f>((($W$39)^Q45)*((1-($W$39))^($U$33-Q45))*HLOOKUP($U$33,$AV$24:$BF$34,Q45+1))*V47</f>
        <v>1.3079874134806139E-3</v>
      </c>
      <c r="AP45" s="28">
        <v>6</v>
      </c>
      <c r="AQ45" s="79">
        <f>((($W$39)^Q45)*((1-($W$39))^($U$34-Q45))*HLOOKUP($U$34,$AV$24:$BF$34,Q45+1))*V48</f>
        <v>8.9689925585050608E-4</v>
      </c>
      <c r="AR45" s="28">
        <v>6</v>
      </c>
      <c r="AS45" s="79">
        <f>((($W$39)^Q45)*((1-($W$39))^($U$35-Q45))*HLOOKUP($U$35,$AV$24:$BF$34,Q45+1))*V49</f>
        <v>2.3848046841335916E-4</v>
      </c>
      <c r="AV45" s="14">
        <v>7</v>
      </c>
      <c r="BC45">
        <v>1</v>
      </c>
      <c r="BD45">
        <v>8</v>
      </c>
      <c r="BE45">
        <f>28+8</f>
        <v>36</v>
      </c>
      <c r="BF45">
        <f t="shared" si="38"/>
        <v>120</v>
      </c>
      <c r="BH45">
        <f>BH40+1</f>
        <v>5</v>
      </c>
      <c r="BI45">
        <v>7</v>
      </c>
      <c r="BJ45" s="107">
        <f>$H$30*H46</f>
        <v>1.3431763069565513E-4</v>
      </c>
      <c r="BP45">
        <f t="shared" si="34"/>
        <v>9</v>
      </c>
      <c r="BQ45">
        <v>6</v>
      </c>
      <c r="BR45" s="107">
        <f t="shared" si="35"/>
        <v>4.4297187197276621E-7</v>
      </c>
    </row>
    <row r="46" spans="1:70" ht="15" customHeight="1" thickBot="1" x14ac:dyDescent="0.3">
      <c r="A46" s="113" t="s">
        <v>112</v>
      </c>
      <c r="B46" s="113" t="s">
        <v>21</v>
      </c>
      <c r="C46" s="113" t="s">
        <v>113</v>
      </c>
      <c r="D46" s="113" t="s">
        <v>114</v>
      </c>
      <c r="E46" s="113" t="s">
        <v>115</v>
      </c>
      <c r="G46" s="91">
        <v>7</v>
      </c>
      <c r="H46" s="132">
        <f>J46*L39+J45*L40+J44*L41+J43*L42</f>
        <v>4.45171503721977E-3</v>
      </c>
      <c r="I46" s="93">
        <v>7</v>
      </c>
      <c r="J46" s="86">
        <f t="shared" si="33"/>
        <v>4.5000531686170301E-4</v>
      </c>
      <c r="K46" s="95">
        <v>7</v>
      </c>
      <c r="L46" s="86"/>
      <c r="M46" s="85"/>
      <c r="N46" s="37"/>
      <c r="O46" s="37"/>
      <c r="P46" s="37"/>
      <c r="Q46" s="28">
        <v>7</v>
      </c>
      <c r="R46" s="37">
        <f>P44*N41+P43*N42+P42*N43+P41*N44</f>
        <v>0.20995707798019944</v>
      </c>
      <c r="S46" s="72">
        <v>7</v>
      </c>
      <c r="T46" s="135">
        <f t="shared" si="37"/>
        <v>0</v>
      </c>
      <c r="U46" s="93">
        <v>7</v>
      </c>
      <c r="V46" s="86">
        <f>T46*R39+T45*R40+T44*R41+T43*R42+T42*R43+T41*R44+T40*R45+T39*R46</f>
        <v>0.21036197815928184</v>
      </c>
      <c r="W46" s="137"/>
      <c r="X46" s="28">
        <v>7</v>
      </c>
      <c r="Y46" s="73"/>
      <c r="Z46" s="28">
        <v>7</v>
      </c>
      <c r="AA46" s="79"/>
      <c r="AB46" s="28">
        <v>7</v>
      </c>
      <c r="AC46" s="79"/>
      <c r="AD46" s="28">
        <v>7</v>
      </c>
      <c r="AE46" s="79"/>
      <c r="AF46" s="28">
        <v>7</v>
      </c>
      <c r="AG46" s="79"/>
      <c r="AH46" s="28">
        <v>7</v>
      </c>
      <c r="AI46" s="79"/>
      <c r="AJ46" s="28">
        <v>7</v>
      </c>
      <c r="AK46" s="79"/>
      <c r="AL46" s="28">
        <v>7</v>
      </c>
      <c r="AM46" s="79">
        <f>((($W$39)^Q46)*((1-($W$39))^($U$32-Q46))*HLOOKUP($U$32,$AV$24:$BF$34,Q46+1))*V46</f>
        <v>5.3960105574681896E-5</v>
      </c>
      <c r="AN46" s="28">
        <v>7</v>
      </c>
      <c r="AO46" s="79">
        <f>((($W$39)^Q46)*((1-($W$39))^($U$33-Q46))*HLOOKUP($U$33,$AV$24:$BF$34,Q46+1))*V47</f>
        <v>1.6548656973925676E-4</v>
      </c>
      <c r="AP46" s="28">
        <v>7</v>
      </c>
      <c r="AQ46" s="79">
        <f>((($W$39)^Q46)*((1-($W$39))^($U$34-Q46))*HLOOKUP($U$34,$AV$24:$BF$34,Q46+1))*V48</f>
        <v>1.7021354302343072E-4</v>
      </c>
      <c r="AR46" s="28">
        <v>7</v>
      </c>
      <c r="AS46" s="79">
        <f>((($W$39)^Q46)*((1-($W$39))^($U$35-Q46))*HLOOKUP($U$35,$AV$24:$BF$34,Q46+1))*V49</f>
        <v>6.0345098524333642E-5</v>
      </c>
      <c r="AV46" s="14">
        <v>8</v>
      </c>
      <c r="BD46">
        <v>1</v>
      </c>
      <c r="BE46">
        <v>9</v>
      </c>
      <c r="BF46">
        <f t="shared" si="38"/>
        <v>45</v>
      </c>
      <c r="BH46">
        <f>BH41+1</f>
        <v>5</v>
      </c>
      <c r="BI46">
        <v>8</v>
      </c>
      <c r="BJ46" s="107">
        <f>$H$30*H47</f>
        <v>2.2398600942448457E-5</v>
      </c>
      <c r="BP46">
        <f t="shared" si="34"/>
        <v>9</v>
      </c>
      <c r="BQ46">
        <v>7</v>
      </c>
      <c r="BR46" s="107">
        <f t="shared" si="35"/>
        <v>9.9649557715140656E-8</v>
      </c>
    </row>
    <row r="47" spans="1:70" ht="15" customHeight="1" thickBot="1" x14ac:dyDescent="0.3">
      <c r="A47" s="113" t="s">
        <v>116</v>
      </c>
      <c r="B47" s="113" t="s">
        <v>21</v>
      </c>
      <c r="C47" s="113" t="s">
        <v>117</v>
      </c>
      <c r="D47" s="113" t="s">
        <v>118</v>
      </c>
      <c r="E47" s="113" t="s">
        <v>115</v>
      </c>
      <c r="G47" s="91">
        <v>8</v>
      </c>
      <c r="H47" s="132">
        <f>J47*L39+J46*L40+J45*L41+J44*L42</f>
        <v>7.4236113391633969E-4</v>
      </c>
      <c r="I47" s="93">
        <v>8</v>
      </c>
      <c r="J47" s="86">
        <f t="shared" si="33"/>
        <v>3.8024342332318025E-5</v>
      </c>
      <c r="K47" s="95">
        <v>8</v>
      </c>
      <c r="L47" s="86"/>
      <c r="M47" s="85"/>
      <c r="N47" s="37"/>
      <c r="O47" s="37"/>
      <c r="P47" s="37"/>
      <c r="Q47" s="28">
        <v>8</v>
      </c>
      <c r="R47" s="37">
        <f>P44*N42+P43*N43+P42*N44</f>
        <v>0.11540934895422816</v>
      </c>
      <c r="S47" s="72">
        <v>8</v>
      </c>
      <c r="T47" s="135">
        <f t="shared" si="37"/>
        <v>0</v>
      </c>
      <c r="U47" s="93">
        <v>8</v>
      </c>
      <c r="V47" s="86">
        <f>T47*R39+T46*R40+T45*R41+T44*R42+T43*R43+T42*R44+T41*R45+T40*R46+T39*R47</f>
        <v>0.11635348018679</v>
      </c>
      <c r="W47" s="137"/>
      <c r="X47" s="28">
        <v>8</v>
      </c>
      <c r="Y47" s="73"/>
      <c r="Z47" s="28">
        <v>8</v>
      </c>
      <c r="AA47" s="79"/>
      <c r="AB47" s="28">
        <v>8</v>
      </c>
      <c r="AC47" s="79"/>
      <c r="AD47" s="28">
        <v>8</v>
      </c>
      <c r="AE47" s="79"/>
      <c r="AF47" s="28">
        <v>8</v>
      </c>
      <c r="AG47" s="79"/>
      <c r="AH47" s="28">
        <v>8</v>
      </c>
      <c r="AI47" s="79"/>
      <c r="AJ47" s="28">
        <v>8</v>
      </c>
      <c r="AK47" s="79"/>
      <c r="AL47" s="28">
        <v>8</v>
      </c>
      <c r="AM47" s="79"/>
      <c r="AN47" s="28">
        <v>8</v>
      </c>
      <c r="AO47" s="79">
        <f>((($W$39)^Q47)*((1-($W$39))^($U$33-Q47))*HLOOKUP($U$33,$AV$24:$BF$34,Q47+1))*V47</f>
        <v>9.1600954724755864E-6</v>
      </c>
      <c r="AP47" s="28">
        <v>8</v>
      </c>
      <c r="AQ47" s="79">
        <f>((($W$39)^Q47)*((1-($W$39))^($U$34-Q47))*HLOOKUP($U$34,$AV$24:$BF$34,Q47+1))*V48</f>
        <v>1.8843490529287215E-5</v>
      </c>
      <c r="AR47" s="28">
        <v>8</v>
      </c>
      <c r="AS47" s="79">
        <f>((($W$39)^Q47)*((1-($W$39))^($U$35-Q47))*HLOOKUP($U$35,$AV$24:$BF$34,Q47+1))*V49</f>
        <v>1.0020756330555221E-5</v>
      </c>
      <c r="AV47" s="29">
        <v>9</v>
      </c>
      <c r="BE47">
        <v>1</v>
      </c>
      <c r="BF47">
        <f t="shared" si="38"/>
        <v>10</v>
      </c>
      <c r="BH47">
        <f>BH42+1</f>
        <v>5</v>
      </c>
      <c r="BI47">
        <v>9</v>
      </c>
      <c r="BJ47" s="107">
        <f>$H$30*H48</f>
        <v>2.7456711093524326E-6</v>
      </c>
      <c r="BP47">
        <f>BL12+1</f>
        <v>9</v>
      </c>
      <c r="BQ47">
        <v>8</v>
      </c>
      <c r="BR47" s="107">
        <f t="shared" si="35"/>
        <v>1.6617406559309728E-8</v>
      </c>
    </row>
    <row r="48" spans="1:70" ht="15" customHeight="1" thickBot="1" x14ac:dyDescent="0.3">
      <c r="A48" s="114" t="s">
        <v>112</v>
      </c>
      <c r="B48" s="114" t="s">
        <v>119</v>
      </c>
      <c r="C48" s="114" t="s">
        <v>117</v>
      </c>
      <c r="D48" s="115" t="s">
        <v>120</v>
      </c>
      <c r="E48" s="114" t="s">
        <v>115</v>
      </c>
      <c r="G48" s="91">
        <v>9</v>
      </c>
      <c r="H48" s="132">
        <f>J48*L39+J47*L40+J46*L41+J45*L42</f>
        <v>9.1000305034114154E-5</v>
      </c>
      <c r="I48" s="93">
        <v>9</v>
      </c>
      <c r="J48" s="86">
        <f t="shared" si="33"/>
        <v>1.9132285933550284E-6</v>
      </c>
      <c r="K48" s="95">
        <v>9</v>
      </c>
      <c r="L48" s="86"/>
      <c r="M48" s="85"/>
      <c r="N48" s="37"/>
      <c r="O48" s="37"/>
      <c r="P48" s="37"/>
      <c r="Q48" s="28">
        <v>9</v>
      </c>
      <c r="R48" s="37">
        <f>P44*N43+P43*N44</f>
        <v>3.7593060248444846E-2</v>
      </c>
      <c r="S48" s="72">
        <v>9</v>
      </c>
      <c r="T48" s="135">
        <f t="shared" si="37"/>
        <v>0</v>
      </c>
      <c r="U48" s="93">
        <v>9</v>
      </c>
      <c r="V48" s="86">
        <f>T48*R39+T47*R40+T46*R41+T45*R42+T44*R43+T43*R44+T42*R45+T41*R46+T40*R47+T39*R48</f>
        <v>3.8371641421510685E-2</v>
      </c>
      <c r="W48" s="137"/>
      <c r="X48" s="28">
        <v>9</v>
      </c>
      <c r="Y48" s="73"/>
      <c r="Z48" s="28">
        <v>9</v>
      </c>
      <c r="AA48" s="79"/>
      <c r="AB48" s="28">
        <v>9</v>
      </c>
      <c r="AC48" s="79"/>
      <c r="AD48" s="28">
        <v>9</v>
      </c>
      <c r="AE48" s="79"/>
      <c r="AF48" s="28">
        <v>9</v>
      </c>
      <c r="AG48" s="79"/>
      <c r="AH48" s="28">
        <v>9</v>
      </c>
      <c r="AI48" s="79"/>
      <c r="AJ48" s="28">
        <v>9</v>
      </c>
      <c r="AK48" s="79"/>
      <c r="AL48" s="28">
        <v>9</v>
      </c>
      <c r="AM48" s="79"/>
      <c r="AN48" s="28">
        <v>9</v>
      </c>
      <c r="AO48" s="79"/>
      <c r="AP48" s="28">
        <v>9</v>
      </c>
      <c r="AQ48" s="79">
        <f>((($W$39)^Q48)*((1-($W$39))^($U$34-Q48))*HLOOKUP($U$34,$AV$24:$BF$34,Q48+1))*V48</f>
        <v>9.2714162070969574E-7</v>
      </c>
      <c r="AR48" s="28">
        <v>9</v>
      </c>
      <c r="AS48" s="79">
        <f>((($W$39)^Q48)*((1-($W$39))^($U$35-Q48))*HLOOKUP($U$35,$AV$24:$BF$34,Q48+1))*V49</f>
        <v>9.8608697264533252E-7</v>
      </c>
      <c r="AV48" s="14">
        <v>10</v>
      </c>
      <c r="BF48">
        <f t="shared" si="38"/>
        <v>1</v>
      </c>
      <c r="BH48">
        <f>BH43+1</f>
        <v>5</v>
      </c>
      <c r="BI48">
        <v>10</v>
      </c>
      <c r="BJ48" s="107">
        <f>$H$30*H49</f>
        <v>2.4145881540910731E-7</v>
      </c>
    </row>
    <row r="49" spans="1:62" ht="15" customHeight="1" thickBot="1" x14ac:dyDescent="0.3">
      <c r="A49" s="114" t="s">
        <v>116</v>
      </c>
      <c r="B49" s="114" t="s">
        <v>119</v>
      </c>
      <c r="C49" s="114" t="s">
        <v>113</v>
      </c>
      <c r="D49" s="114" t="s">
        <v>121</v>
      </c>
      <c r="E49" s="114" t="s">
        <v>122</v>
      </c>
      <c r="G49" s="92">
        <v>10</v>
      </c>
      <c r="H49" s="133">
        <f>J49*L39+J48*L40+J47*L41+J46*L42</f>
        <v>8.0027159045232213E-6</v>
      </c>
      <c r="I49" s="94">
        <v>10</v>
      </c>
      <c r="J49" s="89">
        <f t="shared" si="33"/>
        <v>4.366590389940479E-8</v>
      </c>
      <c r="K49" s="96">
        <v>10</v>
      </c>
      <c r="L49" s="89"/>
      <c r="M49" s="85"/>
      <c r="N49" s="37"/>
      <c r="O49" s="37"/>
      <c r="P49" s="37"/>
      <c r="Q49" s="28">
        <v>10</v>
      </c>
      <c r="R49" s="37">
        <f>P44*N44</f>
        <v>5.5104476911282561E-3</v>
      </c>
      <c r="S49" s="72">
        <v>10</v>
      </c>
      <c r="T49" s="135">
        <f t="shared" si="37"/>
        <v>0</v>
      </c>
      <c r="U49" s="94">
        <v>10</v>
      </c>
      <c r="V49" s="89">
        <f>IF(((T49*R39+T48*R40+T47*R41+T46*R42+T45*R43+T44*R44+T43*R45+T42*R46+T41*R47+T40*R48+T39*R49)+V37)&lt;&gt;1,1-V37,(T49*R39+T48*R40+T47*R41+T46*R42+T45*R43+T44*R44+T43*R45+T42*R46+T41*R47+T40*R48+T39*R49))</f>
        <v>5.8883237008302558E-3</v>
      </c>
      <c r="W49" s="137"/>
      <c r="X49" s="28">
        <v>10</v>
      </c>
      <c r="Y49" s="73"/>
      <c r="Z49" s="28">
        <v>10</v>
      </c>
      <c r="AA49" s="79"/>
      <c r="AB49" s="28">
        <v>10</v>
      </c>
      <c r="AC49" s="79"/>
      <c r="AD49" s="28">
        <v>10</v>
      </c>
      <c r="AE49" s="79"/>
      <c r="AF49" s="28">
        <v>10</v>
      </c>
      <c r="AG49" s="79"/>
      <c r="AH49" s="28">
        <v>10</v>
      </c>
      <c r="AI49" s="79"/>
      <c r="AJ49" s="28">
        <v>10</v>
      </c>
      <c r="AK49" s="79"/>
      <c r="AL49" s="28">
        <v>10</v>
      </c>
      <c r="AM49" s="79"/>
      <c r="AN49" s="28">
        <v>10</v>
      </c>
      <c r="AO49" s="79"/>
      <c r="AP49" s="28">
        <v>10</v>
      </c>
      <c r="AQ49" s="79"/>
      <c r="AR49" s="28">
        <v>10</v>
      </c>
      <c r="AS49" s="79">
        <f>((($W$39)^Q49)*((1-($W$39))^($U$35-Q49))*HLOOKUP($U$35,$AV$24:$BF$34,Q49+1))*V49</f>
        <v>4.366590389940479E-8</v>
      </c>
      <c r="BH49">
        <f>BP14+1</f>
        <v>6</v>
      </c>
      <c r="BI49">
        <v>0</v>
      </c>
      <c r="BJ49" s="107">
        <f>$H$31*H39</f>
        <v>3.3800741193291918E-4</v>
      </c>
    </row>
    <row r="50" spans="1:62" ht="15.75" thickBot="1" x14ac:dyDescent="0.3">
      <c r="A50" s="116" t="s">
        <v>112</v>
      </c>
      <c r="B50" s="116" t="s">
        <v>123</v>
      </c>
      <c r="C50" s="116" t="s">
        <v>113</v>
      </c>
      <c r="D50" s="116" t="s">
        <v>124</v>
      </c>
      <c r="E50" s="116" t="s">
        <v>115</v>
      </c>
      <c r="G50" s="76"/>
      <c r="H50" s="77"/>
      <c r="I50" s="33"/>
      <c r="J50" s="33"/>
      <c r="K50" s="77"/>
      <c r="L50" s="77"/>
      <c r="M50" s="31"/>
      <c r="N50" s="31"/>
      <c r="O50" s="32"/>
      <c r="P50" s="32"/>
      <c r="Q50" s="32"/>
      <c r="R50" s="32"/>
      <c r="S50" s="76"/>
      <c r="T50" s="76"/>
      <c r="U50" s="76"/>
      <c r="V50" s="77"/>
      <c r="W50" s="33"/>
      <c r="X50" s="13"/>
      <c r="Y50" s="13"/>
      <c r="BH50">
        <f>BH45+1</f>
        <v>6</v>
      </c>
      <c r="BI50">
        <v>7</v>
      </c>
      <c r="BJ50" s="107">
        <f>$H$31*H46</f>
        <v>3.3437988531907175E-5</v>
      </c>
    </row>
    <row r="51" spans="1:62" ht="15.75" thickBot="1" x14ac:dyDescent="0.3">
      <c r="A51" s="116" t="s">
        <v>116</v>
      </c>
      <c r="B51" s="116" t="s">
        <v>123</v>
      </c>
      <c r="C51" s="116" t="s">
        <v>113</v>
      </c>
      <c r="D51" s="116" t="s">
        <v>125</v>
      </c>
      <c r="E51" s="116" t="s">
        <v>122</v>
      </c>
      <c r="BH51">
        <f>BH46+1</f>
        <v>6</v>
      </c>
      <c r="BI51">
        <v>8</v>
      </c>
      <c r="BJ51" s="107">
        <f>$H$31*H47</f>
        <v>5.576067397595809E-6</v>
      </c>
    </row>
    <row r="52" spans="1:62" x14ac:dyDescent="0.25">
      <c r="H52" s="107"/>
      <c r="BH52">
        <f>BH47+1</f>
        <v>6</v>
      </c>
      <c r="BI52">
        <v>9</v>
      </c>
      <c r="BJ52" s="107">
        <f>$H$31*H48</f>
        <v>6.8352693977266027E-7</v>
      </c>
    </row>
    <row r="53" spans="1:62" x14ac:dyDescent="0.25">
      <c r="BH53">
        <f>BH48+1</f>
        <v>6</v>
      </c>
      <c r="BI53">
        <v>10</v>
      </c>
      <c r="BJ53" s="107">
        <f>$H$31*H49</f>
        <v>6.0110478860902027E-8</v>
      </c>
    </row>
    <row r="54" spans="1:62" x14ac:dyDescent="0.25">
      <c r="BH54">
        <f>BH51+1</f>
        <v>7</v>
      </c>
      <c r="BI54">
        <v>8</v>
      </c>
      <c r="BJ54" s="107">
        <f>$H$32*H47</f>
        <v>1.0545472116643782E-6</v>
      </c>
    </row>
    <row r="55" spans="1:62" x14ac:dyDescent="0.25">
      <c r="BH55">
        <f>BH52+1</f>
        <v>7</v>
      </c>
      <c r="BI55">
        <v>9</v>
      </c>
      <c r="BJ55" s="107">
        <f>$H$32*H48</f>
        <v>1.2926877977578446E-7</v>
      </c>
    </row>
    <row r="56" spans="1:62" x14ac:dyDescent="0.25">
      <c r="BH56">
        <f>BH53+1</f>
        <v>7</v>
      </c>
      <c r="BI56">
        <v>10</v>
      </c>
      <c r="BJ56" s="107">
        <f>$H$32*H49</f>
        <v>1.1368108266034567E-8</v>
      </c>
    </row>
    <row r="57" spans="1:62" x14ac:dyDescent="0.25">
      <c r="BH57">
        <f>BH55+1</f>
        <v>8</v>
      </c>
      <c r="BI57">
        <v>9</v>
      </c>
      <c r="BJ57" s="107">
        <f>$H$33*H48</f>
        <v>1.8650914420705381E-8</v>
      </c>
    </row>
    <row r="58" spans="1:62" x14ac:dyDescent="0.25">
      <c r="BH58">
        <f>BH56+1</f>
        <v>8</v>
      </c>
      <c r="BI58">
        <v>10</v>
      </c>
      <c r="BJ58" s="107">
        <f>$H$33*H49</f>
        <v>1.6401919687250136E-9</v>
      </c>
    </row>
    <row r="59" spans="1:62" x14ac:dyDescent="0.25">
      <c r="BH59">
        <f t="shared" ref="BH59" si="39">BH58+1</f>
        <v>9</v>
      </c>
      <c r="BI59">
        <v>10</v>
      </c>
      <c r="BJ59" s="107">
        <f>$H$34*H49</f>
        <v>1.7913705026899095E-10</v>
      </c>
    </row>
  </sheetData>
  <mergeCells count="2">
    <mergeCell ref="P1:Q1"/>
    <mergeCell ref="B3:C3"/>
  </mergeCells>
  <conditionalFormatting sqref="V25:V35 V39:V49">
    <cfRule type="cellIs" dxfId="55" priority="14" operator="greaterThan">
      <formula>0.15</formula>
    </cfRule>
  </conditionalFormatting>
  <conditionalFormatting sqref="V35">
    <cfRule type="cellIs" dxfId="54" priority="13" operator="greaterThan">
      <formula>0.15</formula>
    </cfRule>
  </conditionalFormatting>
  <conditionalFormatting sqref="V49">
    <cfRule type="cellIs" dxfId="53" priority="12" operator="greaterThan">
      <formula>0.15</formula>
    </cfRule>
  </conditionalFormatting>
  <conditionalFormatting sqref="V25:V35 V39:V49">
    <cfRule type="cellIs" dxfId="52" priority="11" operator="greaterThan">
      <formula>0.15</formula>
    </cfRule>
  </conditionalFormatting>
  <conditionalFormatting sqref="V35">
    <cfRule type="cellIs" dxfId="51" priority="10" operator="greaterThan">
      <formula>0.15</formula>
    </cfRule>
  </conditionalFormatting>
  <conditionalFormatting sqref="V49">
    <cfRule type="cellIs" dxfId="50" priority="9" operator="greaterThan">
      <formula>0.15</formula>
    </cfRule>
  </conditionalFormatting>
  <conditionalFormatting sqref="H25:H35">
    <cfRule type="cellIs" dxfId="49" priority="8" operator="greaterThan">
      <formula>0.15</formula>
    </cfRule>
  </conditionalFormatting>
  <conditionalFormatting sqref="H35">
    <cfRule type="cellIs" dxfId="48" priority="7" operator="greaterThan">
      <formula>0.15</formula>
    </cfRule>
  </conditionalFormatting>
  <conditionalFormatting sqref="H25:H35">
    <cfRule type="cellIs" dxfId="47" priority="6" operator="greaterThan">
      <formula>0.15</formula>
    </cfRule>
  </conditionalFormatting>
  <conditionalFormatting sqref="H35">
    <cfRule type="cellIs" dxfId="46" priority="5" operator="greaterThan">
      <formula>0.15</formula>
    </cfRule>
  </conditionalFormatting>
  <conditionalFormatting sqref="H39:H49">
    <cfRule type="cellIs" dxfId="45" priority="4" operator="greaterThan">
      <formula>0.15</formula>
    </cfRule>
  </conditionalFormatting>
  <conditionalFormatting sqref="H49">
    <cfRule type="cellIs" dxfId="44" priority="3" operator="greaterThan">
      <formula>0.15</formula>
    </cfRule>
  </conditionalFormatting>
  <conditionalFormatting sqref="H39:H49">
    <cfRule type="cellIs" dxfId="43" priority="2" operator="greaterThan">
      <formula>0.15</formula>
    </cfRule>
  </conditionalFormatting>
  <conditionalFormatting sqref="H49">
    <cfRule type="cellIs" dxfId="42" priority="1" operator="greaterThan">
      <formula>0.15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R59"/>
  <sheetViews>
    <sheetView zoomScale="80" zoomScaleNormal="80" workbookViewId="0">
      <selection activeCell="Y5" sqref="Y5:Y19"/>
    </sheetView>
  </sheetViews>
  <sheetFormatPr baseColWidth="10" defaultColWidth="9.140625" defaultRowHeight="15" x14ac:dyDescent="0.25"/>
  <cols>
    <col min="1" max="1" width="22.7109375" bestFit="1" customWidth="1"/>
    <col min="2" max="3" width="9.140625" bestFit="1" customWidth="1"/>
    <col min="4" max="4" width="11.28515625" bestFit="1" customWidth="1"/>
    <col min="5" max="5" width="10.140625" bestFit="1" customWidth="1"/>
    <col min="6" max="6" width="4.85546875" bestFit="1" customWidth="1"/>
    <col min="7" max="7" width="6" bestFit="1" customWidth="1"/>
    <col min="8" max="8" width="9.140625" bestFit="1" customWidth="1"/>
    <col min="9" max="9" width="4.42578125" bestFit="1" customWidth="1"/>
    <col min="10" max="10" width="9.140625" bestFit="1" customWidth="1"/>
    <col min="11" max="11" width="6" bestFit="1" customWidth="1"/>
    <col min="12" max="12" width="9.140625" bestFit="1" customWidth="1"/>
    <col min="13" max="13" width="5.7109375" bestFit="1" customWidth="1"/>
    <col min="14" max="14" width="9.140625" bestFit="1" customWidth="1"/>
    <col min="15" max="15" width="7.140625" bestFit="1" customWidth="1"/>
    <col min="16" max="16" width="9.140625" bestFit="1" customWidth="1"/>
    <col min="17" max="17" width="8.85546875" bestFit="1" customWidth="1"/>
    <col min="18" max="18" width="9.140625" bestFit="1" customWidth="1"/>
    <col min="19" max="19" width="8.85546875" bestFit="1" customWidth="1"/>
    <col min="20" max="20" width="9.140625" bestFit="1" customWidth="1"/>
    <col min="21" max="21" width="8.85546875" bestFit="1" customWidth="1"/>
    <col min="22" max="22" width="9.140625" bestFit="1" customWidth="1"/>
    <col min="23" max="23" width="17.42578125" customWidth="1"/>
    <col min="24" max="24" width="7.140625" bestFit="1" customWidth="1"/>
    <col min="25" max="25" width="9.140625" bestFit="1" customWidth="1"/>
    <col min="26" max="26" width="8.7109375" bestFit="1" customWidth="1"/>
    <col min="27" max="27" width="8" bestFit="1" customWidth="1"/>
    <col min="28" max="28" width="10" customWidth="1"/>
    <col min="29" max="29" width="8.42578125" bestFit="1" customWidth="1"/>
    <col min="30" max="30" width="8.85546875" bestFit="1" customWidth="1"/>
    <col min="31" max="31" width="8.42578125" bestFit="1" customWidth="1"/>
    <col min="32" max="32" width="8.7109375" bestFit="1" customWidth="1"/>
    <col min="33" max="33" width="8.42578125" bestFit="1" customWidth="1"/>
    <col min="34" max="34" width="3.7109375" bestFit="1" customWidth="1"/>
    <col min="35" max="35" width="8.42578125" bestFit="1" customWidth="1"/>
    <col min="36" max="36" width="3.7109375" bestFit="1" customWidth="1"/>
    <col min="37" max="37" width="8.42578125" bestFit="1" customWidth="1"/>
    <col min="38" max="38" width="4.85546875" bestFit="1" customWidth="1"/>
    <col min="39" max="39" width="9.140625" bestFit="1" customWidth="1"/>
    <col min="42" max="42" width="4.5703125" bestFit="1" customWidth="1"/>
    <col min="43" max="43" width="8.42578125" bestFit="1" customWidth="1"/>
    <col min="44" max="44" width="5.42578125" bestFit="1" customWidth="1"/>
    <col min="45" max="45" width="8.42578125" bestFit="1" customWidth="1"/>
    <col min="46" max="46" width="2.28515625" bestFit="1" customWidth="1"/>
    <col min="47" max="47" width="3.42578125" bestFit="1" customWidth="1"/>
    <col min="48" max="48" width="4.28515625" bestFit="1" customWidth="1"/>
    <col min="49" max="52" width="3" bestFit="1" customWidth="1"/>
    <col min="53" max="56" width="3.42578125" bestFit="1" customWidth="1"/>
    <col min="57" max="58" width="4.42578125" bestFit="1" customWidth="1"/>
    <col min="60" max="60" width="2.42578125" bestFit="1" customWidth="1"/>
    <col min="61" max="61" width="3.42578125" bestFit="1" customWidth="1"/>
    <col min="62" max="62" width="6.140625" bestFit="1" customWidth="1"/>
    <col min="63" max="63" width="4.7109375" customWidth="1"/>
    <col min="64" max="65" width="3.42578125" bestFit="1" customWidth="1"/>
    <col min="66" max="66" width="6.140625" bestFit="1" customWidth="1"/>
    <col min="67" max="67" width="4.42578125" customWidth="1"/>
    <col min="68" max="69" width="2.42578125" bestFit="1" customWidth="1"/>
    <col min="70" max="70" width="5.28515625" bestFit="1" customWidth="1"/>
  </cols>
  <sheetData>
    <row r="1" spans="1:70" x14ac:dyDescent="0.25">
      <c r="A1" s="158" t="s">
        <v>142</v>
      </c>
      <c r="B1" t="s">
        <v>146</v>
      </c>
      <c r="F1" s="10" t="s">
        <v>123</v>
      </c>
      <c r="G1" s="70">
        <f>IF(D3="SI",COUNTIF($F$6:$F$18,"RAP"),0)</f>
        <v>0</v>
      </c>
      <c r="H1" s="70">
        <f>G1+G2+G3</f>
        <v>0</v>
      </c>
      <c r="J1" s="11" t="s">
        <v>123</v>
      </c>
      <c r="K1" s="70">
        <f>IF(D3="SI",COUNTIF($J$6:$J$18,"RAP"),0)</f>
        <v>0</v>
      </c>
      <c r="L1" s="70">
        <f>K1+K2+K3</f>
        <v>0</v>
      </c>
      <c r="M1" s="150">
        <f>L1+H1</f>
        <v>0</v>
      </c>
      <c r="P1" s="199" t="s">
        <v>135</v>
      </c>
      <c r="Q1" s="199"/>
      <c r="R1" s="152">
        <v>-0.12364059050405629</v>
      </c>
      <c r="S1" s="153">
        <f>1+R1</f>
        <v>0.87635940949594371</v>
      </c>
      <c r="U1" s="160" t="s">
        <v>145</v>
      </c>
      <c r="V1">
        <f>IF(B17="JC",IF(C17="JC",1.2,1.1),IF(C17="JC",1.1,1))</f>
        <v>1</v>
      </c>
      <c r="AF1">
        <f>COUNTA(J16:J18)</f>
        <v>0</v>
      </c>
    </row>
    <row r="2" spans="1:70" x14ac:dyDescent="0.25">
      <c r="A2" s="158" t="s">
        <v>143</v>
      </c>
      <c r="B2" t="s">
        <v>146</v>
      </c>
      <c r="F2" s="10" t="s">
        <v>21</v>
      </c>
      <c r="G2" s="70">
        <f>IF(D3="SI",COUNTIF($F$6:$F$18,"TEC"),0)</f>
        <v>0</v>
      </c>
      <c r="H2" s="13"/>
      <c r="J2" s="11" t="s">
        <v>21</v>
      </c>
      <c r="K2" s="70">
        <f>IF(D3="SI",COUNTIF($J$6:$J$18,"TEC"),0)</f>
        <v>0</v>
      </c>
      <c r="L2" s="13" t="s">
        <v>134</v>
      </c>
      <c r="M2" s="163" t="str">
        <f>IF(M1&lt;&gt;0,"SI","NO")</f>
        <v>NO</v>
      </c>
      <c r="O2" t="s">
        <v>148</v>
      </c>
      <c r="P2" s="165" t="s">
        <v>149</v>
      </c>
      <c r="R2" s="152">
        <v>7.3959748117051513E-2</v>
      </c>
      <c r="S2" s="153">
        <f>1+R2</f>
        <v>1.0739597481170515</v>
      </c>
      <c r="Y2" t="s">
        <v>148</v>
      </c>
      <c r="Z2" s="164" t="s">
        <v>149</v>
      </c>
    </row>
    <row r="3" spans="1:70" x14ac:dyDescent="0.25">
      <c r="A3" s="162" t="s">
        <v>108</v>
      </c>
      <c r="B3" s="200" t="s">
        <v>23</v>
      </c>
      <c r="C3" s="200"/>
      <c r="D3" t="str">
        <f>IF(B3="Sol","SI",IF(B3="Lluvia","SI","NO"))</f>
        <v>NO</v>
      </c>
      <c r="F3" s="10" t="s">
        <v>131</v>
      </c>
      <c r="G3" s="70">
        <f>IF(D3="SI",COUNTIF($F$6:$F$18,"POT"),0)</f>
        <v>0</v>
      </c>
      <c r="H3" s="13"/>
      <c r="J3" s="11" t="s">
        <v>131</v>
      </c>
      <c r="K3" s="70">
        <f>IF(D3="SI",COUNTIF($J$6:$J$18,"POT"),0)</f>
        <v>0</v>
      </c>
      <c r="L3" s="13"/>
      <c r="O3" t="s">
        <v>132</v>
      </c>
      <c r="P3" s="165" t="s">
        <v>138</v>
      </c>
      <c r="Q3" t="s">
        <v>133</v>
      </c>
      <c r="R3" s="165" t="s">
        <v>139</v>
      </c>
      <c r="Y3" t="s">
        <v>132</v>
      </c>
      <c r="Z3" s="164" t="s">
        <v>138</v>
      </c>
      <c r="AA3" t="s">
        <v>133</v>
      </c>
      <c r="AB3" s="164" t="s">
        <v>139</v>
      </c>
    </row>
    <row r="4" spans="1:70" ht="15.75" x14ac:dyDescent="0.25">
      <c r="A4" s="124"/>
      <c r="B4" s="8" t="s">
        <v>106</v>
      </c>
      <c r="C4" s="9" t="s">
        <v>107</v>
      </c>
      <c r="D4" s="13"/>
      <c r="E4" s="13"/>
      <c r="F4" s="8" t="s">
        <v>13</v>
      </c>
      <c r="G4" s="8" t="s">
        <v>128</v>
      </c>
      <c r="H4" s="8" t="s">
        <v>127</v>
      </c>
      <c r="I4" s="8" t="s">
        <v>129</v>
      </c>
      <c r="J4" s="9" t="s">
        <v>14</v>
      </c>
      <c r="K4" s="9" t="s">
        <v>128</v>
      </c>
      <c r="L4" s="9" t="s">
        <v>127</v>
      </c>
      <c r="M4" s="9" t="s">
        <v>129</v>
      </c>
      <c r="N4" s="13"/>
      <c r="O4" s="8" t="s">
        <v>28</v>
      </c>
      <c r="P4" s="8" t="s">
        <v>29</v>
      </c>
      <c r="Q4" s="8" t="s">
        <v>30</v>
      </c>
      <c r="R4" s="8" t="s">
        <v>70</v>
      </c>
      <c r="S4" s="8" t="s">
        <v>31</v>
      </c>
      <c r="T4" s="8" t="s">
        <v>32</v>
      </c>
      <c r="U4" s="8" t="s">
        <v>33</v>
      </c>
      <c r="V4" s="158"/>
      <c r="W4" s="125"/>
      <c r="X4" s="12" t="s">
        <v>72</v>
      </c>
      <c r="Y4" s="9" t="s">
        <v>28</v>
      </c>
      <c r="Z4" s="9" t="s">
        <v>29</v>
      </c>
      <c r="AA4" s="9" t="s">
        <v>34</v>
      </c>
      <c r="AB4" s="9" t="s">
        <v>35</v>
      </c>
      <c r="AC4" s="9" t="s">
        <v>31</v>
      </c>
      <c r="AD4" s="9" t="s">
        <v>32</v>
      </c>
      <c r="AE4" s="9" t="s">
        <v>33</v>
      </c>
      <c r="AF4" s="14"/>
      <c r="BH4">
        <v>0</v>
      </c>
      <c r="BI4">
        <v>1</v>
      </c>
      <c r="BJ4" s="107" t="e">
        <f t="shared" ref="BJ4:BJ13" si="0">$H$25*H40</f>
        <v>#DIV/0!</v>
      </c>
      <c r="BL4">
        <v>0</v>
      </c>
      <c r="BM4">
        <v>0</v>
      </c>
      <c r="BN4" s="107" t="e">
        <f>H25*H39</f>
        <v>#DIV/0!</v>
      </c>
      <c r="BP4">
        <v>1</v>
      </c>
      <c r="BQ4">
        <v>0</v>
      </c>
      <c r="BR4" s="107" t="e">
        <f>$H$26*H39</f>
        <v>#DIV/0!</v>
      </c>
    </row>
    <row r="5" spans="1:70" x14ac:dyDescent="0.25">
      <c r="A5" s="188" t="s">
        <v>140</v>
      </c>
      <c r="B5" s="159">
        <v>352</v>
      </c>
      <c r="C5" s="159">
        <v>352</v>
      </c>
      <c r="E5" s="192" t="s">
        <v>15</v>
      </c>
      <c r="F5" s="167"/>
      <c r="G5" s="167">
        <v>12</v>
      </c>
      <c r="H5" s="10"/>
      <c r="I5" s="10"/>
      <c r="J5" s="166"/>
      <c r="K5" s="166">
        <v>12</v>
      </c>
      <c r="L5" s="10"/>
      <c r="M5" s="10"/>
      <c r="O5" s="67">
        <f>COUNTIF(F5:F18,"IMP")*0.017</f>
        <v>0</v>
      </c>
      <c r="P5" s="16" t="str">
        <f>P3</f>
        <v>0,6</v>
      </c>
      <c r="Q5" s="16">
        <f>P5*O5</f>
        <v>0</v>
      </c>
      <c r="R5" s="157" t="e">
        <f>IF($M$2="SI",Q5*$B$22/0.5*$S$1,Q5*$B$22/0.5*$S$2)</f>
        <v>#DIV/0!</v>
      </c>
      <c r="S5" s="176" t="e">
        <f>(1-R5)</f>
        <v>#DIV/0!</v>
      </c>
      <c r="T5" s="177" t="e">
        <f>R5*PRODUCT(S6:S19)</f>
        <v>#DIV/0!</v>
      </c>
      <c r="U5" s="177" t="e">
        <f>R5*R6*PRODUCT(S7:S19)+R5*R7*PRODUCT(S8:S19)*PRODUCT(S6)+R5*R8*PRODUCT(S9:S19)*PRODUCT(S6:S7)+R5*R9*PRODUCT(S10:S19)*PRODUCT(S6:S8)+R5*R10*PRODUCT(S11:S19)*PRODUCT(S6:S9)+R5*R11*PRODUCT(S12:S19)*PRODUCT(S6:S10)+R5*R12*PRODUCT(S13:S19)*PRODUCT(S6:S11)+R5*R13*PRODUCT(S14:S19)*PRODUCT(S6:S12)+R5*R14*PRODUCT(S15:S19)*PRODUCT(S6:S13)+R5*R15*PRODUCT(S16:S19)*PRODUCT(S6:S14)+R5*R16*PRODUCT(S17:S19)*PRODUCT(S6:S15)+R5*R17*PRODUCT(S18:S19)*PRODUCT(S6:S16)+R5*R18*PRODUCT(S19)*PRODUCT(S6:S17)+R5*R19*PRODUCT(S6:S18)</f>
        <v>#DIV/0!</v>
      </c>
      <c r="V5" s="18"/>
      <c r="W5" s="186" t="s">
        <v>36</v>
      </c>
      <c r="X5" s="15" t="s">
        <v>37</v>
      </c>
      <c r="Y5" s="69">
        <f>COUNTIF(J5:J18,"IMP")*0.017</f>
        <v>0</v>
      </c>
      <c r="Z5" s="146" t="str">
        <f>Z3</f>
        <v>0,6</v>
      </c>
      <c r="AA5" s="19">
        <f>Z5*Y5</f>
        <v>0</v>
      </c>
      <c r="AB5" s="157" t="e">
        <f>IF($M$2="SI",AA5*$C$22/0.5*$S$1,AA5*$C$22/0.5*$S$2)</f>
        <v>#DIV/0!</v>
      </c>
      <c r="AC5" s="176" t="e">
        <f>(1-AB5)</f>
        <v>#DIV/0!</v>
      </c>
      <c r="AD5" s="177" t="e">
        <f>AB5*PRODUCT(AC6:AC19)</f>
        <v>#DIV/0!</v>
      </c>
      <c r="AE5" s="177" t="e">
        <f>AB5*AB6*PRODUCT(AC7:AC19)+AB5*AB7*PRODUCT(AC8:AC19)*PRODUCT(AC6)+AB5*AB8*PRODUCT(AC9:AC19)*PRODUCT(AC6:AC7)+AB5*AB9*PRODUCT(AC10:AC19)*PRODUCT(AC6:AC8)+AB5*AB10*PRODUCT(AC11:AC19)*PRODUCT(AC6:AC9)+AB5*AB11*PRODUCT(AC12:AC19)*PRODUCT(AC6:AC10)+AB5*AB12*PRODUCT(AC13:AC19)*PRODUCT(AC6:AC11)+AB5*AB13*PRODUCT(AC14:AC19)*PRODUCT(AC6:AC12)+AB5*AB14*PRODUCT(AC15:AC19)*PRODUCT(AC6:AC13)+AB5*AB15*PRODUCT(AC16:AC19)*PRODUCT(AC6:AC14)+AB5*AB16*PRODUCT(AC17:AC19)*PRODUCT(AC6:AC15)+AB5*AB17*PRODUCT(AC18:AC19)*PRODUCT(AC6:AC16)+AB5*AB18*PRODUCT(AC19)*PRODUCT(AC6:AC17)+AB5*AB19*PRODUCT(AC6:AC18)</f>
        <v>#DIV/0!</v>
      </c>
      <c r="AF5" s="18"/>
      <c r="BH5">
        <v>0</v>
      </c>
      <c r="BI5">
        <v>2</v>
      </c>
      <c r="BJ5" s="107" t="e">
        <f t="shared" si="0"/>
        <v>#DIV/0!</v>
      </c>
      <c r="BL5">
        <v>1</v>
      </c>
      <c r="BM5">
        <v>1</v>
      </c>
      <c r="BN5" s="107" t="e">
        <f>$H$26*H40</f>
        <v>#DIV/0!</v>
      </c>
      <c r="BP5">
        <f>BP4+1</f>
        <v>2</v>
      </c>
      <c r="BQ5">
        <v>0</v>
      </c>
      <c r="BR5" s="107" t="e">
        <f>$H$27*H39</f>
        <v>#DIV/0!</v>
      </c>
    </row>
    <row r="6" spans="1:70" x14ac:dyDescent="0.25">
      <c r="A6" s="2" t="s">
        <v>1</v>
      </c>
      <c r="B6" s="168"/>
      <c r="C6" s="169"/>
      <c r="E6" s="192" t="s">
        <v>17</v>
      </c>
      <c r="F6" s="167"/>
      <c r="G6" s="167"/>
      <c r="H6" s="10"/>
      <c r="I6" s="10"/>
      <c r="J6" s="166"/>
      <c r="K6" s="166"/>
      <c r="L6" s="10"/>
      <c r="M6" s="10"/>
      <c r="O6" s="67">
        <f>COUNTIF(F14:F18,"IMP")*0.017</f>
        <v>0</v>
      </c>
      <c r="P6" s="16" t="str">
        <f>P3</f>
        <v>0,6</v>
      </c>
      <c r="Q6" s="16">
        <f t="shared" ref="Q6:Q19" si="1">P6*O6</f>
        <v>0</v>
      </c>
      <c r="R6" s="157" t="e">
        <f>IF($M$2="SI",Q6*$B$22/0.5*$S$1,Q6*$B$22/0.5*$S$2)</f>
        <v>#DIV/0!</v>
      </c>
      <c r="S6" s="176" t="e">
        <f t="shared" ref="S6:S19" si="2">(1-R6)</f>
        <v>#DIV/0!</v>
      </c>
      <c r="T6" s="177" t="e">
        <f>R6*S5*PRODUCT(S7:S19)</f>
        <v>#DIV/0!</v>
      </c>
      <c r="U6" s="177" t="e">
        <f>R6*R7*PRODUCT(S8:S19)*PRODUCT(S5)+R6*R8*PRODUCT(S9:S19)*S5*PRODUCT(S7)+R6*R9*PRODUCT(S10:S19)*S5*PRODUCT(S7:S8)+R6*R10*PRODUCT(S11:S19)*S5*PRODUCT(S7:S9)+R6*R11*PRODUCT(S12:S19)*S5*PRODUCT(S7:S10)+R6*R12*PRODUCT(S13:S19)*S5*PRODUCT(S7:S11)+R6*R13*PRODUCT(S14:S19)*S5*PRODUCT(S7:S12)+R6*R14*PRODUCT(S15:S19)*S5*PRODUCT(S7:S13)+R6*R15*PRODUCT(S16:S19)*S5*PRODUCT(S7:S14)+R6*R16*PRODUCT(S17:S19)*S5*PRODUCT(S7:S15)+R6*R17*PRODUCT(S18:S19)*S5*PRODUCT(S7:S16)+R6*R18*PRODUCT(S19)*S5*PRODUCT(S7:S17)+R6*R19*S5*PRODUCT(S7:S18)</f>
        <v>#DIV/0!</v>
      </c>
      <c r="V6" s="18"/>
      <c r="W6" s="186" t="s">
        <v>38</v>
      </c>
      <c r="X6" s="15" t="s">
        <v>39</v>
      </c>
      <c r="Y6" s="69">
        <f>COUNTIF(J14:J18,"IMP")*0.017</f>
        <v>0</v>
      </c>
      <c r="Z6" s="146" t="str">
        <f>Z3</f>
        <v>0,6</v>
      </c>
      <c r="AA6" s="19">
        <f t="shared" ref="AA6:AA19" si="3">Z6*Y6</f>
        <v>0</v>
      </c>
      <c r="AB6" s="157" t="e">
        <f t="shared" ref="AB6:AB19" si="4">IF($M$2="SI",AA6*$C$22/0.5*$S$1,AA6*$C$22/0.5*$S$2)</f>
        <v>#DIV/0!</v>
      </c>
      <c r="AC6" s="176" t="e">
        <f t="shared" ref="AC6:AC19" si="5">(1-AB6)</f>
        <v>#DIV/0!</v>
      </c>
      <c r="AD6" s="177" t="e">
        <f>AB6*AC5*PRODUCT(AC7:AC19)</f>
        <v>#DIV/0!</v>
      </c>
      <c r="AE6" s="177" t="e">
        <f>AB6*AB7*PRODUCT(AC8:AC19)*PRODUCT(AC5)+AB6*AB8*PRODUCT(AC9:AC19)*AC5*PRODUCT(AC7)+AB6*AB9*PRODUCT(AC10:AC19)*AC5*PRODUCT(AC7:AC8)+AB6*AB10*PRODUCT(AC11:AC19)*AC5*PRODUCT(AC7:AC9)+AB6*AB11*PRODUCT(AC12:AC19)*AC5*PRODUCT(AC7:AC10)+AB6*AB12*PRODUCT(AC13:AC19)*AC5*PRODUCT(AC7:AC11)+AB6*AB13*PRODUCT(AC14:AC19)*AC5*PRODUCT(AC7:AC12)+AB6*AB14*PRODUCT(AC15:AC19)*AC5*PRODUCT(AC7:AC13)+AB6*AB15*PRODUCT(AC16:AC19)*AC5*PRODUCT(AC7:AC14)+AB6*AB16*PRODUCT(AC17:AC19)*AC5*PRODUCT(AC7:AC15)+AB6*AB17*PRODUCT(AC18:AC19)*AC5*PRODUCT(AC7:AC16)+AB6*AB18*PRODUCT(AC19)*AC5*PRODUCT(AC7:AC17)+AB6*AB19*AC5*PRODUCT(AC7:AC18)</f>
        <v>#DIV/0!</v>
      </c>
      <c r="AF6" s="18"/>
      <c r="BH6">
        <v>0</v>
      </c>
      <c r="BI6">
        <v>3</v>
      </c>
      <c r="BJ6" s="107" t="e">
        <f t="shared" si="0"/>
        <v>#DIV/0!</v>
      </c>
      <c r="BL6">
        <f>BH14+1</f>
        <v>2</v>
      </c>
      <c r="BM6">
        <v>2</v>
      </c>
      <c r="BN6" s="107" t="e">
        <f>$H$27*H41</f>
        <v>#DIV/0!</v>
      </c>
      <c r="BP6">
        <f>BL5+1</f>
        <v>2</v>
      </c>
      <c r="BQ6">
        <v>1</v>
      </c>
      <c r="BR6" s="107" t="e">
        <f>$H$27*H40</f>
        <v>#DIV/0!</v>
      </c>
    </row>
    <row r="7" spans="1:70" x14ac:dyDescent="0.25">
      <c r="A7" s="5" t="s">
        <v>2</v>
      </c>
      <c r="B7" s="168"/>
      <c r="C7" s="169"/>
      <c r="E7" s="192" t="s">
        <v>18</v>
      </c>
      <c r="F7" s="167"/>
      <c r="G7" s="167"/>
      <c r="H7" s="10"/>
      <c r="I7" s="10"/>
      <c r="J7" s="166"/>
      <c r="K7" s="166"/>
      <c r="L7" s="10"/>
      <c r="M7" s="10"/>
      <c r="O7" s="67">
        <v>0</v>
      </c>
      <c r="P7" s="144">
        <v>0.5</v>
      </c>
      <c r="Q7" s="16">
        <f t="shared" si="1"/>
        <v>0</v>
      </c>
      <c r="R7" s="157" t="e">
        <f t="shared" ref="R7:R19" si="6">IF($M$2="SI",Q7*$B$22/0.5*$S$1,Q7*$B$22/0.5*$S$2)</f>
        <v>#DIV/0!</v>
      </c>
      <c r="S7" s="176" t="e">
        <f t="shared" si="2"/>
        <v>#DIV/0!</v>
      </c>
      <c r="T7" s="177" t="e">
        <f>R7*PRODUCT(S5:S6)*PRODUCT(S8:S19)</f>
        <v>#DIV/0!</v>
      </c>
      <c r="U7" s="177" t="e">
        <f>R7*R8*PRODUCT(S9:S19)*PRODUCT(S5:S6)+R7*R9*PRODUCT(S10:S19)*PRODUCT(S5:S6)*PRODUCT(S8)+R7*R10*PRODUCT(S11:S19)*PRODUCT(S5:S6)*PRODUCT(S8:S9)+R7*R11*PRODUCT(S12:S19)*PRODUCT(S5:S6)*PRODUCT(S8:S10)+R7*R12*PRODUCT(S13:S19)*PRODUCT(S5:S6)*PRODUCT(S8:S11)+R7*R13*PRODUCT(S14:S19)*PRODUCT(S5:S6)*PRODUCT(S8:S12)+R7*R14*PRODUCT(S15:S19)*PRODUCT(S5:S6)*PRODUCT(S8:S13)+R7*R15*PRODUCT(S16:S19)*PRODUCT(S5:S6)*PRODUCT(S8:S14)+R7*R16*PRODUCT(S17:S19)*PRODUCT(S5:S6)*PRODUCT(S8:S15)+R7*R17*PRODUCT(S18:S19)*PRODUCT(S5:S6)*PRODUCT(S8:S16)+R7*R18*PRODUCT(S19)*PRODUCT(S5:S6)*PRODUCT(S8:S17)+R7*R19*PRODUCT(S5:S6)*PRODUCT(S8:S18)</f>
        <v>#DIV/0!</v>
      </c>
      <c r="W7" s="186" t="s">
        <v>40</v>
      </c>
      <c r="X7" s="15" t="s">
        <v>41</v>
      </c>
      <c r="Y7" s="69">
        <v>0</v>
      </c>
      <c r="Z7" s="146">
        <v>0.5</v>
      </c>
      <c r="AA7" s="19">
        <f t="shared" si="3"/>
        <v>0</v>
      </c>
      <c r="AB7" s="157" t="e">
        <f t="shared" si="4"/>
        <v>#DIV/0!</v>
      </c>
      <c r="AC7" s="176" t="e">
        <f t="shared" si="5"/>
        <v>#DIV/0!</v>
      </c>
      <c r="AD7" s="177" t="e">
        <f>AB7*PRODUCT(AC5:AC6)*PRODUCT(AC8:AC19)</f>
        <v>#DIV/0!</v>
      </c>
      <c r="AE7" s="177" t="e">
        <f>AB7*AB8*PRODUCT(AC9:AC19)*PRODUCT(AC5:AC6)+AB7*AB9*PRODUCT(AC10:AC19)*PRODUCT(AC5:AC6)*PRODUCT(AC8)+AB7*AB10*PRODUCT(AC11:AC19)*PRODUCT(AC5:AC6)*PRODUCT(AC8:AC9)+AB7*AB11*PRODUCT(AC12:AC19)*PRODUCT(AC5:AC6)*PRODUCT(AC8:AC10)+AB7*AB12*PRODUCT(AC13:AC19)*PRODUCT(AC5:AC6)*PRODUCT(AC8:AC11)+AB7*AB13*PRODUCT(AC14:AC19)*PRODUCT(AC5:AC6)*PRODUCT(AC8:AC12)+AB7*AB14*PRODUCT(AC15:AC19)*PRODUCT(AC5:AC6)*PRODUCT(AC8:AC13)+AB7*AB15*PRODUCT(AC16:AC19)*PRODUCT(AC5:AC6)*PRODUCT(AC8:AC14)+AB7*AB16*PRODUCT(AC17:AC19)*PRODUCT(AC5:AC6)*PRODUCT(AC8:AC15)+AB7*AB17*PRODUCT(AC18:AC19)*PRODUCT(AC5:AC6)*PRODUCT(AC8:AC16)+AB7*AB18*PRODUCT(AC19)*PRODUCT(AC5:AC6)*PRODUCT(AC8:AC17)+AB7*AB19*PRODUCT(AC5:AC6)*PRODUCT(AC8:AC18)</f>
        <v>#DIV/0!</v>
      </c>
      <c r="BH7">
        <v>0</v>
      </c>
      <c r="BI7">
        <v>4</v>
      </c>
      <c r="BJ7" s="107" t="e">
        <f t="shared" si="0"/>
        <v>#DIV/0!</v>
      </c>
      <c r="BL7">
        <f>BH23+1</f>
        <v>3</v>
      </c>
      <c r="BM7">
        <v>3</v>
      </c>
      <c r="BN7" s="107" t="e">
        <f>$H$28*H42</f>
        <v>#DIV/0!</v>
      </c>
      <c r="BP7">
        <f>BP5+1</f>
        <v>3</v>
      </c>
      <c r="BQ7">
        <v>0</v>
      </c>
      <c r="BR7" s="107" t="e">
        <f>$H$28*H39</f>
        <v>#DIV/0!</v>
      </c>
    </row>
    <row r="8" spans="1:70" x14ac:dyDescent="0.25">
      <c r="A8" s="5" t="s">
        <v>3</v>
      </c>
      <c r="B8" s="168"/>
      <c r="C8" s="169"/>
      <c r="E8" s="192" t="s">
        <v>18</v>
      </c>
      <c r="F8" s="167"/>
      <c r="G8" s="167"/>
      <c r="H8" s="10"/>
      <c r="I8" s="10"/>
      <c r="J8" s="166"/>
      <c r="K8" s="166"/>
      <c r="L8" s="10"/>
      <c r="M8" s="10"/>
      <c r="O8" s="67">
        <f>COUNTIF(F6:F18,"IMP")*0.01</f>
        <v>0</v>
      </c>
      <c r="P8" s="16" t="str">
        <f>P3</f>
        <v>0,6</v>
      </c>
      <c r="Q8" s="16">
        <f t="shared" si="1"/>
        <v>0</v>
      </c>
      <c r="R8" s="157" t="e">
        <f t="shared" si="6"/>
        <v>#DIV/0!</v>
      </c>
      <c r="S8" s="176" t="e">
        <f t="shared" si="2"/>
        <v>#DIV/0!</v>
      </c>
      <c r="T8" s="177" t="e">
        <f>R8*PRODUCT(S5:S7)*PRODUCT(S9:S19)</f>
        <v>#DIV/0!</v>
      </c>
      <c r="U8" s="177" t="e">
        <f>R8*R9*PRODUCT(S5:S7)*PRODUCT(S10:S19)+R8*R10*PRODUCT(S5:S7)*PRODUCT(S9)*PRODUCT(S11:S19)+R8*R11*PRODUCT(S5:S7)*PRODUCT(S9:S10)*PRODUCT(S12:S19)+R8*R12*PRODUCT(S5:S7)*PRODUCT(S9:S11)*PRODUCT(S13:S19)+R8*R13*PRODUCT(S5:S7)*PRODUCT(S9:S12)*PRODUCT(S14:S19)+R8*R14*PRODUCT(S5:S7)*PRODUCT(S9:S13)*PRODUCT(S15:S19)+R8*R15*PRODUCT(S5:S7)*PRODUCT(S9:S14)*PRODUCT(S16:S19)+R8*R16*PRODUCT(S5:S7)*PRODUCT(S9:S15)*PRODUCT(S17:S19)+R8*R17*PRODUCT(S5:S7)*PRODUCT(S9:S16)*PRODUCT(S18:S19)+R8*R18*PRODUCT(S5:S7)*PRODUCT(S9:S17)*PRODUCT(S19)+R8*R19*PRODUCT(S5:S7)*PRODUCT(S9:S18)</f>
        <v>#DIV/0!</v>
      </c>
      <c r="W8" s="186" t="s">
        <v>42</v>
      </c>
      <c r="X8" s="15" t="s">
        <v>43</v>
      </c>
      <c r="Y8" s="69">
        <f>COUNTIF(J6:J18,"IMP")*0.01</f>
        <v>0</v>
      </c>
      <c r="Z8" s="146" t="str">
        <f>Z3</f>
        <v>0,6</v>
      </c>
      <c r="AA8" s="19">
        <f t="shared" si="3"/>
        <v>0</v>
      </c>
      <c r="AB8" s="157" t="e">
        <f t="shared" si="4"/>
        <v>#DIV/0!</v>
      </c>
      <c r="AC8" s="176" t="e">
        <f t="shared" si="5"/>
        <v>#DIV/0!</v>
      </c>
      <c r="AD8" s="177" t="e">
        <f>AB8*PRODUCT(AC5:AC7)*PRODUCT(AC9:AC19)</f>
        <v>#DIV/0!</v>
      </c>
      <c r="AE8" s="177" t="e">
        <f>AB8*AB9*PRODUCT(AC5:AC7)*PRODUCT(AC10:AC19)+AB8*AB10*PRODUCT(AC5:AC7)*PRODUCT(AC9)*PRODUCT(AC11:AC19)+AB8*AB11*PRODUCT(AC5:AC7)*PRODUCT(AC9:AC10)*PRODUCT(AC12:AC19)+AB8*AB12*PRODUCT(AC5:AC7)*PRODUCT(AC9:AC11)*PRODUCT(AC13:AC19)+AB8*AB13*PRODUCT(AC5:AC7)*PRODUCT(AC9:AC12)*PRODUCT(AC14:AC19)+AB8*AB14*PRODUCT(AC5:AC7)*PRODUCT(AC9:AC13)*PRODUCT(AC15:AC19)+AB8*AB15*PRODUCT(AC5:AC7)*PRODUCT(AC9:AC14)*PRODUCT(AC16:AC19)+AB8*AB16*PRODUCT(AC5:AC7)*PRODUCT(AC9:AC15)*PRODUCT(AC17:AC19)+AB8*AB17*PRODUCT(AC5:AC7)*PRODUCT(AC9:AC16)*PRODUCT(AC18:AC19)+AB8*AB18*PRODUCT(AC5:AC7)*PRODUCT(AC9:AC17)*PRODUCT(AC19)+AB8*AB19*PRODUCT(AC5:AC7)*PRODUCT(AC9:AC18)</f>
        <v>#DIV/0!</v>
      </c>
      <c r="BH8">
        <v>0</v>
      </c>
      <c r="BI8">
        <v>5</v>
      </c>
      <c r="BJ8" s="107" t="e">
        <f t="shared" si="0"/>
        <v>#DIV/0!</v>
      </c>
      <c r="BL8">
        <f>BH31+1</f>
        <v>4</v>
      </c>
      <c r="BM8">
        <v>4</v>
      </c>
      <c r="BN8" s="107" t="e">
        <f>$H$29*H43</f>
        <v>#DIV/0!</v>
      </c>
      <c r="BP8">
        <f>BP6+1</f>
        <v>3</v>
      </c>
      <c r="BQ8">
        <v>1</v>
      </c>
      <c r="BR8" s="107" t="e">
        <f>$H$28*H40</f>
        <v>#DIV/0!</v>
      </c>
    </row>
    <row r="9" spans="1:70" x14ac:dyDescent="0.25">
      <c r="A9" s="5" t="s">
        <v>4</v>
      </c>
      <c r="B9" s="168"/>
      <c r="C9" s="169"/>
      <c r="E9" s="192" t="s">
        <v>18</v>
      </c>
      <c r="F9" s="167"/>
      <c r="G9" s="167"/>
      <c r="H9" s="10"/>
      <c r="I9" s="10"/>
      <c r="J9" s="166"/>
      <c r="K9" s="166"/>
      <c r="L9" s="10"/>
      <c r="M9" s="10"/>
      <c r="O9" s="67">
        <f>COUNTIF(J6:J13,"IMP")*0.025</f>
        <v>0</v>
      </c>
      <c r="P9" s="144">
        <v>0.5</v>
      </c>
      <c r="Q9" s="16">
        <f t="shared" si="1"/>
        <v>0</v>
      </c>
      <c r="R9" s="157" t="e">
        <f t="shared" si="6"/>
        <v>#DIV/0!</v>
      </c>
      <c r="S9" s="176" t="e">
        <f t="shared" si="2"/>
        <v>#DIV/0!</v>
      </c>
      <c r="T9" s="177" t="e">
        <f>R9*PRODUCT(S5:S8)*PRODUCT(S10:S19)</f>
        <v>#DIV/0!</v>
      </c>
      <c r="U9" s="177" t="e">
        <f>R9*R10*PRODUCT(S5:S8)*PRODUCT(S11:S19)+R9*R11*PRODUCT(S5:S8)*PRODUCT(S10)*PRODUCT(S12:S19)+R9*R12*PRODUCT(S5:S8)*PRODUCT(S10:S11)*PRODUCT(S13:S19)+R9*R13*PRODUCT(S5:S8)*PRODUCT(S10:S12)*PRODUCT(S14:S19)+R9*R14*PRODUCT(S5:S8)*PRODUCT(S10:S13)*PRODUCT(S15:S19)+R9*R15*PRODUCT(S5:S8)*PRODUCT(S10:S14)*PRODUCT(S16:S19)+R9*R16*PRODUCT(S5:S8)*PRODUCT(S10:S15)*PRODUCT(S17:S19)+R9*R17*PRODUCT(S5:S8)*PRODUCT(S10:S16)*PRODUCT(S18:S19)+R9*R18*PRODUCT(S5:S8)*PRODUCT(S10:S17)*PRODUCT(S19)+R9*R19*PRODUCT(S5:S8)*PRODUCT(S10:S18)</f>
        <v>#DIV/0!</v>
      </c>
      <c r="W9" s="187" t="s">
        <v>44</v>
      </c>
      <c r="X9" s="15" t="s">
        <v>45</v>
      </c>
      <c r="Y9" s="69">
        <f>COUNTIF(F6:F13,"IMP")*0.025</f>
        <v>0</v>
      </c>
      <c r="Z9" s="146">
        <v>0.5</v>
      </c>
      <c r="AA9" s="19">
        <f t="shared" si="3"/>
        <v>0</v>
      </c>
      <c r="AB9" s="157" t="e">
        <f t="shared" si="4"/>
        <v>#DIV/0!</v>
      </c>
      <c r="AC9" s="176" t="e">
        <f t="shared" si="5"/>
        <v>#DIV/0!</v>
      </c>
      <c r="AD9" s="177" t="e">
        <f>AB9*PRODUCT(AC5:AC8)*PRODUCT(AC10:AC19)</f>
        <v>#DIV/0!</v>
      </c>
      <c r="AE9" s="177" t="e">
        <f>AB9*AB10*PRODUCT(AC5:AC8)*PRODUCT(AC11:AC19)+AB9*AB11*PRODUCT(AC5:AC8)*PRODUCT(AC10)*PRODUCT(AC12:AC19)+AB9*AB12*PRODUCT(AC5:AC8)*PRODUCT(AC10:AC11)*PRODUCT(AC13:AC19)+AB9*AB13*PRODUCT(AC5:AC8)*PRODUCT(AC10:AC12)*PRODUCT(AC14:AC19)+AB9*AB14*PRODUCT(AC5:AC8)*PRODUCT(AC10:AC13)*PRODUCT(AC15:AC19)+AB9*AB15*PRODUCT(AC5:AC8)*PRODUCT(AC10:AC14)*PRODUCT(AC16:AC19)+AB9*AB16*PRODUCT(AC5:AC8)*PRODUCT(AC10:AC15)*PRODUCT(AC17:AC19)+AB9*AB17*PRODUCT(AC5:AC8)*PRODUCT(AC10:AC16)*PRODUCT(AC18:AC19)+AB9*AB18*PRODUCT(AC5:AC8)*PRODUCT(AC10:AC17)*PRODUCT(AC19)+AB9*AB19*PRODUCT(AC5:AC8)*PRODUCT(AC10:AC18)</f>
        <v>#DIV/0!</v>
      </c>
      <c r="BH9">
        <v>0</v>
      </c>
      <c r="BI9">
        <v>6</v>
      </c>
      <c r="BJ9" s="107" t="e">
        <f t="shared" si="0"/>
        <v>#DIV/0!</v>
      </c>
      <c r="BL9">
        <f>BH38+1</f>
        <v>5</v>
      </c>
      <c r="BM9">
        <v>5</v>
      </c>
      <c r="BN9" s="107" t="e">
        <f>$H$30*H44</f>
        <v>#DIV/0!</v>
      </c>
      <c r="BP9">
        <f>BL6+1</f>
        <v>3</v>
      </c>
      <c r="BQ9">
        <v>2</v>
      </c>
      <c r="BR9" s="107" t="e">
        <f>$H$28*H41</f>
        <v>#DIV/0!</v>
      </c>
    </row>
    <row r="10" spans="1:70" x14ac:dyDescent="0.25">
      <c r="A10" s="6" t="s">
        <v>5</v>
      </c>
      <c r="B10" s="168"/>
      <c r="C10" s="169"/>
      <c r="E10" s="192" t="s">
        <v>17</v>
      </c>
      <c r="F10" s="167"/>
      <c r="G10" s="167"/>
      <c r="H10" s="10"/>
      <c r="I10" s="10"/>
      <c r="J10" s="166"/>
      <c r="K10" s="166"/>
      <c r="L10" s="10"/>
      <c r="M10" s="10"/>
      <c r="O10" s="67">
        <f>COUNTIF(F14:F18,"RAP")*0.085</f>
        <v>0</v>
      </c>
      <c r="P10" s="16" t="str">
        <f>R3</f>
        <v>0,72</v>
      </c>
      <c r="Q10" s="16">
        <f t="shared" si="1"/>
        <v>0</v>
      </c>
      <c r="R10" s="157" t="e">
        <f t="shared" si="6"/>
        <v>#DIV/0!</v>
      </c>
      <c r="S10" s="176" t="e">
        <f t="shared" si="2"/>
        <v>#DIV/0!</v>
      </c>
      <c r="T10" s="177" t="e">
        <f>R10*PRODUCT(S5:S9)*PRODUCT(S11:S19)</f>
        <v>#DIV/0!</v>
      </c>
      <c r="U10" s="177" t="e">
        <f>R10*R11*PRODUCT(S5:S9)*PRODUCT(S12:S19)+R10*R12*PRODUCT(S5:S9)*S11*PRODUCT(S13:S19)+R10*R13*PRODUCT(S5:S9)*PRODUCT(S11:S12)*PRODUCT(S14:S19)+R10*R14*PRODUCT(S5:S9)*PRODUCT(S11:S13)*PRODUCT(S15:S19)+R10*R15*PRODUCT(S5:S9)*PRODUCT(S11:S14)*PRODUCT(S16:S19)+R10*R16*PRODUCT(S5:S9)*PRODUCT(S11:S15)*PRODUCT(S17:S19)+R10*R17*PRODUCT(S5:S9)*PRODUCT(S11:S16)*PRODUCT(S18:S19)+R10*R18*PRODUCT(S5:S9)*PRODUCT(S11:S17)*PRODUCT(S19)+R10*R19*PRODUCT(S5:S9)*PRODUCT(S11:S18)</f>
        <v>#DIV/0!</v>
      </c>
      <c r="W10" s="186" t="s">
        <v>46</v>
      </c>
      <c r="X10" s="15" t="s">
        <v>47</v>
      </c>
      <c r="Y10" s="69">
        <f>COUNTIF(J14:J18,"RAP")*0.085</f>
        <v>0</v>
      </c>
      <c r="Z10" s="146" t="str">
        <f>AB3</f>
        <v>0,72</v>
      </c>
      <c r="AA10" s="19">
        <f t="shared" si="3"/>
        <v>0</v>
      </c>
      <c r="AB10" s="157" t="e">
        <f t="shared" si="4"/>
        <v>#DIV/0!</v>
      </c>
      <c r="AC10" s="176" t="e">
        <f t="shared" si="5"/>
        <v>#DIV/0!</v>
      </c>
      <c r="AD10" s="177" t="e">
        <f>AB10*PRODUCT(AC5:AC9)*PRODUCT(AC11:AC19)</f>
        <v>#DIV/0!</v>
      </c>
      <c r="AE10" s="177" t="e">
        <f>AB10*AB11*PRODUCT(AC5:AC9)*PRODUCT(AC12:AC19)+AB10*AB12*PRODUCT(AC5:AC9)*AC11*PRODUCT(AC13:AC19)+AB10*AB13*PRODUCT(AC5:AC9)*PRODUCT(AC11:AC12)*PRODUCT(AC14:AC19)+AB10*AB14*PRODUCT(AC5:AC9)*PRODUCT(AC11:AC13)*PRODUCT(AC15:AC19)+AB10*AB15*PRODUCT(AC5:AC9)*PRODUCT(AC11:AC14)*PRODUCT(AC16:AC19)+AB10*AB16*PRODUCT(AC5:AC9)*PRODUCT(AC11:AC15)*PRODUCT(AC17:AC19)+AB10*AB17*PRODUCT(AC5:AC9)*PRODUCT(AC11:AC16)*PRODUCT(AC18:AC19)+AB10*AB18*PRODUCT(AC5:AC9)*PRODUCT(AC11:AC17)*PRODUCT(AC19)+AB10*AB19*PRODUCT(AC5:AC9)*PRODUCT(AC11:AC18)</f>
        <v>#DIV/0!</v>
      </c>
      <c r="BH10">
        <v>0</v>
      </c>
      <c r="BI10">
        <v>7</v>
      </c>
      <c r="BJ10" s="107" t="e">
        <f t="shared" si="0"/>
        <v>#DIV/0!</v>
      </c>
      <c r="BL10">
        <f>BH44+1</f>
        <v>6</v>
      </c>
      <c r="BM10">
        <v>6</v>
      </c>
      <c r="BN10" s="107" t="e">
        <f>$H$31*H45</f>
        <v>#DIV/0!</v>
      </c>
      <c r="BP10">
        <f>BP7+1</f>
        <v>4</v>
      </c>
      <c r="BQ10">
        <v>0</v>
      </c>
      <c r="BR10" s="107" t="e">
        <f>$H$29*H39</f>
        <v>#DIV/0!</v>
      </c>
    </row>
    <row r="11" spans="1:70" x14ac:dyDescent="0.25">
      <c r="A11" s="6" t="s">
        <v>6</v>
      </c>
      <c r="B11" s="168"/>
      <c r="C11" s="169"/>
      <c r="E11" s="192" t="s">
        <v>19</v>
      </c>
      <c r="F11" s="167"/>
      <c r="G11" s="167"/>
      <c r="H11" s="10"/>
      <c r="I11" s="10"/>
      <c r="J11" s="166"/>
      <c r="K11" s="166"/>
      <c r="L11" s="10"/>
      <c r="M11" s="10"/>
      <c r="O11" s="67">
        <f>IF(COUNTA(F16:F18)=0,0,COUNTIF(F14:F15,"RAP")*0.085)+IF(COUNTA(F17:F18)=0,0,COUNTIF(F16:F16,"RAP")*0.085)+IF(COUNTA(F16:F17)=0,0,COUNTIF(F18:F18,"RAP")*0.085)+IF(COUNTA(F16,F18)=0,0,COUNTIF(F17:F17,"RAP")*0.085)</f>
        <v>0</v>
      </c>
      <c r="P11" s="16" t="str">
        <f>R3</f>
        <v>0,72</v>
      </c>
      <c r="Q11" s="16">
        <f t="shared" si="1"/>
        <v>0</v>
      </c>
      <c r="R11" s="157" t="e">
        <f t="shared" si="6"/>
        <v>#DIV/0!</v>
      </c>
      <c r="S11" s="176" t="e">
        <f t="shared" si="2"/>
        <v>#DIV/0!</v>
      </c>
      <c r="T11" s="177" t="e">
        <f>R11*PRODUCT(S5:S10)*PRODUCT(S12:S19)</f>
        <v>#DIV/0!</v>
      </c>
      <c r="U11" s="177" t="e">
        <f>R11*R12*PRODUCT(S5:S10)*PRODUCT(S13:S19)+R11*R13*PRODUCT(S5:S10)*S12*PRODUCT(S14:S19)+R11*R14*PRODUCT(S5:S10)*PRODUCT(S12:S13)*PRODUCT(S15:S19)+R11*R15*PRODUCT(S5:S10)*PRODUCT(S12:S14)*PRODUCT(S16:S19)+R11*R16*PRODUCT(S5:S10)*PRODUCT(S12:S15)*PRODUCT(S17:S19)+R11*R17*PRODUCT(S5:S10)*PRODUCT(S12:S16)*PRODUCT(S18:S19)+R11*R18*PRODUCT(S5:S10)*PRODUCT(S12:S17)*PRODUCT(S19)+R11*R19*PRODUCT(S5:S10)*PRODUCT(S12:S18)</f>
        <v>#DIV/0!</v>
      </c>
      <c r="W11" s="186" t="s">
        <v>48</v>
      </c>
      <c r="X11" s="15" t="s">
        <v>49</v>
      </c>
      <c r="Y11" s="69">
        <f>IF(COUNTA(J16:J18)=0,0,COUNTIF(J14:J15,"RAP")*0.085)+IF(COUNTA(J17:J18)=0,0,COUNTIF(J16:J16,"RAP")*0.085)+IF(COUNTA(J16:J17)=0,0,COUNTIF(J18:J18,"RAP")*0.085)+IF(COUNTA(J16,J18)=0,0,COUNTIF(J17:J17,"RAP")*0.085)</f>
        <v>0</v>
      </c>
      <c r="Z11" s="146" t="str">
        <f>AB3</f>
        <v>0,72</v>
      </c>
      <c r="AA11" s="19">
        <f t="shared" si="3"/>
        <v>0</v>
      </c>
      <c r="AB11" s="157" t="e">
        <f t="shared" si="4"/>
        <v>#DIV/0!</v>
      </c>
      <c r="AC11" s="176" t="e">
        <f t="shared" si="5"/>
        <v>#DIV/0!</v>
      </c>
      <c r="AD11" s="177" t="e">
        <f>AB11*PRODUCT(AC5:AC10)*PRODUCT(AC12:AC19)</f>
        <v>#DIV/0!</v>
      </c>
      <c r="AE11" s="177" t="e">
        <f>AB11*AB12*PRODUCT(AC5:AC10)*PRODUCT(AC13:AC19)+AB11*AB13*PRODUCT(AC5:AC10)*AC12*PRODUCT(AC14:AC19)+AB11*AB14*PRODUCT(AC5:AC10)*PRODUCT(AC12:AC13)*PRODUCT(AC15:AC19)+AB11*AB15*PRODUCT(AC5:AC10)*PRODUCT(AC12:AC14)*PRODUCT(AC16:AC19)+AB11*AB16*PRODUCT(AC5:AC10)*PRODUCT(AC12:AC15)*PRODUCT(AC17:AC19)+AB11*AB17*PRODUCT(AC5:AC10)*PRODUCT(AC12:AC16)*PRODUCT(AC18:AC19)+AB11*AB18*PRODUCT(AC5:AC10)*PRODUCT(AC12:AC17)*PRODUCT(AC19)+AB11*AB19*PRODUCT(AC5:AC10)*PRODUCT(AC12:AC18)</f>
        <v>#DIV/0!</v>
      </c>
      <c r="BH11">
        <v>0</v>
      </c>
      <c r="BI11">
        <v>8</v>
      </c>
      <c r="BJ11" s="107" t="e">
        <f t="shared" si="0"/>
        <v>#DIV/0!</v>
      </c>
      <c r="BL11">
        <f>BH50+1</f>
        <v>7</v>
      </c>
      <c r="BM11">
        <v>7</v>
      </c>
      <c r="BN11" s="107" t="e">
        <f>$H$32*H46</f>
        <v>#DIV/0!</v>
      </c>
      <c r="BP11">
        <f>BP8+1</f>
        <v>4</v>
      </c>
      <c r="BQ11">
        <v>1</v>
      </c>
      <c r="BR11" s="107" t="e">
        <f>$H$29*H40</f>
        <v>#DIV/0!</v>
      </c>
    </row>
    <row r="12" spans="1:70" x14ac:dyDescent="0.25">
      <c r="A12" s="6" t="s">
        <v>7</v>
      </c>
      <c r="B12" s="168"/>
      <c r="C12" s="169"/>
      <c r="E12" s="192" t="s">
        <v>19</v>
      </c>
      <c r="F12" s="167"/>
      <c r="G12" s="167"/>
      <c r="H12" s="10"/>
      <c r="I12" s="10"/>
      <c r="J12" s="166"/>
      <c r="K12" s="166"/>
      <c r="L12" s="10"/>
      <c r="M12" s="10"/>
      <c r="O12" s="67"/>
      <c r="P12" s="144">
        <v>0.5</v>
      </c>
      <c r="Q12" s="16">
        <f t="shared" si="1"/>
        <v>0</v>
      </c>
      <c r="R12" s="157" t="e">
        <f t="shared" si="6"/>
        <v>#DIV/0!</v>
      </c>
      <c r="S12" s="176" t="e">
        <f t="shared" si="2"/>
        <v>#DIV/0!</v>
      </c>
      <c r="T12" s="177" t="e">
        <f>R12*PRODUCT(S5:S11)*PRODUCT(S13:S19)</f>
        <v>#DIV/0!</v>
      </c>
      <c r="U12" s="177" t="e">
        <f>R12*R13*PRODUCT(S5:S11)*PRODUCT(S14:S19)+R12*R14*PRODUCT(S5:S11)*S13*PRODUCT(S15:S19)+R12*R15*PRODUCT(S5:S11)*PRODUCT(S13:S14)*PRODUCT(S16:S19)+R12*R16*PRODUCT(S5:S11)*PRODUCT(S13:S15)*PRODUCT(S17:S19)+R12*R17*PRODUCT(S5:S11)*PRODUCT(S13:S16)*PRODUCT(S18:S19)+R12*R18*PRODUCT(S5:S11)*PRODUCT(S13:S17)*PRODUCT(S19)+R12*R19*PRODUCT(S5:S11)*PRODUCT(S13:S18)</f>
        <v>#DIV/0!</v>
      </c>
      <c r="W12" s="187" t="s">
        <v>50</v>
      </c>
      <c r="X12" s="15" t="s">
        <v>51</v>
      </c>
      <c r="Y12" s="69"/>
      <c r="Z12" s="146">
        <v>0.5</v>
      </c>
      <c r="AA12" s="19">
        <f t="shared" si="3"/>
        <v>0</v>
      </c>
      <c r="AB12" s="157" t="e">
        <f t="shared" si="4"/>
        <v>#DIV/0!</v>
      </c>
      <c r="AC12" s="176" t="e">
        <f t="shared" si="5"/>
        <v>#DIV/0!</v>
      </c>
      <c r="AD12" s="177" t="e">
        <f>AB12*PRODUCT(AC5:AC11)*PRODUCT(AC13:AC19)</f>
        <v>#DIV/0!</v>
      </c>
      <c r="AE12" s="177" t="e">
        <f>AB12*AB13*PRODUCT(AC5:AC11)*PRODUCT(AC14:AC19)+AB12*AB14*PRODUCT(AC5:AC11)*AC13*PRODUCT(AC15:AC19)+AB12*AB15*PRODUCT(AC5:AC11)*PRODUCT(AC13:AC14)*PRODUCT(AC16:AC19)+AB12*AB16*PRODUCT(AC5:AC11)*PRODUCT(AC13:AC15)*PRODUCT(AC17:AC19)+AB12*AB17*PRODUCT(AC5:AC11)*PRODUCT(AC13:AC16)*PRODUCT(AC18:AC19)+AB12*AB18*PRODUCT(AC5:AC11)*PRODUCT(AC13:AC17)*PRODUCT(AC19)+AB12*AB19*PRODUCT(AC5:AC11)*PRODUCT(AC13:AC18)</f>
        <v>#DIV/0!</v>
      </c>
      <c r="BH12">
        <v>0</v>
      </c>
      <c r="BI12">
        <v>9</v>
      </c>
      <c r="BJ12" s="107" t="e">
        <f t="shared" si="0"/>
        <v>#DIV/0!</v>
      </c>
      <c r="BL12">
        <f>BH54+1</f>
        <v>8</v>
      </c>
      <c r="BM12">
        <v>8</v>
      </c>
      <c r="BN12" s="107" t="e">
        <f>$H$33*H47</f>
        <v>#DIV/0!</v>
      </c>
      <c r="BP12">
        <f>BP9+1</f>
        <v>4</v>
      </c>
      <c r="BQ12">
        <v>2</v>
      </c>
      <c r="BR12" s="107" t="e">
        <f>$H$29*H41</f>
        <v>#DIV/0!</v>
      </c>
    </row>
    <row r="13" spans="1:70" x14ac:dyDescent="0.25">
      <c r="A13" s="7" t="s">
        <v>8</v>
      </c>
      <c r="B13" s="168">
        <v>11.75</v>
      </c>
      <c r="C13" s="169">
        <v>12.5</v>
      </c>
      <c r="E13" s="192" t="s">
        <v>19</v>
      </c>
      <c r="F13" s="167"/>
      <c r="G13" s="167"/>
      <c r="H13" s="10"/>
      <c r="I13" s="10"/>
      <c r="J13" s="166"/>
      <c r="K13" s="166"/>
      <c r="L13" s="10"/>
      <c r="M13" s="10"/>
      <c r="O13" s="67">
        <v>0.125</v>
      </c>
      <c r="P13" s="16" t="str">
        <f>P2</f>
        <v>0,4</v>
      </c>
      <c r="Q13" s="16">
        <f t="shared" si="1"/>
        <v>0.05</v>
      </c>
      <c r="R13" s="157" t="e">
        <f t="shared" si="6"/>
        <v>#DIV/0!</v>
      </c>
      <c r="S13" s="176" t="e">
        <f t="shared" si="2"/>
        <v>#DIV/0!</v>
      </c>
      <c r="T13" s="177" t="e">
        <f>R13*PRODUCT(S5:S12)*PRODUCT(S14:S19)</f>
        <v>#DIV/0!</v>
      </c>
      <c r="U13" s="177" t="e">
        <f>R13*R14*PRODUCT(S5:S12)*PRODUCT(S15:S19)+R13*R15*PRODUCT(S5:S12)*S14*PRODUCT(S16:S19)+R13*R16*PRODUCT(S5:S12)*PRODUCT(S14:S15)*PRODUCT(S17:S19)+R13*R17*PRODUCT(S5:S12)*PRODUCT(S14:S16)*PRODUCT(S18:S19)+R13*R18*PRODUCT(S5:S12)*PRODUCT(S14:S17)*PRODUCT(S19)+R13*R19*PRODUCT(S5:S12)*PRODUCT(S14:S18)</f>
        <v>#DIV/0!</v>
      </c>
      <c r="W13" s="186" t="s">
        <v>52</v>
      </c>
      <c r="X13" s="15" t="s">
        <v>53</v>
      </c>
      <c r="Y13" s="69">
        <v>0.125</v>
      </c>
      <c r="Z13" s="19" t="str">
        <f>Z2</f>
        <v>0,4</v>
      </c>
      <c r="AA13" s="19">
        <f t="shared" si="3"/>
        <v>0.05</v>
      </c>
      <c r="AB13" s="157" t="e">
        <f t="shared" si="4"/>
        <v>#DIV/0!</v>
      </c>
      <c r="AC13" s="176" t="e">
        <f t="shared" si="5"/>
        <v>#DIV/0!</v>
      </c>
      <c r="AD13" s="177" t="e">
        <f>AB13*PRODUCT(AC5:AC12)*PRODUCT(AC14:AC19)</f>
        <v>#DIV/0!</v>
      </c>
      <c r="AE13" s="177" t="e">
        <f>AB13*AB14*PRODUCT(AC5:AC12)*PRODUCT(AC15:AC19)+AB13*AB15*PRODUCT(AC5:AC12)*AC14*PRODUCT(AC16:AC19)+AB13*AB16*PRODUCT(AC5:AC12)*PRODUCT(AC14:AC15)*PRODUCT(AC17:AC19)+AB13*AB17*PRODUCT(AC5:AC12)*PRODUCT(AC14:AC16)*PRODUCT(AC18:AC19)+AB13*AB18*PRODUCT(AC5:AC12)*PRODUCT(AC14:AC17)*PRODUCT(AC19)+AB13*AB19*PRODUCT(AC5:AC12)*PRODUCT(AC14:AC18)</f>
        <v>#DIV/0!</v>
      </c>
      <c r="BH13">
        <v>0</v>
      </c>
      <c r="BI13">
        <v>10</v>
      </c>
      <c r="BJ13" s="107" t="e">
        <f t="shared" si="0"/>
        <v>#DIV/0!</v>
      </c>
      <c r="BL13">
        <f>BH57+1</f>
        <v>9</v>
      </c>
      <c r="BM13">
        <v>9</v>
      </c>
      <c r="BN13" s="107" t="e">
        <f>$H$34*H48</f>
        <v>#DIV/0!</v>
      </c>
      <c r="BP13">
        <f>BL7+1</f>
        <v>4</v>
      </c>
      <c r="BQ13">
        <v>3</v>
      </c>
      <c r="BR13" s="107" t="e">
        <f>$H$29*H42</f>
        <v>#DIV/0!</v>
      </c>
    </row>
    <row r="14" spans="1:70" x14ac:dyDescent="0.25">
      <c r="A14" s="7" t="s">
        <v>9</v>
      </c>
      <c r="B14" s="168">
        <v>9.25</v>
      </c>
      <c r="C14" s="169">
        <v>10.75</v>
      </c>
      <c r="E14" s="192" t="s">
        <v>20</v>
      </c>
      <c r="F14" s="167"/>
      <c r="G14" s="167"/>
      <c r="H14" s="10"/>
      <c r="I14" s="10"/>
      <c r="J14" s="166"/>
      <c r="K14" s="166"/>
      <c r="L14" s="10"/>
      <c r="M14" s="10"/>
      <c r="O14" s="67">
        <f>COUNTIF(F6:F18,"CAB")*0.095</f>
        <v>0</v>
      </c>
      <c r="P14" s="144">
        <v>0.95</v>
      </c>
      <c r="Q14" s="16">
        <f t="shared" si="1"/>
        <v>0</v>
      </c>
      <c r="R14" s="157" t="e">
        <f t="shared" si="6"/>
        <v>#DIV/0!</v>
      </c>
      <c r="S14" s="176" t="e">
        <f t="shared" si="2"/>
        <v>#DIV/0!</v>
      </c>
      <c r="T14" s="177" t="e">
        <f>R14*PRODUCT(S5:S13)*PRODUCT(S15:S19)</f>
        <v>#DIV/0!</v>
      </c>
      <c r="U14" s="177" t="e">
        <f>R14*R15*PRODUCT(S5:S13)*PRODUCT(S16:S19)+R14*R16*PRODUCT(S5:S13)*S15*PRODUCT(S17:S19)+R14*R17*PRODUCT(S5:S13)*PRODUCT(S15:S16)*PRODUCT(S18:S19)+R14*R18*PRODUCT(S5:S13)*PRODUCT(S15:S17)*PRODUCT(S19)+R14*R19*PRODUCT(S5:S13)*PRODUCT(S15:S18)</f>
        <v>#DIV/0!</v>
      </c>
      <c r="W14" s="186" t="s">
        <v>54</v>
      </c>
      <c r="X14" s="15" t="s">
        <v>55</v>
      </c>
      <c r="Y14" s="69">
        <f>COUNTIF(J6:J18,"CAB")*0.095</f>
        <v>0</v>
      </c>
      <c r="Z14" s="147">
        <v>0.95</v>
      </c>
      <c r="AA14" s="19">
        <f t="shared" si="3"/>
        <v>0</v>
      </c>
      <c r="AB14" s="157" t="e">
        <f t="shared" si="4"/>
        <v>#DIV/0!</v>
      </c>
      <c r="AC14" s="176" t="e">
        <f t="shared" si="5"/>
        <v>#DIV/0!</v>
      </c>
      <c r="AD14" s="177" t="e">
        <f>AB14*PRODUCT(AC5:AC13)*PRODUCT(AC15:AC19)</f>
        <v>#DIV/0!</v>
      </c>
      <c r="AE14" s="177" t="e">
        <f>AB14*AB15*PRODUCT(AC5:AC13)*PRODUCT(AC16:AC19)+AB14*AB16*PRODUCT(AC5:AC13)*AC15*PRODUCT(AC17:AC19)+AB14*AB17*PRODUCT(AC5:AC13)*PRODUCT(AC15:AC16)*PRODUCT(AC18:AC19)+AB14*AB18*PRODUCT(AC5:AC13)*PRODUCT(AC15:AC17)*PRODUCT(AC19)+AB14*AB19*PRODUCT(AC5:AC13)*PRODUCT(AC15:AC18)</f>
        <v>#DIV/0!</v>
      </c>
      <c r="BH14">
        <v>1</v>
      </c>
      <c r="BI14">
        <v>2</v>
      </c>
      <c r="BJ14" s="107" t="e">
        <f t="shared" ref="BJ14:BJ22" si="7">$H$26*H41</f>
        <v>#DIV/0!</v>
      </c>
      <c r="BL14">
        <f>BP39+1</f>
        <v>10</v>
      </c>
      <c r="BM14">
        <v>10</v>
      </c>
      <c r="BN14" s="107" t="e">
        <f>$H$35*H49</f>
        <v>#DIV/0!</v>
      </c>
      <c r="BP14">
        <f>BP10+1</f>
        <v>5</v>
      </c>
      <c r="BQ14">
        <v>0</v>
      </c>
      <c r="BR14" s="107" t="e">
        <f>$H$30*H39</f>
        <v>#DIV/0!</v>
      </c>
    </row>
    <row r="15" spans="1:70" x14ac:dyDescent="0.25">
      <c r="A15" s="189" t="s">
        <v>71</v>
      </c>
      <c r="B15" s="170">
        <v>7.75</v>
      </c>
      <c r="C15" s="171">
        <v>8.25</v>
      </c>
      <c r="E15" s="192" t="s">
        <v>20</v>
      </c>
      <c r="F15" s="167"/>
      <c r="G15" s="167"/>
      <c r="H15" s="10"/>
      <c r="I15" s="10"/>
      <c r="J15" s="166"/>
      <c r="K15" s="166"/>
      <c r="L15" s="10"/>
      <c r="M15" s="10"/>
      <c r="O15" s="67"/>
      <c r="P15" s="144">
        <v>0.5</v>
      </c>
      <c r="Q15" s="16">
        <f t="shared" si="1"/>
        <v>0</v>
      </c>
      <c r="R15" s="157" t="e">
        <f t="shared" si="6"/>
        <v>#DIV/0!</v>
      </c>
      <c r="S15" s="176" t="e">
        <f t="shared" si="2"/>
        <v>#DIV/0!</v>
      </c>
      <c r="T15" s="177" t="e">
        <f>R15*PRODUCT(S5:S14)*PRODUCT(S16:S19)</f>
        <v>#DIV/0!</v>
      </c>
      <c r="U15" s="177" t="e">
        <f>R15*R16*PRODUCT(S5:S14)*PRODUCT(S17:S19)+R15*R17*PRODUCT(S5:S14)*S16*PRODUCT(S18:S19)+R15*R18*PRODUCT(S5:S14)*S16*S17*S19+R15*R19*PRODUCT(S5:S14)*S16*S17*S18</f>
        <v>#DIV/0!</v>
      </c>
      <c r="W15" s="186" t="s">
        <v>56</v>
      </c>
      <c r="X15" s="15" t="s">
        <v>57</v>
      </c>
      <c r="Y15" s="69"/>
      <c r="Z15" s="146">
        <v>0.5</v>
      </c>
      <c r="AA15" s="19">
        <f t="shared" si="3"/>
        <v>0</v>
      </c>
      <c r="AB15" s="157" t="e">
        <f t="shared" si="4"/>
        <v>#DIV/0!</v>
      </c>
      <c r="AC15" s="176" t="e">
        <f t="shared" si="5"/>
        <v>#DIV/0!</v>
      </c>
      <c r="AD15" s="177" t="e">
        <f>AB15*PRODUCT(AC5:AC14)*PRODUCT(AC16:AC19)</f>
        <v>#DIV/0!</v>
      </c>
      <c r="AE15" s="177" t="e">
        <f>AB15*AB16*PRODUCT(AC5:AC14)*PRODUCT(AC17:AC19)+AB15*AB17*PRODUCT(AC5:AC14)*AC16*PRODUCT(AC18:AC19)+AB15*AB18*PRODUCT(AC5:AC14)*AC16*AC17*AC19+AB15*AB19*PRODUCT(AC5:AC14)*AC16*AC17*AC18</f>
        <v>#DIV/0!</v>
      </c>
      <c r="BH15">
        <v>1</v>
      </c>
      <c r="BI15">
        <v>3</v>
      </c>
      <c r="BJ15" s="107" t="e">
        <f t="shared" si="7"/>
        <v>#DIV/0!</v>
      </c>
      <c r="BP15">
        <f>BP11+1</f>
        <v>5</v>
      </c>
      <c r="BQ15">
        <v>1</v>
      </c>
      <c r="BR15" s="107" t="e">
        <f>$H$30*H40</f>
        <v>#DIV/0!</v>
      </c>
    </row>
    <row r="16" spans="1:70" x14ac:dyDescent="0.25">
      <c r="A16" s="189" t="s">
        <v>82</v>
      </c>
      <c r="B16" s="52">
        <f>AVERAGE(G5:G18)</f>
        <v>12</v>
      </c>
      <c r="C16" s="54">
        <f>AVERAGE(K5:K18)</f>
        <v>12</v>
      </c>
      <c r="E16" s="192" t="s">
        <v>22</v>
      </c>
      <c r="F16" s="167"/>
      <c r="G16" s="167"/>
      <c r="H16" s="10"/>
      <c r="I16" s="10"/>
      <c r="J16" s="166"/>
      <c r="K16" s="166"/>
      <c r="L16" s="10"/>
      <c r="M16" s="10"/>
      <c r="O16" s="67">
        <f>COUNTA(L6:L13)*0.03</f>
        <v>0</v>
      </c>
      <c r="P16" s="144">
        <v>0.25</v>
      </c>
      <c r="Q16" s="16">
        <f t="shared" si="1"/>
        <v>0</v>
      </c>
      <c r="R16" s="157" t="e">
        <f t="shared" si="6"/>
        <v>#DIV/0!</v>
      </c>
      <c r="S16" s="176" t="e">
        <f t="shared" si="2"/>
        <v>#DIV/0!</v>
      </c>
      <c r="T16" s="177" t="e">
        <f>R16*PRODUCT(S5:S15)*PRODUCT(S17:S19)</f>
        <v>#DIV/0!</v>
      </c>
      <c r="U16" s="177" t="e">
        <f>R16*R17*PRODUCT(S5:S15)*PRODUCT(S18:S19)+R16*R18*PRODUCT(S5:S15)*S17*S19+R16*R19*PRODUCT(S5:S15)*S17*S18</f>
        <v>#DIV/0!</v>
      </c>
      <c r="W16" s="187" t="s">
        <v>58</v>
      </c>
      <c r="X16" s="15" t="s">
        <v>59</v>
      </c>
      <c r="Y16" s="69">
        <f>COUNTA(H6:H13)*0.03</f>
        <v>0</v>
      </c>
      <c r="Z16" s="146">
        <v>0.25</v>
      </c>
      <c r="AA16" s="19">
        <f t="shared" si="3"/>
        <v>0</v>
      </c>
      <c r="AB16" s="157" t="e">
        <f t="shared" si="4"/>
        <v>#DIV/0!</v>
      </c>
      <c r="AC16" s="176" t="e">
        <f t="shared" si="5"/>
        <v>#DIV/0!</v>
      </c>
      <c r="AD16" s="177" t="e">
        <f>AB16*PRODUCT(AC5:AC15)*PRODUCT(AC17:AC19)</f>
        <v>#DIV/0!</v>
      </c>
      <c r="AE16" s="177" t="e">
        <f>AB16*AB17*PRODUCT(AC5:AC15)*PRODUCT(AC18:AC19)+AB16*AB18*PRODUCT(AC5:AC15)*AC17*AC19+AB16*AB19*PRODUCT(AC5:AC15)*AC17*AC18</f>
        <v>#DIV/0!</v>
      </c>
      <c r="BH16">
        <v>1</v>
      </c>
      <c r="BI16">
        <v>4</v>
      </c>
      <c r="BJ16" s="107" t="e">
        <f t="shared" si="7"/>
        <v>#DIV/0!</v>
      </c>
      <c r="BP16">
        <f>BP12+1</f>
        <v>5</v>
      </c>
      <c r="BQ16">
        <v>2</v>
      </c>
      <c r="BR16" s="107" t="e">
        <f>$H$30*H41</f>
        <v>#DIV/0!</v>
      </c>
    </row>
    <row r="17" spans="1:70" x14ac:dyDescent="0.25">
      <c r="A17" s="188" t="s">
        <v>10</v>
      </c>
      <c r="B17" s="172" t="s">
        <v>11</v>
      </c>
      <c r="C17" s="173" t="s">
        <v>11</v>
      </c>
      <c r="E17" s="192" t="s">
        <v>22</v>
      </c>
      <c r="F17" s="167"/>
      <c r="G17" s="167"/>
      <c r="H17" s="10"/>
      <c r="I17" s="10"/>
      <c r="J17" s="166"/>
      <c r="K17" s="166"/>
      <c r="L17" s="10"/>
      <c r="M17" s="10"/>
      <c r="O17" s="67">
        <f>(0.02*2)*IF(COUNTBLANK(F14:F15)&lt;&gt;0, (2-COUNTBLANK(F14:F15))/2,1)</f>
        <v>0</v>
      </c>
      <c r="P17" s="16" t="str">
        <f>P3</f>
        <v>0,6</v>
      </c>
      <c r="Q17" s="16">
        <f t="shared" si="1"/>
        <v>0</v>
      </c>
      <c r="R17" s="157" t="e">
        <f t="shared" si="6"/>
        <v>#DIV/0!</v>
      </c>
      <c r="S17" s="176" t="e">
        <f t="shared" si="2"/>
        <v>#DIV/0!</v>
      </c>
      <c r="T17" s="177" t="e">
        <f>R17*PRODUCT(S5:S16)*PRODUCT(S18:S19)</f>
        <v>#DIV/0!</v>
      </c>
      <c r="U17" s="177" t="e">
        <f>R17*R18*PRODUCT(S5:S16)*S19+R17*R19*PRODUCT(S5:S16)*S18</f>
        <v>#DIV/0!</v>
      </c>
      <c r="W17" s="186" t="s">
        <v>60</v>
      </c>
      <c r="X17" s="15" t="s">
        <v>61</v>
      </c>
      <c r="Y17" s="69">
        <f>(0.02*2)*IF(COUNTBLANK(J14:J15)&lt;&gt;0, (2-COUNTBLANK(J14:J15))/2,1)</f>
        <v>0</v>
      </c>
      <c r="Z17" s="146" t="str">
        <f>Z3</f>
        <v>0,6</v>
      </c>
      <c r="AA17" s="19">
        <f t="shared" si="3"/>
        <v>0</v>
      </c>
      <c r="AB17" s="157" t="e">
        <f t="shared" si="4"/>
        <v>#DIV/0!</v>
      </c>
      <c r="AC17" s="176" t="e">
        <f t="shared" si="5"/>
        <v>#DIV/0!</v>
      </c>
      <c r="AD17" s="177" t="e">
        <f>AB17*PRODUCT(AC5:AC16)*PRODUCT(AC18:AC19)</f>
        <v>#DIV/0!</v>
      </c>
      <c r="AE17" s="177" t="e">
        <f>AB17*AB18*PRODUCT(AC5:AC16)*AC19+AB17*AB19*PRODUCT(AC5:AC16)*AC18</f>
        <v>#DIV/0!</v>
      </c>
      <c r="BH17">
        <v>1</v>
      </c>
      <c r="BI17">
        <v>5</v>
      </c>
      <c r="BJ17" s="107" t="e">
        <f t="shared" si="7"/>
        <v>#DIV/0!</v>
      </c>
      <c r="BP17">
        <f>BP13+1</f>
        <v>5</v>
      </c>
      <c r="BQ17">
        <v>3</v>
      </c>
      <c r="BR17" s="107" t="e">
        <f>$H$30*H42</f>
        <v>#DIV/0!</v>
      </c>
    </row>
    <row r="18" spans="1:70" x14ac:dyDescent="0.25">
      <c r="A18" s="188" t="s">
        <v>12</v>
      </c>
      <c r="B18" s="172">
        <v>20</v>
      </c>
      <c r="C18" s="173">
        <v>20</v>
      </c>
      <c r="E18" s="192" t="s">
        <v>22</v>
      </c>
      <c r="F18" s="167"/>
      <c r="G18" s="167"/>
      <c r="H18" s="10"/>
      <c r="I18" s="10"/>
      <c r="J18" s="166"/>
      <c r="K18" s="166"/>
      <c r="L18" s="10"/>
      <c r="M18" s="10"/>
      <c r="O18" s="67">
        <v>0</v>
      </c>
      <c r="P18" s="144">
        <v>0.5</v>
      </c>
      <c r="Q18" s="16">
        <f t="shared" si="1"/>
        <v>0</v>
      </c>
      <c r="R18" s="157" t="e">
        <f t="shared" si="6"/>
        <v>#DIV/0!</v>
      </c>
      <c r="S18" s="176" t="e">
        <f t="shared" si="2"/>
        <v>#DIV/0!</v>
      </c>
      <c r="T18" s="177" t="e">
        <f>R18*PRODUCT(S5:S17)*PRODUCT(S19:S19)</f>
        <v>#DIV/0!</v>
      </c>
      <c r="U18" s="177" t="e">
        <f>R18*R19*PRODUCT(S5:S17)</f>
        <v>#DIV/0!</v>
      </c>
      <c r="W18" s="186" t="s">
        <v>62</v>
      </c>
      <c r="X18" s="15" t="s">
        <v>63</v>
      </c>
      <c r="Y18" s="69">
        <v>0</v>
      </c>
      <c r="Z18" s="146">
        <v>0.5</v>
      </c>
      <c r="AA18" s="19">
        <f t="shared" si="3"/>
        <v>0</v>
      </c>
      <c r="AB18" s="157" t="e">
        <f t="shared" si="4"/>
        <v>#DIV/0!</v>
      </c>
      <c r="AC18" s="176" t="e">
        <f t="shared" si="5"/>
        <v>#DIV/0!</v>
      </c>
      <c r="AD18" s="177" t="e">
        <f>AB18*PRODUCT(AC5:AC17)*PRODUCT(AC19:AC19)</f>
        <v>#DIV/0!</v>
      </c>
      <c r="AE18" s="177" t="e">
        <f>AB18*AB19*PRODUCT(AC5:AC17)</f>
        <v>#DIV/0!</v>
      </c>
      <c r="BH18">
        <v>1</v>
      </c>
      <c r="BI18">
        <v>6</v>
      </c>
      <c r="BJ18" s="107" t="e">
        <f t="shared" si="7"/>
        <v>#DIV/0!</v>
      </c>
      <c r="BP18">
        <f>BL8+1</f>
        <v>5</v>
      </c>
      <c r="BQ18">
        <v>4</v>
      </c>
      <c r="BR18" s="107" t="e">
        <f>$H$30*H43</f>
        <v>#DIV/0!</v>
      </c>
    </row>
    <row r="19" spans="1:70" x14ac:dyDescent="0.25">
      <c r="H19" s="13" t="s">
        <v>141</v>
      </c>
      <c r="L19" s="13" t="s">
        <v>141</v>
      </c>
      <c r="O19" s="67">
        <f>COUNTIF(F14:F18,"TEC")*0.06*IF(COUNTIF(J6:J13,"CAB")&lt;&gt;0,1,0)</f>
        <v>0</v>
      </c>
      <c r="P19" s="16" t="str">
        <f>P3</f>
        <v>0,6</v>
      </c>
      <c r="Q19" s="16">
        <f t="shared" si="1"/>
        <v>0</v>
      </c>
      <c r="R19" s="157" t="e">
        <f t="shared" si="6"/>
        <v>#DIV/0!</v>
      </c>
      <c r="S19" s="178" t="e">
        <f t="shared" si="2"/>
        <v>#DIV/0!</v>
      </c>
      <c r="T19" s="179" t="e">
        <f>R19*PRODUCT(S5:S18)</f>
        <v>#DIV/0!</v>
      </c>
      <c r="U19" s="179">
        <v>0</v>
      </c>
      <c r="V19" s="1" t="s">
        <v>66</v>
      </c>
      <c r="W19" s="186" t="s">
        <v>64</v>
      </c>
      <c r="X19" s="15" t="s">
        <v>65</v>
      </c>
      <c r="Y19" s="69">
        <f>COUNTIF(J14:J18,"TEC")*0.06*IF(COUNTIF(F6:F13,"CAB")&lt;&gt;0,1,0)</f>
        <v>0</v>
      </c>
      <c r="Z19" s="146" t="str">
        <f>Z3</f>
        <v>0,6</v>
      </c>
      <c r="AA19" s="19">
        <f t="shared" si="3"/>
        <v>0</v>
      </c>
      <c r="AB19" s="157" t="e">
        <f t="shared" si="4"/>
        <v>#DIV/0!</v>
      </c>
      <c r="AC19" s="178" t="e">
        <f t="shared" si="5"/>
        <v>#DIV/0!</v>
      </c>
      <c r="AD19" s="179" t="e">
        <f>AB19*PRODUCT(AC5:AC18)</f>
        <v>#DIV/0!</v>
      </c>
      <c r="AE19" s="179">
        <v>0</v>
      </c>
      <c r="AF19" s="1" t="s">
        <v>66</v>
      </c>
      <c r="BH19">
        <v>1</v>
      </c>
      <c r="BI19">
        <v>7</v>
      </c>
      <c r="BJ19" s="107" t="e">
        <f t="shared" si="7"/>
        <v>#DIV/0!</v>
      </c>
      <c r="BP19">
        <f>BP15+1</f>
        <v>6</v>
      </c>
      <c r="BQ19">
        <v>1</v>
      </c>
      <c r="BR19" s="107" t="e">
        <f>$H$31*H40</f>
        <v>#DIV/0!</v>
      </c>
    </row>
    <row r="20" spans="1:70" x14ac:dyDescent="0.25">
      <c r="A20" s="190" t="s">
        <v>81</v>
      </c>
      <c r="B20">
        <f>IF(B17="Pres",IF(C17="Pres",2,1),IF(C17="Pres",1,0))</f>
        <v>0</v>
      </c>
      <c r="D20" s="36"/>
      <c r="O20" s="22"/>
      <c r="P20" s="22"/>
      <c r="Q20" s="22"/>
      <c r="S20" s="180" t="e">
        <f>PRODUCT(S5:S19)</f>
        <v>#DIV/0!</v>
      </c>
      <c r="T20" s="181" t="e">
        <f>SUM(T5:T19)</f>
        <v>#DIV/0!</v>
      </c>
      <c r="U20" s="181" t="e">
        <f>SUM(U5:U19)</f>
        <v>#DIV/0!</v>
      </c>
      <c r="V20" s="181" t="e">
        <f>1-S20-T20-U20</f>
        <v>#DIV/0!</v>
      </c>
      <c r="W20" s="21"/>
      <c r="X20" s="22"/>
      <c r="Y20" s="22"/>
      <c r="Z20" s="22"/>
      <c r="AA20" s="22"/>
      <c r="AB20" s="23"/>
      <c r="AC20" s="184" t="e">
        <f>PRODUCT(AC5:AC19)</f>
        <v>#DIV/0!</v>
      </c>
      <c r="AD20" s="181" t="e">
        <f>SUM(AD5:AD19)</f>
        <v>#DIV/0!</v>
      </c>
      <c r="AE20" s="181" t="e">
        <f>SUM(AE5:AE19)</f>
        <v>#DIV/0!</v>
      </c>
      <c r="AF20" s="181" t="e">
        <f>1-AC20-AD20-AE20</f>
        <v>#DIV/0!</v>
      </c>
      <c r="BH20">
        <v>1</v>
      </c>
      <c r="BI20">
        <v>8</v>
      </c>
      <c r="BJ20" s="107" t="e">
        <f t="shared" si="7"/>
        <v>#DIV/0!</v>
      </c>
      <c r="BP20">
        <f>BP16+1</f>
        <v>6</v>
      </c>
      <c r="BQ20">
        <v>2</v>
      </c>
      <c r="BR20" s="107" t="e">
        <f>$H$31*H41</f>
        <v>#DIV/0!</v>
      </c>
    </row>
    <row r="21" spans="1:70" x14ac:dyDescent="0.25">
      <c r="A21" s="190" t="s">
        <v>78</v>
      </c>
      <c r="B21" s="191">
        <f>5-B20</f>
        <v>5</v>
      </c>
      <c r="C21" s="35"/>
      <c r="D21" s="24"/>
      <c r="E21" s="24"/>
      <c r="O21" s="22"/>
      <c r="P21" s="22"/>
      <c r="Q21" s="22"/>
      <c r="S21" s="182" t="e">
        <f>1-T21-U21-V21</f>
        <v>#DIV/0!</v>
      </c>
      <c r="T21" s="183" t="e">
        <f>T20*V1</f>
        <v>#DIV/0!</v>
      </c>
      <c r="U21" s="183" t="e">
        <f>U20*V1</f>
        <v>#DIV/0!</v>
      </c>
      <c r="V21" s="183" t="e">
        <f>V20*V1</f>
        <v>#DIV/0!</v>
      </c>
      <c r="W21" s="21"/>
      <c r="X21" s="22"/>
      <c r="Y21" s="22"/>
      <c r="Z21" s="22"/>
      <c r="AA21" s="22"/>
      <c r="AB21" s="23"/>
      <c r="AC21" s="185" t="e">
        <f>1-AD21-AE21-AF21</f>
        <v>#DIV/0!</v>
      </c>
      <c r="AD21" s="183" t="e">
        <f>AD20*V1</f>
        <v>#DIV/0!</v>
      </c>
      <c r="AE21" s="183" t="e">
        <f>AE20*V1</f>
        <v>#DIV/0!</v>
      </c>
      <c r="AF21" s="183" t="e">
        <f>AF20*V1</f>
        <v>#DIV/0!</v>
      </c>
      <c r="BH21" s="18">
        <v>1</v>
      </c>
      <c r="BI21">
        <v>9</v>
      </c>
      <c r="BJ21" s="107" t="e">
        <f t="shared" si="7"/>
        <v>#DIV/0!</v>
      </c>
      <c r="BP21">
        <f>BP17+1</f>
        <v>6</v>
      </c>
      <c r="BQ21">
        <v>3</v>
      </c>
      <c r="BR21" s="107" t="e">
        <f>$H$31*H42</f>
        <v>#DIV/0!</v>
      </c>
    </row>
    <row r="22" spans="1:70" x14ac:dyDescent="0.25">
      <c r="A22" s="26" t="s">
        <v>77</v>
      </c>
      <c r="B22" s="62" t="e">
        <f>(B6)/((B6)+(C6))</f>
        <v>#DIV/0!</v>
      </c>
      <c r="C22" s="63" t="e">
        <f>1-B22</f>
        <v>#DIV/0!</v>
      </c>
      <c r="D22" s="24"/>
      <c r="E22" s="24"/>
      <c r="V22" s="59" t="e">
        <f>SUM(V25:V35)</f>
        <v>#DIV/0!</v>
      </c>
      <c r="AS22" s="82" t="e">
        <f>Y23+AA23+AC23+AE23+AG23+AI23+AK23+AM23+AO23+AQ23+AS23</f>
        <v>#DIV/0!</v>
      </c>
      <c r="BH22">
        <v>1</v>
      </c>
      <c r="BI22">
        <v>10</v>
      </c>
      <c r="BJ22" s="107" t="e">
        <f t="shared" si="7"/>
        <v>#DIV/0!</v>
      </c>
      <c r="BP22">
        <f>BP18+1</f>
        <v>6</v>
      </c>
      <c r="BQ22">
        <v>4</v>
      </c>
      <c r="BR22" s="107" t="e">
        <f>$H$31*H43</f>
        <v>#DIV/0!</v>
      </c>
    </row>
    <row r="23" spans="1:70" ht="15.75" thickBot="1" x14ac:dyDescent="0.3">
      <c r="A23" s="40" t="s">
        <v>67</v>
      </c>
      <c r="B23" s="56" t="e">
        <f>((B22^2.8)/((B22^2.8)+(C22^2.8)))*B21</f>
        <v>#DIV/0!</v>
      </c>
      <c r="C23" s="57" t="e">
        <f>B21-B23</f>
        <v>#DIV/0!</v>
      </c>
      <c r="D23" s="151">
        <f>SUM(D25:D30)</f>
        <v>1</v>
      </c>
      <c r="E23" s="151">
        <f>SUM(E25:E30)</f>
        <v>1</v>
      </c>
      <c r="H23" s="59" t="e">
        <f>SUM(H25:H35)</f>
        <v>#DIV/0!</v>
      </c>
      <c r="J23" s="59" t="e">
        <f>SUM(J25:J35)</f>
        <v>#DIV/0!</v>
      </c>
      <c r="K23" s="59"/>
      <c r="L23" s="59" t="e">
        <f>SUM(L25:L35)</f>
        <v>#DIV/0!</v>
      </c>
      <c r="N23" s="59" t="e">
        <f>SUM(N25:N35)</f>
        <v>#DIV/0!</v>
      </c>
      <c r="O23" s="34"/>
      <c r="P23" s="59" t="e">
        <f>SUM(P25:P35)</f>
        <v>#DIV/0!</v>
      </c>
      <c r="R23" s="59" t="e">
        <f>SUM(R25:R35)</f>
        <v>#DIV/0!</v>
      </c>
      <c r="T23" s="59" t="e">
        <f>SUM(T25:T35)</f>
        <v>#DIV/0!</v>
      </c>
      <c r="V23" s="59" t="e">
        <f>SUM(V25:V34)</f>
        <v>#DIV/0!</v>
      </c>
      <c r="Y23" s="80" t="e">
        <f>SUM(Y25:Y35)</f>
        <v>#DIV/0!</v>
      </c>
      <c r="Z23" s="81"/>
      <c r="AA23" s="80" t="e">
        <f>SUM(AA25:AA35)</f>
        <v>#DIV/0!</v>
      </c>
      <c r="AB23" s="81"/>
      <c r="AC23" s="80" t="e">
        <f>SUM(AC25:AC35)</f>
        <v>#DIV/0!</v>
      </c>
      <c r="AD23" s="81"/>
      <c r="AE23" s="80" t="e">
        <f>SUM(AE25:AE35)</f>
        <v>#DIV/0!</v>
      </c>
      <c r="AF23" s="81"/>
      <c r="AG23" s="80" t="e">
        <f>SUM(AG25:AG35)</f>
        <v>#DIV/0!</v>
      </c>
      <c r="AH23" s="81"/>
      <c r="AI23" s="80" t="e">
        <f>SUM(AI25:AI35)</f>
        <v>#DIV/0!</v>
      </c>
      <c r="AJ23" s="81"/>
      <c r="AK23" s="80" t="e">
        <f>SUM(AK25:AK35)</f>
        <v>#DIV/0!</v>
      </c>
      <c r="AL23" s="81"/>
      <c r="AM23" s="80" t="e">
        <f>SUM(AM25:AM35)</f>
        <v>#DIV/0!</v>
      </c>
      <c r="AN23" s="81"/>
      <c r="AO23" s="80" t="e">
        <f>SUM(AO25:AO35)</f>
        <v>#DIV/0!</v>
      </c>
      <c r="AP23" s="81"/>
      <c r="AQ23" s="80" t="e">
        <f>SUM(AQ25:AQ35)</f>
        <v>#DIV/0!</v>
      </c>
      <c r="AR23" s="81"/>
      <c r="AS23" s="80" t="e">
        <f>SUM(AS25:AS35)</f>
        <v>#DIV/0!</v>
      </c>
      <c r="BH23">
        <f t="shared" ref="BH23:BH30" si="8">BH15+1</f>
        <v>2</v>
      </c>
      <c r="BI23">
        <v>3</v>
      </c>
      <c r="BJ23" s="107" t="e">
        <f t="shared" ref="BJ23:BJ30" si="9">$H$27*H42</f>
        <v>#DIV/0!</v>
      </c>
      <c r="BP23">
        <f>BL9+1</f>
        <v>6</v>
      </c>
      <c r="BQ23">
        <v>5</v>
      </c>
      <c r="BR23" s="107" t="e">
        <f>$H$31*H44</f>
        <v>#DIV/0!</v>
      </c>
    </row>
    <row r="24" spans="1:70" ht="15.75" thickBot="1" x14ac:dyDescent="0.3">
      <c r="A24" s="26" t="s">
        <v>76</v>
      </c>
      <c r="B24" s="64" t="e">
        <f>B23/B21</f>
        <v>#DIV/0!</v>
      </c>
      <c r="C24" s="65" t="e">
        <f>C23/B21</f>
        <v>#DIV/0!</v>
      </c>
      <c r="D24" s="13" t="s">
        <v>79</v>
      </c>
      <c r="E24" s="13" t="s">
        <v>80</v>
      </c>
      <c r="G24" s="99" t="s">
        <v>103</v>
      </c>
      <c r="H24" s="100" t="s">
        <v>75</v>
      </c>
      <c r="I24" s="99" t="s">
        <v>100</v>
      </c>
      <c r="J24" s="101" t="s">
        <v>101</v>
      </c>
      <c r="K24" s="99" t="s">
        <v>102</v>
      </c>
      <c r="L24" s="101" t="s">
        <v>75</v>
      </c>
      <c r="M24" s="83" t="s">
        <v>99</v>
      </c>
      <c r="N24" s="27" t="s">
        <v>74</v>
      </c>
      <c r="O24" s="27" t="s">
        <v>126</v>
      </c>
      <c r="P24" s="27" t="s">
        <v>75</v>
      </c>
      <c r="Q24" s="27" t="s">
        <v>87</v>
      </c>
      <c r="R24" s="27" t="s">
        <v>75</v>
      </c>
      <c r="S24" s="27" t="s">
        <v>83</v>
      </c>
      <c r="T24" s="134" t="s">
        <v>75</v>
      </c>
      <c r="U24" s="138" t="s">
        <v>85</v>
      </c>
      <c r="V24" s="139" t="s">
        <v>74</v>
      </c>
      <c r="W24" s="83" t="s">
        <v>73</v>
      </c>
      <c r="X24" s="27" t="s">
        <v>88</v>
      </c>
      <c r="Y24" s="27" t="s">
        <v>75</v>
      </c>
      <c r="Z24" s="27" t="s">
        <v>89</v>
      </c>
      <c r="AA24" s="27" t="s">
        <v>75</v>
      </c>
      <c r="AB24" s="27" t="s">
        <v>90</v>
      </c>
      <c r="AC24" s="27" t="s">
        <v>75</v>
      </c>
      <c r="AD24" s="27" t="s">
        <v>91</v>
      </c>
      <c r="AE24" s="27" t="s">
        <v>75</v>
      </c>
      <c r="AF24" s="27" t="s">
        <v>92</v>
      </c>
      <c r="AG24" s="27" t="s">
        <v>75</v>
      </c>
      <c r="AH24" s="27" t="s">
        <v>93</v>
      </c>
      <c r="AI24" s="27" t="s">
        <v>75</v>
      </c>
      <c r="AJ24" s="27" t="s">
        <v>94</v>
      </c>
      <c r="AK24" s="27" t="s">
        <v>75</v>
      </c>
      <c r="AL24" s="27" t="s">
        <v>95</v>
      </c>
      <c r="AM24" s="27" t="s">
        <v>75</v>
      </c>
      <c r="AN24" s="27" t="s">
        <v>96</v>
      </c>
      <c r="AO24" s="27" t="s">
        <v>75</v>
      </c>
      <c r="AP24" s="27" t="s">
        <v>97</v>
      </c>
      <c r="AQ24" s="27" t="s">
        <v>75</v>
      </c>
      <c r="AR24" s="27" t="s">
        <v>98</v>
      </c>
      <c r="AS24" s="27" t="s">
        <v>75</v>
      </c>
      <c r="AV24" s="14">
        <v>0</v>
      </c>
      <c r="AW24" s="14">
        <v>1</v>
      </c>
      <c r="AX24" s="14">
        <v>2</v>
      </c>
      <c r="AY24" s="14">
        <v>3</v>
      </c>
      <c r="AZ24" s="14">
        <v>4</v>
      </c>
      <c r="BA24" s="14">
        <v>5</v>
      </c>
      <c r="BB24" s="14">
        <v>6</v>
      </c>
      <c r="BC24" s="14">
        <v>7</v>
      </c>
      <c r="BD24" s="14">
        <v>8</v>
      </c>
      <c r="BE24" s="14">
        <v>9</v>
      </c>
      <c r="BF24" s="14">
        <v>10</v>
      </c>
      <c r="BH24">
        <f t="shared" si="8"/>
        <v>2</v>
      </c>
      <c r="BI24">
        <v>4</v>
      </c>
      <c r="BJ24" s="107" t="e">
        <f t="shared" si="9"/>
        <v>#DIV/0!</v>
      </c>
      <c r="BP24">
        <f>BH49+1</f>
        <v>7</v>
      </c>
      <c r="BQ24">
        <v>0</v>
      </c>
      <c r="BR24" s="107" t="e">
        <f t="shared" ref="BR24:BR30" si="10">$H$32*H39</f>
        <v>#DIV/0!</v>
      </c>
    </row>
    <row r="25" spans="1:70" x14ac:dyDescent="0.25">
      <c r="A25" s="26" t="s">
        <v>69</v>
      </c>
      <c r="B25" s="117" t="e">
        <f>1/(1+EXP(-3.1416*4*((B11/(B11+C8))-(3.1416/6))))</f>
        <v>#DIV/0!</v>
      </c>
      <c r="C25" s="118" t="e">
        <f>1/(1+EXP(-3.1416*4*((C11/(C11+B8))-(3.1416/6))))</f>
        <v>#DIV/0!</v>
      </c>
      <c r="D25" s="153">
        <f>IF(B17="AOW", 0.36-0.08, IF(B17="AIM", 0.36+0.08, IF(B17="TL",(0.361)-(0.36*B32),0.36)))</f>
        <v>0.36</v>
      </c>
      <c r="E25" s="153">
        <f>IF(C17="AOW", 0.36-0.08, IF(C17="AIM", 0.36+0.08, IF(C17="TL",(0.361)-(0.36*C32),0.36)))</f>
        <v>0.36</v>
      </c>
      <c r="G25" s="126">
        <v>0</v>
      </c>
      <c r="H25" s="127" t="e">
        <f>L25*J25</f>
        <v>#DIV/0!</v>
      </c>
      <c r="I25" s="97">
        <v>0</v>
      </c>
      <c r="J25" s="98" t="e">
        <f t="shared" ref="J25:J35" si="11">Y25+AA25+AC25+AE25+AG25+AI25+AK25+AM25+AO25+AQ25+AS25</f>
        <v>#DIV/0!</v>
      </c>
      <c r="K25" s="97">
        <v>0</v>
      </c>
      <c r="L25" s="98" t="e">
        <f>S21</f>
        <v>#DIV/0!</v>
      </c>
      <c r="M25" s="84">
        <v>0</v>
      </c>
      <c r="N25" s="71" t="e">
        <f>(1-$B$24)^$B$21</f>
        <v>#DIV/0!</v>
      </c>
      <c r="O25" s="70">
        <v>0</v>
      </c>
      <c r="P25" s="71" t="e">
        <f>N25</f>
        <v>#DIV/0!</v>
      </c>
      <c r="Q25" s="12">
        <v>0</v>
      </c>
      <c r="R25" s="73" t="e">
        <f>P25*N25</f>
        <v>#DIV/0!</v>
      </c>
      <c r="S25" s="70">
        <v>0</v>
      </c>
      <c r="T25" s="135" t="e">
        <f>(1-$B$33)^(INT(C23*2*(1-C31)))</f>
        <v>#DIV/0!</v>
      </c>
      <c r="U25" s="140">
        <v>0</v>
      </c>
      <c r="V25" s="86" t="e">
        <f>R25*T25</f>
        <v>#DIV/0!</v>
      </c>
      <c r="W25" s="136" t="e">
        <f>B31</f>
        <v>#DIV/0!</v>
      </c>
      <c r="X25" s="12">
        <v>0</v>
      </c>
      <c r="Y25" s="79" t="e">
        <f>V25</f>
        <v>#DIV/0!</v>
      </c>
      <c r="Z25" s="12">
        <v>0</v>
      </c>
      <c r="AA25" s="78" t="e">
        <f>((1-W25)^Z26)*V26</f>
        <v>#DIV/0!</v>
      </c>
      <c r="AB25" s="12">
        <v>0</v>
      </c>
      <c r="AC25" s="79" t="e">
        <f>(((1-$W$25)^AB27))*V27</f>
        <v>#DIV/0!</v>
      </c>
      <c r="AD25" s="12">
        <v>0</v>
      </c>
      <c r="AE25" s="79" t="e">
        <f>(((1-$W$25)^AB28))*V28</f>
        <v>#DIV/0!</v>
      </c>
      <c r="AF25" s="12">
        <v>0</v>
      </c>
      <c r="AG25" s="79" t="e">
        <f>(((1-$W$25)^AB29))*V29</f>
        <v>#DIV/0!</v>
      </c>
      <c r="AH25" s="12">
        <v>0</v>
      </c>
      <c r="AI25" s="79" t="e">
        <f>(((1-$W$25)^AB30))*V30</f>
        <v>#DIV/0!</v>
      </c>
      <c r="AJ25" s="12">
        <v>0</v>
      </c>
      <c r="AK25" s="79" t="e">
        <f>(((1-$W$25)^AB31))*V31</f>
        <v>#DIV/0!</v>
      </c>
      <c r="AL25" s="12">
        <v>0</v>
      </c>
      <c r="AM25" s="79" t="e">
        <f>(((1-$W$25)^AB32))*V32</f>
        <v>#DIV/0!</v>
      </c>
      <c r="AN25" s="12">
        <v>0</v>
      </c>
      <c r="AO25" s="79" t="e">
        <f>(((1-$W$25)^AB33))*V33</f>
        <v>#DIV/0!</v>
      </c>
      <c r="AP25" s="12">
        <v>0</v>
      </c>
      <c r="AQ25" s="79" t="e">
        <f>(((1-$W$25)^AB34))*V34</f>
        <v>#DIV/0!</v>
      </c>
      <c r="AR25" s="12">
        <v>0</v>
      </c>
      <c r="AS25" s="79" t="e">
        <f>(((1-$W$25)^AB35))*V35</f>
        <v>#DIV/0!</v>
      </c>
      <c r="AV25" s="14">
        <v>1</v>
      </c>
      <c r="AW25">
        <v>1</v>
      </c>
      <c r="AX25">
        <v>2</v>
      </c>
      <c r="AY25">
        <v>3</v>
      </c>
      <c r="AZ25">
        <v>4</v>
      </c>
      <c r="BA25">
        <v>5</v>
      </c>
      <c r="BB25">
        <v>6</v>
      </c>
      <c r="BC25">
        <f>7</f>
        <v>7</v>
      </c>
      <c r="BD25">
        <v>8</v>
      </c>
      <c r="BE25">
        <v>9</v>
      </c>
      <c r="BF25">
        <v>10</v>
      </c>
      <c r="BH25">
        <f t="shared" si="8"/>
        <v>2</v>
      </c>
      <c r="BI25">
        <v>5</v>
      </c>
      <c r="BJ25" s="107" t="e">
        <f t="shared" si="9"/>
        <v>#DIV/0!</v>
      </c>
      <c r="BP25">
        <f>BP19+1</f>
        <v>7</v>
      </c>
      <c r="BQ25">
        <v>1</v>
      </c>
      <c r="BR25" s="107" t="e">
        <f t="shared" si="10"/>
        <v>#DIV/0!</v>
      </c>
    </row>
    <row r="26" spans="1:70" x14ac:dyDescent="0.25">
      <c r="A26" s="40" t="s">
        <v>24</v>
      </c>
      <c r="B26" s="119" t="e">
        <f>1/(1+EXP(-3.1416*4*((B10/(B10+C9))-(3.1416/6))))</f>
        <v>#DIV/0!</v>
      </c>
      <c r="C26" s="120" t="e">
        <f>1/(1+EXP(-3.1416*4*((C10/(C10+B9))-(3.1416/6))))</f>
        <v>#DIV/0!</v>
      </c>
      <c r="D26" s="153">
        <f>IF(B17="AOW", 0.257+0.04, IF(B17="AIM", 0.257-0.04, IF(B17="TL",(0.257)-(0.257*B32),0.257)))</f>
        <v>0.25700000000000001</v>
      </c>
      <c r="E26" s="153">
        <f>IF(C17="AOW", 0.257+0.04, IF(C17="AIM", 0.257-0.04, IF(C17="TL",(0.257)-(0.257*C32),0.257)))</f>
        <v>0.25700000000000001</v>
      </c>
      <c r="G26" s="87">
        <v>1</v>
      </c>
      <c r="H26" s="128" t="e">
        <f>L25*J26+L26*J25</f>
        <v>#DIV/0!</v>
      </c>
      <c r="I26" s="93">
        <v>1</v>
      </c>
      <c r="J26" s="86" t="e">
        <f t="shared" si="11"/>
        <v>#DIV/0!</v>
      </c>
      <c r="K26" s="93">
        <v>1</v>
      </c>
      <c r="L26" s="86" t="e">
        <f>T21</f>
        <v>#DIV/0!</v>
      </c>
      <c r="M26" s="85">
        <v>1</v>
      </c>
      <c r="N26" s="71" t="e">
        <f>(($B$24)^M26)*((1-($B$24))^($B$21-M26))*HLOOKUP($B$21,$AV$24:$BF$34,M26+1)</f>
        <v>#DIV/0!</v>
      </c>
      <c r="O26" s="72">
        <v>1</v>
      </c>
      <c r="P26" s="71" t="e">
        <f t="shared" ref="P26:P30" si="12">N26</f>
        <v>#DIV/0!</v>
      </c>
      <c r="Q26" s="28">
        <v>1</v>
      </c>
      <c r="R26" s="37" t="e">
        <f>N26*P25+P26*N25</f>
        <v>#DIV/0!</v>
      </c>
      <c r="S26" s="72">
        <v>1</v>
      </c>
      <c r="T26" s="135" t="e">
        <f t="shared" ref="T26:T35" si="13">(($B$33)^S26)*((1-($B$33))^(INT($C$23*2*(1-$C$31))-S26))*HLOOKUP(INT($C$23*2*(1-$C$31)),$AV$24:$BF$34,S26+1)</f>
        <v>#DIV/0!</v>
      </c>
      <c r="U26" s="93">
        <v>1</v>
      </c>
      <c r="V26" s="86" t="e">
        <f>R26*T25+T26*R25</f>
        <v>#DIV/0!</v>
      </c>
      <c r="W26" s="137"/>
      <c r="X26" s="28">
        <v>1</v>
      </c>
      <c r="Y26" s="73"/>
      <c r="Z26" s="28">
        <v>1</v>
      </c>
      <c r="AA26" s="79" t="e">
        <f>(1-((1-W25)^Z26))*V26</f>
        <v>#DIV/0!</v>
      </c>
      <c r="AB26" s="28">
        <v>1</v>
      </c>
      <c r="AC26" s="79" t="e">
        <f>((($W$25)^M26)*((1-($W$25))^($U$27-M26))*HLOOKUP($U$27,$AV$24:$BF$34,M26+1))*V27</f>
        <v>#DIV/0!</v>
      </c>
      <c r="AD26" s="28">
        <v>1</v>
      </c>
      <c r="AE26" s="79" t="e">
        <f>((($W$25)^M26)*((1-($W$25))^($U$28-M26))*HLOOKUP($U$28,$AV$24:$BF$34,M26+1))*V28</f>
        <v>#DIV/0!</v>
      </c>
      <c r="AF26" s="28">
        <v>1</v>
      </c>
      <c r="AG26" s="79" t="e">
        <f>((($W$25)^M26)*((1-($W$25))^($U$29-M26))*HLOOKUP($U$29,$AV$24:$BF$34,M26+1))*V29</f>
        <v>#DIV/0!</v>
      </c>
      <c r="AH26" s="28">
        <v>1</v>
      </c>
      <c r="AI26" s="79" t="e">
        <f>((($W$25)^M26)*((1-($W$25))^($U$30-M26))*HLOOKUP($U$30,$AV$24:$BF$34,M26+1))*V30</f>
        <v>#DIV/0!</v>
      </c>
      <c r="AJ26" s="28">
        <v>1</v>
      </c>
      <c r="AK26" s="79" t="e">
        <f>((($W$25)^M26)*((1-($W$25))^($U$31-M26))*HLOOKUP($U$31,$AV$24:$BF$34,M26+1))*V31</f>
        <v>#DIV/0!</v>
      </c>
      <c r="AL26" s="28">
        <v>1</v>
      </c>
      <c r="AM26" s="79" t="e">
        <f>((($W$25)^Q26)*((1-($W$25))^($U$32-Q26))*HLOOKUP($U$32,$AV$24:$BF$34,Q26+1))*V32</f>
        <v>#DIV/0!</v>
      </c>
      <c r="AN26" s="28">
        <v>1</v>
      </c>
      <c r="AO26" s="79" t="e">
        <f>((($W$25)^Q26)*((1-($W$25))^($U$33-Q26))*HLOOKUP($U$33,$AV$24:$BF$34,Q26+1))*V33</f>
        <v>#DIV/0!</v>
      </c>
      <c r="AP26" s="28">
        <v>1</v>
      </c>
      <c r="AQ26" s="79" t="e">
        <f>((($W$25)^Q26)*((1-($W$25))^($U$34-Q26))*HLOOKUP($U$34,$AV$24:$BF$34,Q26+1))*V34</f>
        <v>#DIV/0!</v>
      </c>
      <c r="AR26" s="28">
        <v>1</v>
      </c>
      <c r="AS26" s="79" t="e">
        <f>((($W$25)^Q26)*((1-($W$25))^($U$35-Q26))*HLOOKUP($U$35,$AV$24:$BF$34,Q26+1))*V35</f>
        <v>#DIV/0!</v>
      </c>
      <c r="AV26" s="14">
        <v>2</v>
      </c>
      <c r="AX26">
        <v>1</v>
      </c>
      <c r="AY26">
        <v>3</v>
      </c>
      <c r="AZ26">
        <v>6</v>
      </c>
      <c r="BA26">
        <v>10</v>
      </c>
      <c r="BB26">
        <v>15</v>
      </c>
      <c r="BC26">
        <f>6+15</f>
        <v>21</v>
      </c>
      <c r="BD26">
        <f>21+7</f>
        <v>28</v>
      </c>
      <c r="BE26">
        <f>28+8</f>
        <v>36</v>
      </c>
      <c r="BF26">
        <f>36+9</f>
        <v>45</v>
      </c>
      <c r="BH26">
        <f t="shared" si="8"/>
        <v>2</v>
      </c>
      <c r="BI26">
        <v>6</v>
      </c>
      <c r="BJ26" s="107" t="e">
        <f t="shared" si="9"/>
        <v>#DIV/0!</v>
      </c>
      <c r="BP26">
        <f>BP20+1</f>
        <v>7</v>
      </c>
      <c r="BQ26">
        <v>2</v>
      </c>
      <c r="BR26" s="107" t="e">
        <f t="shared" si="10"/>
        <v>#DIV/0!</v>
      </c>
    </row>
    <row r="27" spans="1:70" x14ac:dyDescent="0.25">
      <c r="A27" s="26" t="s">
        <v>25</v>
      </c>
      <c r="B27" s="119" t="e">
        <f>1/(1+EXP(-3.1416*4*((B12/(B12+C7))-(3.1416/6))))</f>
        <v>#DIV/0!</v>
      </c>
      <c r="C27" s="120" t="e">
        <f>1/(1+EXP(-3.1416*4*((C12/(C12+B7))-(3.1416/6))))</f>
        <v>#DIV/0!</v>
      </c>
      <c r="D27" s="153">
        <f>D26</f>
        <v>0.25700000000000001</v>
      </c>
      <c r="E27" s="153">
        <f>E26</f>
        <v>0.25700000000000001</v>
      </c>
      <c r="G27" s="87">
        <v>2</v>
      </c>
      <c r="H27" s="128" t="e">
        <f>L25*J27+J26*L26+J25*L27</f>
        <v>#DIV/0!</v>
      </c>
      <c r="I27" s="93">
        <v>2</v>
      </c>
      <c r="J27" s="86" t="e">
        <f t="shared" si="11"/>
        <v>#DIV/0!</v>
      </c>
      <c r="K27" s="93">
        <v>2</v>
      </c>
      <c r="L27" s="86" t="e">
        <f>U21</f>
        <v>#DIV/0!</v>
      </c>
      <c r="M27" s="85">
        <v>2</v>
      </c>
      <c r="N27" s="71" t="e">
        <f>(($B$24)^M27)*((1-($B$24))^($B$21-M27))*HLOOKUP($B$21,$AV$24:$BF$34,M27+1)</f>
        <v>#DIV/0!</v>
      </c>
      <c r="O27" s="72">
        <v>2</v>
      </c>
      <c r="P27" s="71" t="e">
        <f t="shared" si="12"/>
        <v>#DIV/0!</v>
      </c>
      <c r="Q27" s="28">
        <v>2</v>
      </c>
      <c r="R27" s="37" t="e">
        <f>P25*N27+P26*N26+P27*N25</f>
        <v>#DIV/0!</v>
      </c>
      <c r="S27" s="72">
        <v>2</v>
      </c>
      <c r="T27" s="135" t="e">
        <f t="shared" si="13"/>
        <v>#DIV/0!</v>
      </c>
      <c r="U27" s="93">
        <v>2</v>
      </c>
      <c r="V27" s="86" t="e">
        <f>R27*T25+T26*R26+R25*T27</f>
        <v>#DIV/0!</v>
      </c>
      <c r="W27" s="137"/>
      <c r="X27" s="28">
        <v>2</v>
      </c>
      <c r="Y27" s="73"/>
      <c r="Z27" s="28">
        <v>2</v>
      </c>
      <c r="AA27" s="79"/>
      <c r="AB27" s="28">
        <v>2</v>
      </c>
      <c r="AC27" s="79" t="e">
        <f>((($W$25)^M27)*((1-($W$25))^($U$27-M27))*HLOOKUP($U$27,$AV$24:$BF$34,M27+1))*V27</f>
        <v>#DIV/0!</v>
      </c>
      <c r="AD27" s="28">
        <v>2</v>
      </c>
      <c r="AE27" s="79" t="e">
        <f>((($W$25)^M27)*((1-($W$25))^($U$28-M27))*HLOOKUP($U$28,$AV$24:$BF$34,M27+1))*V28</f>
        <v>#DIV/0!</v>
      </c>
      <c r="AF27" s="28">
        <v>2</v>
      </c>
      <c r="AG27" s="79" t="e">
        <f>((($W$25)^M27)*((1-($W$25))^($U$29-M27))*HLOOKUP($U$29,$AV$24:$BF$34,M27+1))*V29</f>
        <v>#DIV/0!</v>
      </c>
      <c r="AH27" s="28">
        <v>2</v>
      </c>
      <c r="AI27" s="79" t="e">
        <f>((($W$25)^M27)*((1-($W$25))^($U$30-M27))*HLOOKUP($U$30,$AV$24:$BF$34,M27+1))*V30</f>
        <v>#DIV/0!</v>
      </c>
      <c r="AJ27" s="28">
        <v>2</v>
      </c>
      <c r="AK27" s="79" t="e">
        <f>((($W$25)^M27)*((1-($W$25))^($U$31-M27))*HLOOKUP($U$31,$AV$24:$BF$34,M27+1))*V31</f>
        <v>#DIV/0!</v>
      </c>
      <c r="AL27" s="28">
        <v>2</v>
      </c>
      <c r="AM27" s="79" t="e">
        <f>((($W$25)^Q27)*((1-($W$25))^($U$32-Q27))*HLOOKUP($U$32,$AV$24:$BF$34,Q27+1))*V32</f>
        <v>#DIV/0!</v>
      </c>
      <c r="AN27" s="28">
        <v>2</v>
      </c>
      <c r="AO27" s="79" t="e">
        <f>((($W$25)^Q27)*((1-($W$25))^($U$33-Q27))*HLOOKUP($U$33,$AV$24:$BF$34,Q27+1))*V33</f>
        <v>#DIV/0!</v>
      </c>
      <c r="AP27" s="28">
        <v>2</v>
      </c>
      <c r="AQ27" s="79" t="e">
        <f>((($W$25)^Q27)*((1-($W$25))^($U$34-Q27))*HLOOKUP($U$34,$AV$24:$BF$34,Q27+1))*V34</f>
        <v>#DIV/0!</v>
      </c>
      <c r="AR27" s="28">
        <v>2</v>
      </c>
      <c r="AS27" s="79" t="e">
        <f>((($W$25)^Q27)*((1-($W$25))^($U$35-Q27))*HLOOKUP($U$35,$AV$24:$BF$34,Q27+1))*V35</f>
        <v>#DIV/0!</v>
      </c>
      <c r="AV27" s="14">
        <v>3</v>
      </c>
      <c r="AY27">
        <v>1</v>
      </c>
      <c r="AZ27">
        <v>4</v>
      </c>
      <c r="BA27">
        <v>10</v>
      </c>
      <c r="BB27">
        <v>20</v>
      </c>
      <c r="BC27">
        <f>15+20</f>
        <v>35</v>
      </c>
      <c r="BD27">
        <f>21+35</f>
        <v>56</v>
      </c>
      <c r="BE27">
        <f>28+56</f>
        <v>84</v>
      </c>
      <c r="BF27">
        <f>36+84</f>
        <v>120</v>
      </c>
      <c r="BH27">
        <f t="shared" si="8"/>
        <v>2</v>
      </c>
      <c r="BI27">
        <v>7</v>
      </c>
      <c r="BJ27" s="107" t="e">
        <f t="shared" si="9"/>
        <v>#DIV/0!</v>
      </c>
      <c r="BP27">
        <f>BP21+1</f>
        <v>7</v>
      </c>
      <c r="BQ27">
        <v>3</v>
      </c>
      <c r="BR27" s="107" t="e">
        <f t="shared" si="10"/>
        <v>#DIV/0!</v>
      </c>
    </row>
    <row r="28" spans="1:70" x14ac:dyDescent="0.25">
      <c r="A28" s="26" t="s">
        <v>26</v>
      </c>
      <c r="B28" s="174">
        <v>0.9</v>
      </c>
      <c r="C28" s="175">
        <v>0.9</v>
      </c>
      <c r="D28" s="153">
        <v>8.5000000000000006E-2</v>
      </c>
      <c r="E28" s="153">
        <v>8.5000000000000006E-2</v>
      </c>
      <c r="G28" s="87">
        <v>3</v>
      </c>
      <c r="H28" s="128" t="e">
        <f>J28*L25+J27*L26+L28*J25+L27*J26</f>
        <v>#DIV/0!</v>
      </c>
      <c r="I28" s="93">
        <v>3</v>
      </c>
      <c r="J28" s="86" t="e">
        <f t="shared" si="11"/>
        <v>#DIV/0!</v>
      </c>
      <c r="K28" s="93">
        <v>3</v>
      </c>
      <c r="L28" s="86" t="e">
        <f>V21</f>
        <v>#DIV/0!</v>
      </c>
      <c r="M28" s="85">
        <v>3</v>
      </c>
      <c r="N28" s="71" t="e">
        <f>(($B$24)^M28)*((1-($B$24))^($B$21-M28))*HLOOKUP($B$21,$AV$24:$BF$34,M28+1)</f>
        <v>#DIV/0!</v>
      </c>
      <c r="O28" s="72">
        <v>3</v>
      </c>
      <c r="P28" s="71" t="e">
        <f t="shared" si="12"/>
        <v>#DIV/0!</v>
      </c>
      <c r="Q28" s="28">
        <v>3</v>
      </c>
      <c r="R28" s="37" t="e">
        <f>P25*N28+P26*N27+P27*N26+P28*N25</f>
        <v>#DIV/0!</v>
      </c>
      <c r="S28" s="72">
        <v>3</v>
      </c>
      <c r="T28" s="135" t="e">
        <f t="shared" si="13"/>
        <v>#DIV/0!</v>
      </c>
      <c r="U28" s="93">
        <v>3</v>
      </c>
      <c r="V28" s="86" t="e">
        <f>R28*T25+R27*T26+R26*T27+R25*T28</f>
        <v>#DIV/0!</v>
      </c>
      <c r="W28" s="137"/>
      <c r="X28" s="28">
        <v>3</v>
      </c>
      <c r="Y28" s="73"/>
      <c r="Z28" s="28">
        <v>3</v>
      </c>
      <c r="AA28" s="79"/>
      <c r="AB28" s="28">
        <v>3</v>
      </c>
      <c r="AC28" s="79"/>
      <c r="AD28" s="28">
        <v>3</v>
      </c>
      <c r="AE28" s="79" t="e">
        <f>((($W$25)^M28)*((1-($W$25))^($U$28-M28))*HLOOKUP($U$28,$AV$24:$BF$34,M28+1))*V28</f>
        <v>#DIV/0!</v>
      </c>
      <c r="AF28" s="28">
        <v>3</v>
      </c>
      <c r="AG28" s="79" t="e">
        <f>((($W$25)^M28)*((1-($W$25))^($U$29-M28))*HLOOKUP($U$29,$AV$24:$BF$34,M28+1))*V29</f>
        <v>#DIV/0!</v>
      </c>
      <c r="AH28" s="28">
        <v>3</v>
      </c>
      <c r="AI28" s="79" t="e">
        <f>((($W$25)^M28)*((1-($W$25))^($U$30-M28))*HLOOKUP($U$30,$AV$24:$BF$34,M28+1))*V30</f>
        <v>#DIV/0!</v>
      </c>
      <c r="AJ28" s="28">
        <v>3</v>
      </c>
      <c r="AK28" s="79" t="e">
        <f>((($W$25)^M28)*((1-($W$25))^($U$31-M28))*HLOOKUP($U$31,$AV$24:$BF$34,M28+1))*V31</f>
        <v>#DIV/0!</v>
      </c>
      <c r="AL28" s="28">
        <v>3</v>
      </c>
      <c r="AM28" s="79" t="e">
        <f>((($W$25)^Q28)*((1-($W$25))^($U$32-Q28))*HLOOKUP($U$32,$AV$24:$BF$34,Q28+1))*V32</f>
        <v>#DIV/0!</v>
      </c>
      <c r="AN28" s="28">
        <v>3</v>
      </c>
      <c r="AO28" s="79" t="e">
        <f>((($W$25)^Q28)*((1-($W$25))^($U$33-Q28))*HLOOKUP($U$33,$AV$24:$BF$34,Q28+1))*V33</f>
        <v>#DIV/0!</v>
      </c>
      <c r="AP28" s="28">
        <v>3</v>
      </c>
      <c r="AQ28" s="79" t="e">
        <f>((($W$25)^Q28)*((1-($W$25))^($U$34-Q28))*HLOOKUP($U$34,$AV$24:$BF$34,Q28+1))*V34</f>
        <v>#DIV/0!</v>
      </c>
      <c r="AR28" s="28">
        <v>3</v>
      </c>
      <c r="AS28" s="79" t="e">
        <f>((($W$25)^Q28)*((1-($W$25))^($U$35-Q28))*HLOOKUP($U$35,$AV$24:$BF$34,Q28+1))*V35</f>
        <v>#DIV/0!</v>
      </c>
      <c r="AV28" s="14">
        <v>4</v>
      </c>
      <c r="AZ28">
        <v>1</v>
      </c>
      <c r="BA28">
        <v>5</v>
      </c>
      <c r="BB28">
        <v>15</v>
      </c>
      <c r="BC28">
        <f>20+15</f>
        <v>35</v>
      </c>
      <c r="BD28">
        <f>35+35</f>
        <v>70</v>
      </c>
      <c r="BE28">
        <f>56+70</f>
        <v>126</v>
      </c>
      <c r="BF28">
        <f>BE27+BE28</f>
        <v>210</v>
      </c>
      <c r="BH28">
        <f t="shared" si="8"/>
        <v>2</v>
      </c>
      <c r="BI28">
        <v>8</v>
      </c>
      <c r="BJ28" s="107" t="e">
        <f t="shared" si="9"/>
        <v>#DIV/0!</v>
      </c>
      <c r="BP28">
        <f>BP22+1</f>
        <v>7</v>
      </c>
      <c r="BQ28">
        <v>4</v>
      </c>
      <c r="BR28" s="107" t="e">
        <f t="shared" si="10"/>
        <v>#DIV/0!</v>
      </c>
    </row>
    <row r="29" spans="1:70" x14ac:dyDescent="0.25">
      <c r="A29" s="26" t="s">
        <v>27</v>
      </c>
      <c r="B29" s="123">
        <f>1/(1+EXP(-3.1416*4*((B14/(B14+C13))-(3.1416/6))))</f>
        <v>0.22523141403777475</v>
      </c>
      <c r="C29" s="118">
        <f>1/(1+EXP(-3.1416*4*((C14/(C14+B13))-(3.1416/6))))</f>
        <v>0.35989489168508015</v>
      </c>
      <c r="D29" s="153">
        <v>0.04</v>
      </c>
      <c r="E29" s="153">
        <v>0.04</v>
      </c>
      <c r="G29" s="87">
        <v>4</v>
      </c>
      <c r="H29" s="128" t="e">
        <f>J29*L25+J28*L26+J27*L27+J26*L28</f>
        <v>#DIV/0!</v>
      </c>
      <c r="I29" s="93">
        <v>4</v>
      </c>
      <c r="J29" s="86" t="e">
        <f t="shared" si="11"/>
        <v>#DIV/0!</v>
      </c>
      <c r="K29" s="93">
        <v>4</v>
      </c>
      <c r="L29" s="86"/>
      <c r="M29" s="85">
        <v>4</v>
      </c>
      <c r="N29" s="71" t="e">
        <f>(($B$24)^M29)*((1-($B$24))^($B$21-M29))*HLOOKUP($B$21,$AV$24:$BF$34,M29+1)</f>
        <v>#DIV/0!</v>
      </c>
      <c r="O29" s="72">
        <v>4</v>
      </c>
      <c r="P29" s="71" t="e">
        <f t="shared" si="12"/>
        <v>#DIV/0!</v>
      </c>
      <c r="Q29" s="28">
        <v>4</v>
      </c>
      <c r="R29" s="37" t="e">
        <f>P25*N29+P26*N28+P27*N27+P28*N26+P29*N25</f>
        <v>#DIV/0!</v>
      </c>
      <c r="S29" s="72">
        <v>4</v>
      </c>
      <c r="T29" s="135" t="e">
        <f t="shared" si="13"/>
        <v>#DIV/0!</v>
      </c>
      <c r="U29" s="93">
        <v>4</v>
      </c>
      <c r="V29" s="86" t="e">
        <f>T29*R25+T28*R26+T27*R27+T26*R28+T25*R29</f>
        <v>#DIV/0!</v>
      </c>
      <c r="W29" s="137"/>
      <c r="X29" s="28">
        <v>4</v>
      </c>
      <c r="Y29" s="73"/>
      <c r="Z29" s="28">
        <v>4</v>
      </c>
      <c r="AA29" s="79"/>
      <c r="AB29" s="28">
        <v>4</v>
      </c>
      <c r="AC29" s="79"/>
      <c r="AD29" s="28">
        <v>4</v>
      </c>
      <c r="AE29" s="79"/>
      <c r="AF29" s="28">
        <v>4</v>
      </c>
      <c r="AG29" s="79" t="e">
        <f>((($W$25)^M29)*((1-($W$25))^($U$29-M29))*HLOOKUP($U$29,$AV$24:$BF$34,M29+1))*V29</f>
        <v>#DIV/0!</v>
      </c>
      <c r="AH29" s="28">
        <v>4</v>
      </c>
      <c r="AI29" s="79" t="e">
        <f>((($W$25)^M29)*((1-($W$25))^($U$30-M29))*HLOOKUP($U$30,$AV$24:$BF$34,M29+1))*V30</f>
        <v>#DIV/0!</v>
      </c>
      <c r="AJ29" s="28">
        <v>4</v>
      </c>
      <c r="AK29" s="79" t="e">
        <f>((($W$25)^M29)*((1-($W$25))^($U$31-M29))*HLOOKUP($U$31,$AV$24:$BF$34,M29+1))*V31</f>
        <v>#DIV/0!</v>
      </c>
      <c r="AL29" s="28">
        <v>4</v>
      </c>
      <c r="AM29" s="79" t="e">
        <f>((($W$25)^Q29)*((1-($W$25))^($U$32-Q29))*HLOOKUP($U$32,$AV$24:$BF$34,Q29+1))*V32</f>
        <v>#DIV/0!</v>
      </c>
      <c r="AN29" s="28">
        <v>4</v>
      </c>
      <c r="AO29" s="79" t="e">
        <f>((($W$25)^Q29)*((1-($W$25))^($U$33-Q29))*HLOOKUP($U$33,$AV$24:$BF$34,Q29+1))*V33</f>
        <v>#DIV/0!</v>
      </c>
      <c r="AP29" s="28">
        <v>4</v>
      </c>
      <c r="AQ29" s="79" t="e">
        <f>((($W$25)^Q29)*((1-($W$25))^($U$34-Q29))*HLOOKUP($U$34,$AV$24:$BF$34,Q29+1))*V34</f>
        <v>#DIV/0!</v>
      </c>
      <c r="AR29" s="28">
        <v>4</v>
      </c>
      <c r="AS29" s="79" t="e">
        <f>((($W$25)^Q29)*((1-($W$25))^($U$35-Q29))*HLOOKUP($U$35,$AV$24:$BF$34,Q29+1))*V35</f>
        <v>#DIV/0!</v>
      </c>
      <c r="AV29" s="14">
        <v>5</v>
      </c>
      <c r="BA29">
        <v>1</v>
      </c>
      <c r="BB29">
        <v>6</v>
      </c>
      <c r="BC29">
        <f>15+6</f>
        <v>21</v>
      </c>
      <c r="BD29">
        <f>35+21</f>
        <v>56</v>
      </c>
      <c r="BE29">
        <f>70+56</f>
        <v>126</v>
      </c>
      <c r="BF29">
        <f t="shared" ref="BF29:BF34" si="14">BE28+BE29</f>
        <v>252</v>
      </c>
      <c r="BH29">
        <f t="shared" si="8"/>
        <v>2</v>
      </c>
      <c r="BI29">
        <v>9</v>
      </c>
      <c r="BJ29" s="107" t="e">
        <f t="shared" si="9"/>
        <v>#DIV/0!</v>
      </c>
      <c r="BP29">
        <f>BP23+1</f>
        <v>7</v>
      </c>
      <c r="BQ29">
        <v>5</v>
      </c>
      <c r="BR29" s="107" t="e">
        <f t="shared" si="10"/>
        <v>#DIV/0!</v>
      </c>
    </row>
    <row r="30" spans="1:70" x14ac:dyDescent="0.25">
      <c r="A30" s="26" t="s">
        <v>136</v>
      </c>
      <c r="B30" s="174">
        <v>0.15</v>
      </c>
      <c r="C30" s="175">
        <v>0.15</v>
      </c>
      <c r="D30" s="153">
        <f>IF(B17="TL",0.875*B32,0.001)</f>
        <v>1E-3</v>
      </c>
      <c r="E30" s="153">
        <f>IF(C17="TL",0.875*C32,0.001)</f>
        <v>1E-3</v>
      </c>
      <c r="G30" s="87">
        <v>5</v>
      </c>
      <c r="H30" s="128" t="e">
        <f>J30*L25+J29*L26+J28*L27+J27*L28</f>
        <v>#DIV/0!</v>
      </c>
      <c r="I30" s="93">
        <v>5</v>
      </c>
      <c r="J30" s="86" t="e">
        <f t="shared" si="11"/>
        <v>#DIV/0!</v>
      </c>
      <c r="K30" s="93">
        <v>5</v>
      </c>
      <c r="L30" s="86"/>
      <c r="M30" s="85">
        <v>5</v>
      </c>
      <c r="N30" s="71" t="e">
        <f>(($B$24)^M30)*((1-($B$24))^($B$21-M30))*HLOOKUP($B$21,$AV$24:$BF$34,M30+1)</f>
        <v>#DIV/0!</v>
      </c>
      <c r="O30" s="72">
        <v>5</v>
      </c>
      <c r="P30" s="71" t="e">
        <f t="shared" si="12"/>
        <v>#DIV/0!</v>
      </c>
      <c r="Q30" s="28">
        <v>5</v>
      </c>
      <c r="R30" s="37" t="e">
        <f>P25*N30+P26*N29+P27*N28+P28*N27+P29*N26+P30*N25</f>
        <v>#DIV/0!</v>
      </c>
      <c r="S30" s="72">
        <v>5</v>
      </c>
      <c r="T30" s="135" t="e">
        <f t="shared" si="13"/>
        <v>#DIV/0!</v>
      </c>
      <c r="U30" s="93">
        <v>5</v>
      </c>
      <c r="V30" s="86" t="e">
        <f>T30*R25+T29*R26+T28*R27+T27*R28+T26*R29+T25*R30</f>
        <v>#DIV/0!</v>
      </c>
      <c r="W30" s="137"/>
      <c r="X30" s="28">
        <v>5</v>
      </c>
      <c r="Y30" s="73"/>
      <c r="Z30" s="28">
        <v>5</v>
      </c>
      <c r="AA30" s="79"/>
      <c r="AB30" s="28">
        <v>5</v>
      </c>
      <c r="AC30" s="79"/>
      <c r="AD30" s="28">
        <v>5</v>
      </c>
      <c r="AE30" s="79"/>
      <c r="AF30" s="28">
        <v>5</v>
      </c>
      <c r="AG30" s="79"/>
      <c r="AH30" s="28">
        <v>5</v>
      </c>
      <c r="AI30" s="79" t="e">
        <f>((($W$25)^M30)*((1-($W$25))^($U$30-M30))*HLOOKUP($U$30,$AV$24:$BF$34,M30+1))*V30</f>
        <v>#DIV/0!</v>
      </c>
      <c r="AJ30" s="28">
        <v>5</v>
      </c>
      <c r="AK30" s="79" t="e">
        <f>((($W$25)^M30)*((1-($W$25))^($U$31-M30))*HLOOKUP($U$31,$AV$24:$BF$34,M30+1))*V31</f>
        <v>#DIV/0!</v>
      </c>
      <c r="AL30" s="28">
        <v>5</v>
      </c>
      <c r="AM30" s="79" t="e">
        <f>((($W$25)^Q30)*((1-($W$25))^($U$32-Q30))*HLOOKUP($U$32,$AV$24:$BF$34,Q30+1))*V32</f>
        <v>#DIV/0!</v>
      </c>
      <c r="AN30" s="28">
        <v>5</v>
      </c>
      <c r="AO30" s="79" t="e">
        <f>((($W$25)^Q30)*((1-($W$25))^($U$33-Q30))*HLOOKUP($U$33,$AV$24:$BF$34,Q30+1))*V33</f>
        <v>#DIV/0!</v>
      </c>
      <c r="AP30" s="28">
        <v>5</v>
      </c>
      <c r="AQ30" s="79" t="e">
        <f>((($W$25)^Q30)*((1-($W$25))^($U$34-Q30))*HLOOKUP($U$34,$AV$24:$BF$34,Q30+1))*V34</f>
        <v>#DIV/0!</v>
      </c>
      <c r="AR30" s="28">
        <v>5</v>
      </c>
      <c r="AS30" s="79" t="e">
        <f>((($W$25)^Q30)*((1-($W$25))^($U$35-Q30))*HLOOKUP($U$35,$AV$24:$BF$34,Q30+1))*V35</f>
        <v>#DIV/0!</v>
      </c>
      <c r="AV30" s="29">
        <v>6</v>
      </c>
      <c r="BB30">
        <v>1</v>
      </c>
      <c r="BC30">
        <v>7</v>
      </c>
      <c r="BD30">
        <f>28</f>
        <v>28</v>
      </c>
      <c r="BE30">
        <f>56+28</f>
        <v>84</v>
      </c>
      <c r="BF30">
        <f t="shared" si="14"/>
        <v>210</v>
      </c>
      <c r="BH30">
        <f t="shared" si="8"/>
        <v>2</v>
      </c>
      <c r="BI30">
        <v>10</v>
      </c>
      <c r="BJ30" s="107" t="e">
        <f t="shared" si="9"/>
        <v>#DIV/0!</v>
      </c>
      <c r="BP30">
        <f>BL10+1</f>
        <v>7</v>
      </c>
      <c r="BQ30">
        <v>6</v>
      </c>
      <c r="BR30" s="107" t="e">
        <f t="shared" si="10"/>
        <v>#DIV/0!</v>
      </c>
    </row>
    <row r="31" spans="1:70" x14ac:dyDescent="0.25">
      <c r="A31" s="189" t="s">
        <v>68</v>
      </c>
      <c r="B31" s="60" t="e">
        <f>(B25*D25)+(B26*D26)+(B27*D27)+(B28*D28)+(B29*D29)+(B30*D30)/(B25+B26+B27+B28+B29+B30)</f>
        <v>#DIV/0!</v>
      </c>
      <c r="C31" s="61" t="e">
        <f>(C25*E25)+(C26*E26)+(C27*E27)+(C28*E28)+(C29*E29)+(C30*E30)/(C25+C26+C27+C28+C29+C30)</f>
        <v>#DIV/0!</v>
      </c>
      <c r="G31" s="87">
        <v>6</v>
      </c>
      <c r="H31" s="128" t="e">
        <f>J31*L25+J30*L26+J29*L27+J28*L28</f>
        <v>#DIV/0!</v>
      </c>
      <c r="I31" s="93">
        <v>6</v>
      </c>
      <c r="J31" s="86" t="e">
        <f t="shared" si="11"/>
        <v>#DIV/0!</v>
      </c>
      <c r="K31" s="93">
        <v>6</v>
      </c>
      <c r="L31" s="86"/>
      <c r="M31" s="85"/>
      <c r="N31" s="73"/>
      <c r="O31" s="37"/>
      <c r="P31" s="37"/>
      <c r="Q31" s="28">
        <v>6</v>
      </c>
      <c r="R31" s="37" t="e">
        <f>P26*N30+P27*N29+P28*N28+P29*N27+P30*N26</f>
        <v>#DIV/0!</v>
      </c>
      <c r="S31" s="70">
        <v>6</v>
      </c>
      <c r="T31" s="135" t="e">
        <f t="shared" si="13"/>
        <v>#DIV/0!</v>
      </c>
      <c r="U31" s="93">
        <v>6</v>
      </c>
      <c r="V31" s="86" t="e">
        <f>T31*R25+T30*R26+T29*R27+T28*R28+T27*R29+T26*R30+T25*R31</f>
        <v>#DIV/0!</v>
      </c>
      <c r="W31" s="137"/>
      <c r="X31" s="28">
        <v>6</v>
      </c>
      <c r="Y31" s="73"/>
      <c r="Z31" s="28">
        <v>6</v>
      </c>
      <c r="AA31" s="79"/>
      <c r="AB31" s="28">
        <v>6</v>
      </c>
      <c r="AC31" s="79"/>
      <c r="AD31" s="28">
        <v>6</v>
      </c>
      <c r="AE31" s="79"/>
      <c r="AF31" s="28">
        <v>6</v>
      </c>
      <c r="AG31" s="79"/>
      <c r="AH31" s="28">
        <v>6</v>
      </c>
      <c r="AI31" s="79"/>
      <c r="AJ31" s="28">
        <v>6</v>
      </c>
      <c r="AK31" s="79" t="e">
        <f>((($W$25)^Q31)*((1-($W$25))^($U$31-Q31))*HLOOKUP($U$31,$AV$24:$BF$34,Q31+1))*V31</f>
        <v>#DIV/0!</v>
      </c>
      <c r="AL31" s="28">
        <v>6</v>
      </c>
      <c r="AM31" s="79" t="e">
        <f>((($W$25)^Q31)*((1-($W$25))^($U$32-Q31))*HLOOKUP($U$32,$AV$24:$BF$34,Q31+1))*V32</f>
        <v>#DIV/0!</v>
      </c>
      <c r="AN31" s="28">
        <v>6</v>
      </c>
      <c r="AO31" s="79" t="e">
        <f>((($W$25)^Q31)*((1-($W$25))^($U$33-Q31))*HLOOKUP($U$33,$AV$24:$BF$34,Q31+1))*V33</f>
        <v>#DIV/0!</v>
      </c>
      <c r="AP31" s="28">
        <v>6</v>
      </c>
      <c r="AQ31" s="79" t="e">
        <f>((($W$25)^Q31)*((1-($W$25))^($U$34-Q31))*HLOOKUP($U$34,$AV$24:$BF$34,Q31+1))*V34</f>
        <v>#DIV/0!</v>
      </c>
      <c r="AR31" s="28">
        <v>6</v>
      </c>
      <c r="AS31" s="79" t="e">
        <f>((($W$25)^Q31)*((1-($W$25))^($U$35-Q31))*HLOOKUP($U$35,$AV$24:$BF$34,Q31+1))*V35</f>
        <v>#DIV/0!</v>
      </c>
      <c r="AV31" s="14">
        <v>7</v>
      </c>
      <c r="BC31">
        <v>1</v>
      </c>
      <c r="BD31">
        <v>8</v>
      </c>
      <c r="BE31">
        <f>28+8</f>
        <v>36</v>
      </c>
      <c r="BF31">
        <f t="shared" si="14"/>
        <v>120</v>
      </c>
      <c r="BH31">
        <f t="shared" ref="BH31:BH37" si="15">BH24+1</f>
        <v>3</v>
      </c>
      <c r="BI31">
        <v>4</v>
      </c>
      <c r="BJ31" s="107" t="e">
        <f t="shared" ref="BJ31:BJ37" si="16">$H$28*H43</f>
        <v>#DIV/0!</v>
      </c>
      <c r="BP31">
        <f t="shared" ref="BP31:BP37" si="17">BP24+1</f>
        <v>8</v>
      </c>
      <c r="BQ31">
        <v>0</v>
      </c>
      <c r="BR31" s="107" t="e">
        <f t="shared" ref="BR31:BR38" si="18">$H$33*H39</f>
        <v>#DIV/0!</v>
      </c>
    </row>
    <row r="32" spans="1:70" x14ac:dyDescent="0.25">
      <c r="A32" s="26" t="s">
        <v>137</v>
      </c>
      <c r="B32" s="75">
        <f>IF(B17&lt;&gt;"TL",0.001,IF(B18&lt;5,0.1,IF(B18&lt;10,0.2,IF(B18&lt;14,0.3,0.35))))</f>
        <v>1E-3</v>
      </c>
      <c r="C32" s="58">
        <f>IF(C17&lt;&gt;"TL",0.001,IF(C18&lt;5,0.1,IF(C18&lt;10,0.2,IF(C18&lt;14,0.3,0.35))))</f>
        <v>1E-3</v>
      </c>
      <c r="G32" s="87">
        <v>7</v>
      </c>
      <c r="H32" s="128" t="e">
        <f>J32*L25+J31*L26+J30*L27+J29*L28</f>
        <v>#DIV/0!</v>
      </c>
      <c r="I32" s="93">
        <v>7</v>
      </c>
      <c r="J32" s="86" t="e">
        <f t="shared" si="11"/>
        <v>#DIV/0!</v>
      </c>
      <c r="K32" s="93">
        <v>7</v>
      </c>
      <c r="L32" s="86"/>
      <c r="M32" s="85"/>
      <c r="N32" s="73"/>
      <c r="O32" s="37"/>
      <c r="P32" s="37"/>
      <c r="Q32" s="28">
        <v>7</v>
      </c>
      <c r="R32" s="37" t="e">
        <f>P27*N30+P28*N29+P29*N28+P30*N27</f>
        <v>#DIV/0!</v>
      </c>
      <c r="S32" s="72">
        <v>7</v>
      </c>
      <c r="T32" s="135" t="e">
        <f t="shared" si="13"/>
        <v>#DIV/0!</v>
      </c>
      <c r="U32" s="93">
        <v>7</v>
      </c>
      <c r="V32" s="86" t="e">
        <f>T32*R25+T31*R26+T30*R27+T29*R28+T28*R29+T27*R30+T26*R31+T25*R32</f>
        <v>#DIV/0!</v>
      </c>
      <c r="W32" s="137"/>
      <c r="X32" s="28">
        <v>7</v>
      </c>
      <c r="Y32" s="73"/>
      <c r="Z32" s="28">
        <v>7</v>
      </c>
      <c r="AA32" s="79"/>
      <c r="AB32" s="28">
        <v>7</v>
      </c>
      <c r="AC32" s="79"/>
      <c r="AD32" s="28">
        <v>7</v>
      </c>
      <c r="AE32" s="79"/>
      <c r="AF32" s="28">
        <v>7</v>
      </c>
      <c r="AG32" s="79"/>
      <c r="AH32" s="28">
        <v>7</v>
      </c>
      <c r="AI32" s="79"/>
      <c r="AJ32" s="28">
        <v>7</v>
      </c>
      <c r="AK32" s="79"/>
      <c r="AL32" s="28">
        <v>7</v>
      </c>
      <c r="AM32" s="79" t="e">
        <f>((($W$25)^Q32)*((1-($W$25))^($U$32-Q32))*HLOOKUP($U$32,$AV$24:$BF$34,Q32+1))*V32</f>
        <v>#DIV/0!</v>
      </c>
      <c r="AN32" s="28">
        <v>7</v>
      </c>
      <c r="AO32" s="79" t="e">
        <f>((($W$25)^Q32)*((1-($W$25))^($U$33-Q32))*HLOOKUP($U$33,$AV$24:$BF$34,Q32+1))*V33</f>
        <v>#DIV/0!</v>
      </c>
      <c r="AP32" s="28">
        <v>7</v>
      </c>
      <c r="AQ32" s="79" t="e">
        <f>((($W$25)^Q32)*((1-($W$25))^($U$34-Q32))*HLOOKUP($U$34,$AV$24:$BF$34,Q32+1))*V34</f>
        <v>#DIV/0!</v>
      </c>
      <c r="AR32" s="28">
        <v>7</v>
      </c>
      <c r="AS32" s="79" t="e">
        <f>((($W$25)^Q32)*((1-($W$25))^($U$35-Q32))*HLOOKUP($U$35,$AV$24:$BF$34,Q32+1))*V35</f>
        <v>#DIV/0!</v>
      </c>
      <c r="AV32" s="14">
        <v>8</v>
      </c>
      <c r="BD32">
        <v>1</v>
      </c>
      <c r="BE32">
        <v>9</v>
      </c>
      <c r="BF32">
        <f t="shared" si="14"/>
        <v>45</v>
      </c>
      <c r="BH32">
        <f t="shared" si="15"/>
        <v>3</v>
      </c>
      <c r="BI32">
        <v>5</v>
      </c>
      <c r="BJ32" s="107" t="e">
        <f t="shared" si="16"/>
        <v>#DIV/0!</v>
      </c>
      <c r="BP32">
        <f t="shared" si="17"/>
        <v>8</v>
      </c>
      <c r="BQ32">
        <v>1</v>
      </c>
      <c r="BR32" s="107" t="e">
        <f t="shared" si="18"/>
        <v>#DIV/0!</v>
      </c>
    </row>
    <row r="33" spans="1:70" x14ac:dyDescent="0.25">
      <c r="A33" s="26" t="s">
        <v>84</v>
      </c>
      <c r="B33" s="75">
        <f>IF(B17&lt;&gt;"CA",0.005,IF((B18-B16)&lt;0,0.1,0.1+0.055*(B18-B16)))</f>
        <v>5.0000000000000001E-3</v>
      </c>
      <c r="C33" s="58">
        <f>IF(C17&lt;&gt;"CA",0.005,IF((C18-C16)&lt;0,0.1,0.1+0.055*(C18-C16)))</f>
        <v>5.0000000000000001E-3</v>
      </c>
      <c r="G33" s="87">
        <v>8</v>
      </c>
      <c r="H33" s="128" t="e">
        <f>J33*L25+J32*L26+J31*L27+J30*L28</f>
        <v>#DIV/0!</v>
      </c>
      <c r="I33" s="93">
        <v>8</v>
      </c>
      <c r="J33" s="86" t="e">
        <f t="shared" si="11"/>
        <v>#DIV/0!</v>
      </c>
      <c r="K33" s="93">
        <v>8</v>
      </c>
      <c r="L33" s="86"/>
      <c r="M33" s="85"/>
      <c r="N33" s="73"/>
      <c r="O33" s="37"/>
      <c r="P33" s="37"/>
      <c r="Q33" s="28">
        <v>8</v>
      </c>
      <c r="R33" s="37" t="e">
        <f>P28*N30+P29*N29+P30*N28</f>
        <v>#DIV/0!</v>
      </c>
      <c r="S33" s="72">
        <v>8</v>
      </c>
      <c r="T33" s="135" t="e">
        <f t="shared" si="13"/>
        <v>#DIV/0!</v>
      </c>
      <c r="U33" s="93">
        <v>8</v>
      </c>
      <c r="V33" s="86" t="e">
        <f>T33*R25+T32*R26+T31*R27+T30*R28+T29*R29+T28*R30+T27*R31+T26*R32+T25*R33</f>
        <v>#DIV/0!</v>
      </c>
      <c r="W33" s="137"/>
      <c r="X33" s="28">
        <v>8</v>
      </c>
      <c r="Y33" s="73"/>
      <c r="Z33" s="28">
        <v>8</v>
      </c>
      <c r="AA33" s="79"/>
      <c r="AB33" s="28">
        <v>8</v>
      </c>
      <c r="AC33" s="79"/>
      <c r="AD33" s="28">
        <v>8</v>
      </c>
      <c r="AE33" s="79"/>
      <c r="AF33" s="28">
        <v>8</v>
      </c>
      <c r="AG33" s="79"/>
      <c r="AH33" s="28">
        <v>8</v>
      </c>
      <c r="AI33" s="79"/>
      <c r="AJ33" s="28">
        <v>8</v>
      </c>
      <c r="AK33" s="79"/>
      <c r="AL33" s="28">
        <v>8</v>
      </c>
      <c r="AM33" s="79"/>
      <c r="AN33" s="28">
        <v>8</v>
      </c>
      <c r="AO33" s="79" t="e">
        <f>((($W$25)^Q33)*((1-($W$25))^($U$33-Q33))*HLOOKUP($U$33,$AV$24:$BF$34,Q33+1))*V33</f>
        <v>#DIV/0!</v>
      </c>
      <c r="AP33" s="28">
        <v>8</v>
      </c>
      <c r="AQ33" s="79" t="e">
        <f>((($W$25)^Q33)*((1-($W$25))^($U$34-Q33))*HLOOKUP($U$34,$AV$24:$BF$34,Q33+1))*V34</f>
        <v>#DIV/0!</v>
      </c>
      <c r="AR33" s="28">
        <v>8</v>
      </c>
      <c r="AS33" s="79" t="e">
        <f>((($W$25)^Q33)*((1-($W$25))^($U$35-Q33))*HLOOKUP($U$35,$AV$24:$BF$34,Q33+1))*V35</f>
        <v>#DIV/0!</v>
      </c>
      <c r="AV33" s="29">
        <v>9</v>
      </c>
      <c r="BE33">
        <v>1</v>
      </c>
      <c r="BF33">
        <f t="shared" si="14"/>
        <v>10</v>
      </c>
      <c r="BH33">
        <f t="shared" si="15"/>
        <v>3</v>
      </c>
      <c r="BI33">
        <v>6</v>
      </c>
      <c r="BJ33" s="107" t="e">
        <f t="shared" si="16"/>
        <v>#DIV/0!</v>
      </c>
      <c r="BP33">
        <f t="shared" si="17"/>
        <v>8</v>
      </c>
      <c r="BQ33">
        <v>2</v>
      </c>
      <c r="BR33" s="107" t="e">
        <f t="shared" si="18"/>
        <v>#DIV/0!</v>
      </c>
    </row>
    <row r="34" spans="1:70" x14ac:dyDescent="0.25">
      <c r="A34" s="40" t="s">
        <v>86</v>
      </c>
      <c r="B34" s="56" t="e">
        <f>B23*2</f>
        <v>#DIV/0!</v>
      </c>
      <c r="C34" s="57" t="e">
        <f>C23*2</f>
        <v>#DIV/0!</v>
      </c>
      <c r="G34" s="87">
        <v>9</v>
      </c>
      <c r="H34" s="128" t="e">
        <f>J34*L25+J33*L26+J32*L27+J31*L28</f>
        <v>#DIV/0!</v>
      </c>
      <c r="I34" s="93">
        <v>9</v>
      </c>
      <c r="J34" s="86" t="e">
        <f t="shared" si="11"/>
        <v>#DIV/0!</v>
      </c>
      <c r="K34" s="93">
        <v>9</v>
      </c>
      <c r="L34" s="86"/>
      <c r="M34" s="85"/>
      <c r="N34" s="73"/>
      <c r="O34" s="37"/>
      <c r="P34" s="37"/>
      <c r="Q34" s="28">
        <v>9</v>
      </c>
      <c r="R34" s="37" t="e">
        <f>P29*N30+P30*N29</f>
        <v>#DIV/0!</v>
      </c>
      <c r="S34" s="72">
        <v>9</v>
      </c>
      <c r="T34" s="135" t="e">
        <f t="shared" si="13"/>
        <v>#DIV/0!</v>
      </c>
      <c r="U34" s="93">
        <v>9</v>
      </c>
      <c r="V34" s="86" t="e">
        <f>T34*R25+T33*R26+T32*R27+T31*R28+T30*R29+T29*R30+T28*R31+T27*R32+T26*R33+T25*R34</f>
        <v>#DIV/0!</v>
      </c>
      <c r="W34" s="137"/>
      <c r="X34" s="28">
        <v>9</v>
      </c>
      <c r="Y34" s="73"/>
      <c r="Z34" s="28">
        <v>9</v>
      </c>
      <c r="AA34" s="79"/>
      <c r="AB34" s="28">
        <v>9</v>
      </c>
      <c r="AC34" s="79"/>
      <c r="AD34" s="28">
        <v>9</v>
      </c>
      <c r="AE34" s="79"/>
      <c r="AF34" s="28">
        <v>9</v>
      </c>
      <c r="AG34" s="79"/>
      <c r="AH34" s="28">
        <v>9</v>
      </c>
      <c r="AI34" s="79"/>
      <c r="AJ34" s="28">
        <v>9</v>
      </c>
      <c r="AK34" s="79"/>
      <c r="AL34" s="28">
        <v>9</v>
      </c>
      <c r="AM34" s="79"/>
      <c r="AN34" s="28">
        <v>9</v>
      </c>
      <c r="AO34" s="79"/>
      <c r="AP34" s="28">
        <v>9</v>
      </c>
      <c r="AQ34" s="79" t="e">
        <f>((($W$25)^Q34)*((1-($W$25))^($U$34-Q34))*HLOOKUP($U$34,$AV$24:$BF$34,Q34+1))*V34</f>
        <v>#DIV/0!</v>
      </c>
      <c r="AR34" s="28">
        <v>9</v>
      </c>
      <c r="AS34" s="79" t="e">
        <f>((($W$25)^Q34)*((1-($W$25))^($U$35-Q34))*HLOOKUP($U$35,$AV$24:$BF$34,Q34+1))*V35</f>
        <v>#DIV/0!</v>
      </c>
      <c r="AV34" s="14">
        <v>10</v>
      </c>
      <c r="BF34">
        <f t="shared" si="14"/>
        <v>1</v>
      </c>
      <c r="BH34">
        <f t="shared" si="15"/>
        <v>3</v>
      </c>
      <c r="BI34">
        <v>7</v>
      </c>
      <c r="BJ34" s="107" t="e">
        <f t="shared" si="16"/>
        <v>#DIV/0!</v>
      </c>
      <c r="BP34">
        <f t="shared" si="17"/>
        <v>8</v>
      </c>
      <c r="BQ34">
        <v>3</v>
      </c>
      <c r="BR34" s="107" t="e">
        <f t="shared" si="18"/>
        <v>#DIV/0!</v>
      </c>
    </row>
    <row r="35" spans="1:70" ht="15.75" thickBot="1" x14ac:dyDescent="0.3">
      <c r="G35" s="88">
        <v>10</v>
      </c>
      <c r="H35" s="129" t="e">
        <f>J35*L25+J34*L26+J33*L27+J32*L28</f>
        <v>#DIV/0!</v>
      </c>
      <c r="I35" s="94">
        <v>10</v>
      </c>
      <c r="J35" s="89" t="e">
        <f t="shared" si="11"/>
        <v>#DIV/0!</v>
      </c>
      <c r="K35" s="94">
        <v>10</v>
      </c>
      <c r="L35" s="89"/>
      <c r="M35" s="85"/>
      <c r="N35" s="73"/>
      <c r="O35" s="37"/>
      <c r="P35" s="37"/>
      <c r="Q35" s="28">
        <v>10</v>
      </c>
      <c r="R35" s="37" t="e">
        <f>P30*N30</f>
        <v>#DIV/0!</v>
      </c>
      <c r="S35" s="72">
        <v>10</v>
      </c>
      <c r="T35" s="135" t="e">
        <f t="shared" si="13"/>
        <v>#DIV/0!</v>
      </c>
      <c r="U35" s="94">
        <v>10</v>
      </c>
      <c r="V35" s="89" t="e">
        <f>IF(((T35*R25+T34*R26+T33*R27+T32*R28+T31*R29+T30*R30+T29*R31+T28*R32+T27*R33+T26*R34+T25*R35)+V23)&lt;&gt;1,1-V23,(T35*R25+T34*R26+T33*R27+T32*R28+T31*R29+T30*R30+T29*R31+T28*R32+T27*R33+T26*R34+T25*R35))</f>
        <v>#DIV/0!</v>
      </c>
      <c r="W35" s="137"/>
      <c r="X35" s="28">
        <v>10</v>
      </c>
      <c r="Y35" s="73"/>
      <c r="Z35" s="28">
        <v>10</v>
      </c>
      <c r="AA35" s="79"/>
      <c r="AB35" s="28">
        <v>10</v>
      </c>
      <c r="AC35" s="79"/>
      <c r="AD35" s="28">
        <v>10</v>
      </c>
      <c r="AE35" s="79"/>
      <c r="AF35" s="28">
        <v>10</v>
      </c>
      <c r="AG35" s="79"/>
      <c r="AH35" s="28">
        <v>10</v>
      </c>
      <c r="AI35" s="79"/>
      <c r="AJ35" s="28">
        <v>10</v>
      </c>
      <c r="AK35" s="79"/>
      <c r="AL35" s="28">
        <v>10</v>
      </c>
      <c r="AM35" s="79"/>
      <c r="AN35" s="28">
        <v>10</v>
      </c>
      <c r="AO35" s="79"/>
      <c r="AP35" s="28">
        <v>10</v>
      </c>
      <c r="AQ35" s="79"/>
      <c r="AR35" s="28">
        <v>10</v>
      </c>
      <c r="AS35" s="79" t="e">
        <f>((($W$25)^Q35)*((1-($W$25))^($U$35-Q35))*HLOOKUP($U$35,$AV$24:$BF$34,Q35+1))*V35</f>
        <v>#DIV/0!</v>
      </c>
      <c r="BH35">
        <f t="shared" si="15"/>
        <v>3</v>
      </c>
      <c r="BI35">
        <v>8</v>
      </c>
      <c r="BJ35" s="107" t="e">
        <f t="shared" si="16"/>
        <v>#DIV/0!</v>
      </c>
      <c r="BP35">
        <f t="shared" si="17"/>
        <v>8</v>
      </c>
      <c r="BQ35">
        <v>4</v>
      </c>
      <c r="BR35" s="107" t="e">
        <f t="shared" si="18"/>
        <v>#DIV/0!</v>
      </c>
    </row>
    <row r="36" spans="1:70" x14ac:dyDescent="0.25">
      <c r="A36" s="1"/>
      <c r="B36" s="108" t="e">
        <f>SUM(B37:B39)</f>
        <v>#DIV/0!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59" t="e">
        <f>SUM(V39:V49)</f>
        <v>#DIV/0!</v>
      </c>
      <c r="W36" s="13"/>
      <c r="X36" s="13"/>
      <c r="AS36" s="82" t="e">
        <f>Y37+AA37+AC37+AE37+AG37+AI37+AK37+AM37+AO37+AQ37+AS37</f>
        <v>#DIV/0!</v>
      </c>
      <c r="BH36">
        <f t="shared" si="15"/>
        <v>3</v>
      </c>
      <c r="BI36">
        <v>9</v>
      </c>
      <c r="BJ36" s="107" t="e">
        <f t="shared" si="16"/>
        <v>#DIV/0!</v>
      </c>
      <c r="BP36">
        <f t="shared" si="17"/>
        <v>8</v>
      </c>
      <c r="BQ36">
        <v>5</v>
      </c>
      <c r="BR36" s="107" t="e">
        <f t="shared" si="18"/>
        <v>#DIV/0!</v>
      </c>
    </row>
    <row r="37" spans="1:70" ht="15.75" thickBot="1" x14ac:dyDescent="0.3">
      <c r="A37" s="109" t="s">
        <v>104</v>
      </c>
      <c r="B37" s="107" t="e">
        <f>SUM(BN4:BN14)</f>
        <v>#DIV/0!</v>
      </c>
      <c r="G37" s="13"/>
      <c r="H37" s="59" t="e">
        <f>SUM(H39:H49)</f>
        <v>#DIV/0!</v>
      </c>
      <c r="I37" s="13"/>
      <c r="J37" s="59" t="e">
        <f>SUM(J39:J49)</f>
        <v>#DIV/0!</v>
      </c>
      <c r="K37" s="59"/>
      <c r="L37" s="59" t="e">
        <f>SUM(L39:L49)</f>
        <v>#DIV/0!</v>
      </c>
      <c r="M37" s="13"/>
      <c r="N37" s="74" t="e">
        <f>SUM(N39:N49)</f>
        <v>#DIV/0!</v>
      </c>
      <c r="O37" s="13"/>
      <c r="P37" s="74" t="e">
        <f>SUM(P39:P49)</f>
        <v>#DIV/0!</v>
      </c>
      <c r="Q37" s="13"/>
      <c r="R37" s="59" t="e">
        <f>SUM(R39:R49)</f>
        <v>#DIV/0!</v>
      </c>
      <c r="S37" s="13"/>
      <c r="T37" s="59" t="e">
        <f>SUM(T39:T49)</f>
        <v>#DIV/0!</v>
      </c>
      <c r="U37" s="13"/>
      <c r="V37" s="59" t="e">
        <f>SUM(V39:V48)</f>
        <v>#DIV/0!</v>
      </c>
      <c r="W37" s="13"/>
      <c r="X37" s="13"/>
      <c r="Y37" s="80" t="e">
        <f>SUM(Y39:Y49)</f>
        <v>#DIV/0!</v>
      </c>
      <c r="Z37" s="81"/>
      <c r="AA37" s="80" t="e">
        <f>SUM(AA39:AA49)</f>
        <v>#DIV/0!</v>
      </c>
      <c r="AB37" s="81"/>
      <c r="AC37" s="80" t="e">
        <f>SUM(AC39:AC49)</f>
        <v>#DIV/0!</v>
      </c>
      <c r="AD37" s="81"/>
      <c r="AE37" s="80" t="e">
        <f>SUM(AE39:AE49)</f>
        <v>#DIV/0!</v>
      </c>
      <c r="AF37" s="81"/>
      <c r="AG37" s="80" t="e">
        <f>SUM(AG39:AG49)</f>
        <v>#DIV/0!</v>
      </c>
      <c r="AH37" s="81"/>
      <c r="AI37" s="80" t="e">
        <f>SUM(AI39:AI49)</f>
        <v>#DIV/0!</v>
      </c>
      <c r="AJ37" s="81"/>
      <c r="AK37" s="80" t="e">
        <f>SUM(AK39:AK49)</f>
        <v>#DIV/0!</v>
      </c>
      <c r="AL37" s="81"/>
      <c r="AM37" s="80" t="e">
        <f>SUM(AM39:AM49)</f>
        <v>#DIV/0!</v>
      </c>
      <c r="AN37" s="81"/>
      <c r="AO37" s="80" t="e">
        <f>SUM(AO39:AO49)</f>
        <v>#DIV/0!</v>
      </c>
      <c r="AP37" s="81"/>
      <c r="AQ37" s="80" t="e">
        <f>SUM(AQ39:AQ49)</f>
        <v>#DIV/0!</v>
      </c>
      <c r="AR37" s="81"/>
      <c r="AS37" s="80" t="e">
        <f>SUM(AS39:AS49)</f>
        <v>#DIV/0!</v>
      </c>
      <c r="BH37">
        <f t="shared" si="15"/>
        <v>3</v>
      </c>
      <c r="BI37">
        <v>10</v>
      </c>
      <c r="BJ37" s="107" t="e">
        <f t="shared" si="16"/>
        <v>#DIV/0!</v>
      </c>
      <c r="BP37">
        <f t="shared" si="17"/>
        <v>8</v>
      </c>
      <c r="BQ37">
        <v>6</v>
      </c>
      <c r="BR37" s="107" t="e">
        <f t="shared" si="18"/>
        <v>#DIV/0!</v>
      </c>
    </row>
    <row r="38" spans="1:70" ht="15.75" thickBot="1" x14ac:dyDescent="0.3">
      <c r="A38" s="110" t="s">
        <v>105</v>
      </c>
      <c r="B38" s="107" t="e">
        <f>SUM(BJ4:BJ59)</f>
        <v>#DIV/0!</v>
      </c>
      <c r="G38" s="103" t="str">
        <f t="shared" ref="G38:T38" si="19">G24</f>
        <v>G</v>
      </c>
      <c r="H38" s="104" t="str">
        <f t="shared" si="19"/>
        <v>p</v>
      </c>
      <c r="I38" s="103" t="str">
        <f t="shared" si="19"/>
        <v>GT</v>
      </c>
      <c r="J38" s="105" t="str">
        <f t="shared" si="19"/>
        <v>p(x)</v>
      </c>
      <c r="K38" s="106" t="str">
        <f t="shared" si="19"/>
        <v>EE(x)</v>
      </c>
      <c r="L38" s="105" t="str">
        <f t="shared" si="19"/>
        <v>p</v>
      </c>
      <c r="M38" s="90" t="str">
        <f t="shared" si="19"/>
        <v>OcaS</v>
      </c>
      <c r="N38" s="30" t="str">
        <f t="shared" si="19"/>
        <v>P</v>
      </c>
      <c r="O38" s="30" t="str">
        <f t="shared" si="19"/>
        <v>O_CA</v>
      </c>
      <c r="P38" s="30" t="str">
        <f t="shared" si="19"/>
        <v>p</v>
      </c>
      <c r="Q38" s="30" t="str">
        <f t="shared" si="19"/>
        <v>TotalN</v>
      </c>
      <c r="R38" s="30" t="str">
        <f t="shared" si="19"/>
        <v>p</v>
      </c>
      <c r="S38" s="30" t="str">
        <f t="shared" si="19"/>
        <v>OcaCA</v>
      </c>
      <c r="T38" s="141" t="str">
        <f t="shared" si="19"/>
        <v>p</v>
      </c>
      <c r="U38" s="142" t="str">
        <f>U24</f>
        <v>Total</v>
      </c>
      <c r="V38" s="143" t="str">
        <f>V24</f>
        <v>P</v>
      </c>
      <c r="W38" s="90" t="str">
        <f>W24</f>
        <v>E(x)</v>
      </c>
      <c r="X38" s="30" t="str">
        <f t="shared" ref="X38" si="20">X24</f>
        <v>G0</v>
      </c>
      <c r="Y38" s="30" t="str">
        <f>Y24</f>
        <v>p</v>
      </c>
      <c r="Z38" s="30" t="str">
        <f t="shared" ref="Z38" si="21">Z24</f>
        <v>G1</v>
      </c>
      <c r="AA38" s="30" t="str">
        <f>AA24</f>
        <v>p</v>
      </c>
      <c r="AB38" s="30" t="str">
        <f t="shared" ref="AB38" si="22">AB24</f>
        <v>G2</v>
      </c>
      <c r="AC38" s="30" t="str">
        <f>AC24</f>
        <v>p</v>
      </c>
      <c r="AD38" s="30" t="str">
        <f t="shared" ref="AD38" si="23">AD24</f>
        <v>G3</v>
      </c>
      <c r="AE38" s="30" t="str">
        <f>AE24</f>
        <v>p</v>
      </c>
      <c r="AF38" s="30" t="str">
        <f t="shared" ref="AF38" si="24">AF24</f>
        <v>G4</v>
      </c>
      <c r="AG38" s="30" t="str">
        <f>AG24</f>
        <v>p</v>
      </c>
      <c r="AH38" s="30" t="str">
        <f t="shared" ref="AH38" si="25">AH24</f>
        <v>G5</v>
      </c>
      <c r="AI38" s="30" t="str">
        <f>AI24</f>
        <v>p</v>
      </c>
      <c r="AJ38" s="30" t="str">
        <f t="shared" ref="AJ38" si="26">AJ24</f>
        <v>G6</v>
      </c>
      <c r="AK38" s="30" t="str">
        <f>AK24</f>
        <v>p</v>
      </c>
      <c r="AL38" s="30" t="str">
        <f t="shared" ref="AL38" si="27">AL24</f>
        <v>G7</v>
      </c>
      <c r="AM38" s="30" t="str">
        <f>AM24</f>
        <v>p</v>
      </c>
      <c r="AN38" s="30" t="str">
        <f t="shared" ref="AN38" si="28">AN24</f>
        <v>G8</v>
      </c>
      <c r="AO38" s="30" t="str">
        <f>AO24</f>
        <v>p</v>
      </c>
      <c r="AP38" s="30" t="str">
        <f t="shared" ref="AP38" si="29">AP24</f>
        <v>G9</v>
      </c>
      <c r="AQ38" s="30" t="str">
        <f>AQ24</f>
        <v>p</v>
      </c>
      <c r="AR38" s="30" t="str">
        <f t="shared" ref="AR38" si="30">AR24</f>
        <v>G10</v>
      </c>
      <c r="AS38" s="30" t="str">
        <f>AS24</f>
        <v>p</v>
      </c>
      <c r="AV38" s="14">
        <v>0</v>
      </c>
      <c r="AW38" s="14">
        <v>1</v>
      </c>
      <c r="AX38" s="14">
        <v>2</v>
      </c>
      <c r="AY38" s="14">
        <v>3</v>
      </c>
      <c r="AZ38" s="14">
        <v>4</v>
      </c>
      <c r="BA38" s="14">
        <v>5</v>
      </c>
      <c r="BB38" s="14">
        <v>6</v>
      </c>
      <c r="BC38" s="14">
        <v>7</v>
      </c>
      <c r="BD38" s="14">
        <v>8</v>
      </c>
      <c r="BE38" s="14">
        <v>9</v>
      </c>
      <c r="BF38" s="14">
        <v>10</v>
      </c>
      <c r="BH38">
        <f t="shared" ref="BH38:BH43" si="31">BH32+1</f>
        <v>4</v>
      </c>
      <c r="BI38">
        <v>5</v>
      </c>
      <c r="BJ38" s="107" t="e">
        <f t="shared" ref="BJ38:BJ43" si="32">$H$29*H44</f>
        <v>#DIV/0!</v>
      </c>
      <c r="BP38">
        <f>BL11+1</f>
        <v>8</v>
      </c>
      <c r="BQ38">
        <v>7</v>
      </c>
      <c r="BR38" s="107" t="e">
        <f t="shared" si="18"/>
        <v>#DIV/0!</v>
      </c>
    </row>
    <row r="39" spans="1:70" x14ac:dyDescent="0.25">
      <c r="A39" s="111" t="s">
        <v>0</v>
      </c>
      <c r="B39" s="107" t="e">
        <f>SUM(BR4:BR47)</f>
        <v>#DIV/0!</v>
      </c>
      <c r="G39" s="130">
        <v>0</v>
      </c>
      <c r="H39" s="131" t="e">
        <f>L39*J39</f>
        <v>#DIV/0!</v>
      </c>
      <c r="I39" s="97">
        <v>0</v>
      </c>
      <c r="J39" s="98" t="e">
        <f t="shared" ref="J39:J49" si="33">Y39+AA39+AC39+AE39+AG39+AI39+AK39+AM39+AO39+AQ39+AS39</f>
        <v>#DIV/0!</v>
      </c>
      <c r="K39" s="102">
        <v>0</v>
      </c>
      <c r="L39" s="98" t="e">
        <f>AC21</f>
        <v>#DIV/0!</v>
      </c>
      <c r="M39" s="84">
        <v>0</v>
      </c>
      <c r="N39" s="71" t="e">
        <f>(1-$C$24)^$B$21</f>
        <v>#DIV/0!</v>
      </c>
      <c r="O39" s="70">
        <v>0</v>
      </c>
      <c r="P39" s="71" t="e">
        <f>N39</f>
        <v>#DIV/0!</v>
      </c>
      <c r="Q39" s="12">
        <v>0</v>
      </c>
      <c r="R39" s="73" t="e">
        <f>P39*N39</f>
        <v>#DIV/0!</v>
      </c>
      <c r="S39" s="70">
        <v>0</v>
      </c>
      <c r="T39" s="135" t="e">
        <f>(1-$C$33)^(INT(B23*2*(1-B31)))</f>
        <v>#DIV/0!</v>
      </c>
      <c r="U39" s="140">
        <v>0</v>
      </c>
      <c r="V39" s="86" t="e">
        <f>R39*T39</f>
        <v>#DIV/0!</v>
      </c>
      <c r="W39" s="136" t="e">
        <f>C31</f>
        <v>#DIV/0!</v>
      </c>
      <c r="X39" s="12">
        <v>0</v>
      </c>
      <c r="Y39" s="79" t="e">
        <f>V39</f>
        <v>#DIV/0!</v>
      </c>
      <c r="Z39" s="12">
        <v>0</v>
      </c>
      <c r="AA39" s="78" t="e">
        <f>((1-W39)^Z40)*V40</f>
        <v>#DIV/0!</v>
      </c>
      <c r="AB39" s="12">
        <v>0</v>
      </c>
      <c r="AC39" s="79" t="e">
        <f>(((1-$W$39)^AB41))*V41</f>
        <v>#DIV/0!</v>
      </c>
      <c r="AD39" s="12">
        <v>0</v>
      </c>
      <c r="AE39" s="79" t="e">
        <f>(((1-$W$39)^AB42))*V42</f>
        <v>#DIV/0!</v>
      </c>
      <c r="AF39" s="12">
        <v>0</v>
      </c>
      <c r="AG39" s="79" t="e">
        <f>(((1-$W$39)^AB43))*V43</f>
        <v>#DIV/0!</v>
      </c>
      <c r="AH39" s="12">
        <v>0</v>
      </c>
      <c r="AI39" s="79" t="e">
        <f>(((1-$W$39)^AB44))*V44</f>
        <v>#DIV/0!</v>
      </c>
      <c r="AJ39" s="12">
        <v>0</v>
      </c>
      <c r="AK39" s="79" t="e">
        <f>(((1-$W$39)^AB45))*V45</f>
        <v>#DIV/0!</v>
      </c>
      <c r="AL39" s="12">
        <v>0</v>
      </c>
      <c r="AM39" s="79" t="e">
        <f>(((1-$W$39)^AB46))*V46</f>
        <v>#DIV/0!</v>
      </c>
      <c r="AN39" s="12">
        <v>0</v>
      </c>
      <c r="AO39" s="79" t="e">
        <f>(((1-$W$39)^AB47))*V47</f>
        <v>#DIV/0!</v>
      </c>
      <c r="AP39" s="12">
        <v>0</v>
      </c>
      <c r="AQ39" s="79" t="e">
        <f>(((1-$W$39)^AB48))*V48</f>
        <v>#DIV/0!</v>
      </c>
      <c r="AR39" s="12">
        <v>0</v>
      </c>
      <c r="AS39" s="79" t="e">
        <f>(((1-$W$39)^AB49))*V49</f>
        <v>#DIV/0!</v>
      </c>
      <c r="AV39" s="14">
        <v>1</v>
      </c>
      <c r="AW39">
        <v>1</v>
      </c>
      <c r="AX39">
        <v>2</v>
      </c>
      <c r="AY39">
        <v>3</v>
      </c>
      <c r="AZ39">
        <v>4</v>
      </c>
      <c r="BA39">
        <v>5</v>
      </c>
      <c r="BB39">
        <v>6</v>
      </c>
      <c r="BC39">
        <f>7</f>
        <v>7</v>
      </c>
      <c r="BD39">
        <v>8</v>
      </c>
      <c r="BE39">
        <v>9</v>
      </c>
      <c r="BF39">
        <v>10</v>
      </c>
      <c r="BH39">
        <f t="shared" si="31"/>
        <v>4</v>
      </c>
      <c r="BI39">
        <v>6</v>
      </c>
      <c r="BJ39" s="107" t="e">
        <f t="shared" si="32"/>
        <v>#DIV/0!</v>
      </c>
      <c r="BP39">
        <f t="shared" ref="BP39:BP46" si="34">BP31+1</f>
        <v>9</v>
      </c>
      <c r="BQ39">
        <v>0</v>
      </c>
      <c r="BR39" s="107" t="e">
        <f t="shared" ref="BR39:BR47" si="35">$H$34*H39</f>
        <v>#DIV/0!</v>
      </c>
    </row>
    <row r="40" spans="1:70" x14ac:dyDescent="0.25">
      <c r="G40" s="91">
        <v>1</v>
      </c>
      <c r="H40" s="132" t="e">
        <f>L39*J40+L40*J39</f>
        <v>#DIV/0!</v>
      </c>
      <c r="I40" s="93">
        <v>1</v>
      </c>
      <c r="J40" s="86" t="e">
        <f t="shared" si="33"/>
        <v>#DIV/0!</v>
      </c>
      <c r="K40" s="95">
        <v>1</v>
      </c>
      <c r="L40" s="86" t="e">
        <f>AD21</f>
        <v>#DIV/0!</v>
      </c>
      <c r="M40" s="85">
        <v>1</v>
      </c>
      <c r="N40" s="71" t="e">
        <f>(($C$24)^M26)*((1-($C$24))^($B$21-M26))*HLOOKUP($B$21,$AV$24:$BF$34,M26+1)</f>
        <v>#DIV/0!</v>
      </c>
      <c r="O40" s="72">
        <v>1</v>
      </c>
      <c r="P40" s="71" t="e">
        <f t="shared" ref="P40:P44" si="36">N40</f>
        <v>#DIV/0!</v>
      </c>
      <c r="Q40" s="28">
        <v>1</v>
      </c>
      <c r="R40" s="37" t="e">
        <f>P40*N39+P39*N40</f>
        <v>#DIV/0!</v>
      </c>
      <c r="S40" s="72">
        <v>1</v>
      </c>
      <c r="T40" s="135" t="e">
        <f t="shared" ref="T40:T49" si="37">(($C$33)^S40)*((1-($C$33))^(INT($B$23*2*(1-$B$31))-S40))*HLOOKUP(INT($B$23*2*(1-$B$31)),$AV$24:$BF$34,S40+1)</f>
        <v>#DIV/0!</v>
      </c>
      <c r="U40" s="93">
        <v>1</v>
      </c>
      <c r="V40" s="86" t="e">
        <f>R40*T39+T40*R39</f>
        <v>#DIV/0!</v>
      </c>
      <c r="W40" s="137"/>
      <c r="X40" s="28">
        <v>1</v>
      </c>
      <c r="Y40" s="73"/>
      <c r="Z40" s="28">
        <v>1</v>
      </c>
      <c r="AA40" s="79" t="e">
        <f>(1-((1-W39)^Z40))*V40</f>
        <v>#DIV/0!</v>
      </c>
      <c r="AB40" s="28">
        <v>1</v>
      </c>
      <c r="AC40" s="79" t="e">
        <f>((($W$39)^M40)*((1-($W$39))^($U$27-M40))*HLOOKUP($U$27,$AV$24:$BF$34,M40+1))*V41</f>
        <v>#DIV/0!</v>
      </c>
      <c r="AD40" s="28">
        <v>1</v>
      </c>
      <c r="AE40" s="79" t="e">
        <f>((($W$39)^M40)*((1-($W$39))^($U$28-M40))*HLOOKUP($U$28,$AV$24:$BF$34,M40+1))*V42</f>
        <v>#DIV/0!</v>
      </c>
      <c r="AF40" s="28">
        <v>1</v>
      </c>
      <c r="AG40" s="79" t="e">
        <f>((($W$39)^M40)*((1-($W$39))^($U$29-M40))*HLOOKUP($U$29,$AV$24:$BF$34,M40+1))*V43</f>
        <v>#DIV/0!</v>
      </c>
      <c r="AH40" s="28">
        <v>1</v>
      </c>
      <c r="AI40" s="79" t="e">
        <f>((($W$39)^M40)*((1-($W$39))^($U$30-M40))*HLOOKUP($U$30,$AV$24:$BF$34,M40+1))*V44</f>
        <v>#DIV/0!</v>
      </c>
      <c r="AJ40" s="28">
        <v>1</v>
      </c>
      <c r="AK40" s="79" t="e">
        <f>((($W$39)^M40)*((1-($W$39))^($U$31-M40))*HLOOKUP($U$31,$AV$24:$BF$34,M40+1))*V45</f>
        <v>#DIV/0!</v>
      </c>
      <c r="AL40" s="28">
        <v>1</v>
      </c>
      <c r="AM40" s="79" t="e">
        <f>((($W$39)^Q40)*((1-($W$39))^($U$32-Q40))*HLOOKUP($U$32,$AV$24:$BF$34,Q40+1))*V46</f>
        <v>#DIV/0!</v>
      </c>
      <c r="AN40" s="28">
        <v>1</v>
      </c>
      <c r="AO40" s="79" t="e">
        <f>((($W$39)^Q40)*((1-($W$39))^($U$33-Q40))*HLOOKUP($U$33,$AV$24:$BF$34,Q40+1))*V47</f>
        <v>#DIV/0!</v>
      </c>
      <c r="AP40" s="28">
        <v>1</v>
      </c>
      <c r="AQ40" s="79" t="e">
        <f>((($W$39)^Q40)*((1-($W$39))^($U$34-Q40))*HLOOKUP($U$34,$AV$24:$BF$34,Q40+1))*V48</f>
        <v>#DIV/0!</v>
      </c>
      <c r="AR40" s="28">
        <v>1</v>
      </c>
      <c r="AS40" s="79" t="e">
        <f>((($W$39)^Q40)*((1-($W$39))^($U$35-Q40))*HLOOKUP($U$35,$AV$24:$BF$34,Q40+1))*V49</f>
        <v>#DIV/0!</v>
      </c>
      <c r="AV40" s="14">
        <v>2</v>
      </c>
      <c r="AX40">
        <v>1</v>
      </c>
      <c r="AY40">
        <v>3</v>
      </c>
      <c r="AZ40">
        <v>6</v>
      </c>
      <c r="BA40">
        <v>10</v>
      </c>
      <c r="BB40">
        <v>15</v>
      </c>
      <c r="BC40">
        <f>6+15</f>
        <v>21</v>
      </c>
      <c r="BD40">
        <f>21+7</f>
        <v>28</v>
      </c>
      <c r="BE40">
        <f>28+8</f>
        <v>36</v>
      </c>
      <c r="BF40">
        <f>36+9</f>
        <v>45</v>
      </c>
      <c r="BH40">
        <f t="shared" si="31"/>
        <v>4</v>
      </c>
      <c r="BI40">
        <v>7</v>
      </c>
      <c r="BJ40" s="107" t="e">
        <f t="shared" si="32"/>
        <v>#DIV/0!</v>
      </c>
      <c r="BP40">
        <f t="shared" si="34"/>
        <v>9</v>
      </c>
      <c r="BQ40">
        <v>1</v>
      </c>
      <c r="BR40" s="107" t="e">
        <f t="shared" si="35"/>
        <v>#DIV/0!</v>
      </c>
    </row>
    <row r="41" spans="1:70" x14ac:dyDescent="0.25">
      <c r="G41" s="91">
        <v>2</v>
      </c>
      <c r="H41" s="132" t="e">
        <f>L39*J41+J40*L40+J39*L41</f>
        <v>#DIV/0!</v>
      </c>
      <c r="I41" s="93">
        <v>2</v>
      </c>
      <c r="J41" s="86" t="e">
        <f t="shared" si="33"/>
        <v>#DIV/0!</v>
      </c>
      <c r="K41" s="95">
        <v>2</v>
      </c>
      <c r="L41" s="86" t="e">
        <f>AE21</f>
        <v>#DIV/0!</v>
      </c>
      <c r="M41" s="85">
        <v>2</v>
      </c>
      <c r="N41" s="71" t="e">
        <f>(($C$24)^M27)*((1-($C$24))^($B$21-M27))*HLOOKUP($B$21,$AV$24:$BF$34,M27+1)</f>
        <v>#DIV/0!</v>
      </c>
      <c r="O41" s="72">
        <v>2</v>
      </c>
      <c r="P41" s="71" t="e">
        <f t="shared" si="36"/>
        <v>#DIV/0!</v>
      </c>
      <c r="Q41" s="28">
        <v>2</v>
      </c>
      <c r="R41" s="37" t="e">
        <f>P41*N39+P40*N40+P39*N41</f>
        <v>#DIV/0!</v>
      </c>
      <c r="S41" s="72">
        <v>2</v>
      </c>
      <c r="T41" s="135" t="e">
        <f t="shared" si="37"/>
        <v>#DIV/0!</v>
      </c>
      <c r="U41" s="93">
        <v>2</v>
      </c>
      <c r="V41" s="86" t="e">
        <f>R41*T39+T40*R40+R39*T41</f>
        <v>#DIV/0!</v>
      </c>
      <c r="W41" s="137"/>
      <c r="X41" s="28">
        <v>2</v>
      </c>
      <c r="Y41" s="73"/>
      <c r="Z41" s="28">
        <v>2</v>
      </c>
      <c r="AA41" s="79"/>
      <c r="AB41" s="28">
        <v>2</v>
      </c>
      <c r="AC41" s="79" t="e">
        <f>((($W$39)^M41)*((1-($W$39))^($U$27-M41))*HLOOKUP($U$27,$AV$24:$BF$34,M41+1))*V41</f>
        <v>#DIV/0!</v>
      </c>
      <c r="AD41" s="28">
        <v>2</v>
      </c>
      <c r="AE41" s="79" t="e">
        <f>((($W$39)^M41)*((1-($W$39))^($U$28-M41))*HLOOKUP($U$28,$AV$24:$BF$34,M41+1))*V42</f>
        <v>#DIV/0!</v>
      </c>
      <c r="AF41" s="28">
        <v>2</v>
      </c>
      <c r="AG41" s="79" t="e">
        <f>((($W$39)^M41)*((1-($W$39))^($U$29-M41))*HLOOKUP($U$29,$AV$24:$BF$34,M41+1))*V43</f>
        <v>#DIV/0!</v>
      </c>
      <c r="AH41" s="28">
        <v>2</v>
      </c>
      <c r="AI41" s="79" t="e">
        <f>((($W$39)^M41)*((1-($W$39))^($U$30-M41))*HLOOKUP($U$30,$AV$24:$BF$34,M41+1))*V44</f>
        <v>#DIV/0!</v>
      </c>
      <c r="AJ41" s="28">
        <v>2</v>
      </c>
      <c r="AK41" s="79" t="e">
        <f>((($W$39)^M41)*((1-($W$39))^($U$31-M41))*HLOOKUP($U$31,$AV$24:$BF$34,M41+1))*V45</f>
        <v>#DIV/0!</v>
      </c>
      <c r="AL41" s="28">
        <v>2</v>
      </c>
      <c r="AM41" s="79" t="e">
        <f>((($W$39)^Q41)*((1-($W$39))^($U$32-Q41))*HLOOKUP($U$32,$AV$24:$BF$34,Q41+1))*V46</f>
        <v>#DIV/0!</v>
      </c>
      <c r="AN41" s="28">
        <v>2</v>
      </c>
      <c r="AO41" s="79" t="e">
        <f>((($W$39)^Q41)*((1-($W$39))^($U$33-Q41))*HLOOKUP($U$33,$AV$24:$BF$34,Q41+1))*V47</f>
        <v>#DIV/0!</v>
      </c>
      <c r="AP41" s="28">
        <v>2</v>
      </c>
      <c r="AQ41" s="79" t="e">
        <f>((($W$39)^Q41)*((1-($W$39))^($U$34-Q41))*HLOOKUP($U$34,$AV$24:$BF$34,Q41+1))*V48</f>
        <v>#DIV/0!</v>
      </c>
      <c r="AR41" s="28">
        <v>2</v>
      </c>
      <c r="AS41" s="79" t="e">
        <f>((($W$39)^Q41)*((1-($W$39))^($U$35-Q41))*HLOOKUP($U$35,$AV$24:$BF$34,Q41+1))*V49</f>
        <v>#DIV/0!</v>
      </c>
      <c r="AV41" s="14">
        <v>3</v>
      </c>
      <c r="AY41">
        <v>1</v>
      </c>
      <c r="AZ41">
        <v>4</v>
      </c>
      <c r="BA41">
        <v>10</v>
      </c>
      <c r="BB41">
        <v>20</v>
      </c>
      <c r="BC41">
        <f>15+20</f>
        <v>35</v>
      </c>
      <c r="BD41">
        <f>21+35</f>
        <v>56</v>
      </c>
      <c r="BE41">
        <f>28+56</f>
        <v>84</v>
      </c>
      <c r="BF41">
        <f>36+84</f>
        <v>120</v>
      </c>
      <c r="BH41">
        <f t="shared" si="31"/>
        <v>4</v>
      </c>
      <c r="BI41">
        <v>8</v>
      </c>
      <c r="BJ41" s="107" t="e">
        <f t="shared" si="32"/>
        <v>#DIV/0!</v>
      </c>
      <c r="BP41">
        <f t="shared" si="34"/>
        <v>9</v>
      </c>
      <c r="BQ41">
        <v>2</v>
      </c>
      <c r="BR41" s="107" t="e">
        <f t="shared" si="35"/>
        <v>#DIV/0!</v>
      </c>
    </row>
    <row r="42" spans="1:70" ht="15" customHeight="1" x14ac:dyDescent="0.25">
      <c r="G42" s="91">
        <v>3</v>
      </c>
      <c r="H42" s="132" t="e">
        <f>J42*L39+J41*L40+L42*J39+L41*J40</f>
        <v>#DIV/0!</v>
      </c>
      <c r="I42" s="93">
        <v>3</v>
      </c>
      <c r="J42" s="86" t="e">
        <f t="shared" si="33"/>
        <v>#DIV/0!</v>
      </c>
      <c r="K42" s="95">
        <v>3</v>
      </c>
      <c r="L42" s="86" t="e">
        <f>AF21</f>
        <v>#DIV/0!</v>
      </c>
      <c r="M42" s="85">
        <v>3</v>
      </c>
      <c r="N42" s="71" t="e">
        <f>(($C$24)^M28)*((1-($C$24))^($B$21-M28))*HLOOKUP($B$21,$AV$24:$BF$34,M28+1)</f>
        <v>#DIV/0!</v>
      </c>
      <c r="O42" s="72">
        <v>3</v>
      </c>
      <c r="P42" s="71" t="e">
        <f t="shared" si="36"/>
        <v>#DIV/0!</v>
      </c>
      <c r="Q42" s="28">
        <v>3</v>
      </c>
      <c r="R42" s="37" t="e">
        <f>P42*N39+P41*N40+P40*N41+P39*N42</f>
        <v>#DIV/0!</v>
      </c>
      <c r="S42" s="72">
        <v>3</v>
      </c>
      <c r="T42" s="135" t="e">
        <f t="shared" si="37"/>
        <v>#DIV/0!</v>
      </c>
      <c r="U42" s="93">
        <v>3</v>
      </c>
      <c r="V42" s="86" t="e">
        <f>R42*T39+R41*T40+R40*T41+R39*T42</f>
        <v>#DIV/0!</v>
      </c>
      <c r="W42" s="137"/>
      <c r="X42" s="28">
        <v>3</v>
      </c>
      <c r="Y42" s="73"/>
      <c r="Z42" s="28">
        <v>3</v>
      </c>
      <c r="AA42" s="79"/>
      <c r="AB42" s="28">
        <v>3</v>
      </c>
      <c r="AC42" s="79"/>
      <c r="AD42" s="28">
        <v>3</v>
      </c>
      <c r="AE42" s="79" t="e">
        <f>((($W$39)^M42)*((1-($W$39))^($U$28-M42))*HLOOKUP($U$28,$AV$24:$BF$34,M42+1))*V42</f>
        <v>#DIV/0!</v>
      </c>
      <c r="AF42" s="28">
        <v>3</v>
      </c>
      <c r="AG42" s="79" t="e">
        <f>((($W$39)^M42)*((1-($W$39))^($U$29-M42))*HLOOKUP($U$29,$AV$24:$BF$34,M42+1))*V43</f>
        <v>#DIV/0!</v>
      </c>
      <c r="AH42" s="28">
        <v>3</v>
      </c>
      <c r="AI42" s="79" t="e">
        <f>((($W$39)^M42)*((1-($W$39))^($U$30-M42))*HLOOKUP($U$30,$AV$24:$BF$34,M42+1))*V44</f>
        <v>#DIV/0!</v>
      </c>
      <c r="AJ42" s="28">
        <v>3</v>
      </c>
      <c r="AK42" s="79" t="e">
        <f>((($W$39)^M42)*((1-($W$39))^($U$31-M42))*HLOOKUP($U$31,$AV$24:$BF$34,M42+1))*V45</f>
        <v>#DIV/0!</v>
      </c>
      <c r="AL42" s="28">
        <v>3</v>
      </c>
      <c r="AM42" s="79" t="e">
        <f>((($W$39)^Q42)*((1-($W$39))^($U$32-Q42))*HLOOKUP($U$32,$AV$24:$BF$34,Q42+1))*V46</f>
        <v>#DIV/0!</v>
      </c>
      <c r="AN42" s="28">
        <v>3</v>
      </c>
      <c r="AO42" s="79" t="e">
        <f>((($W$39)^Q42)*((1-($W$39))^($U$33-Q42))*HLOOKUP($U$33,$AV$24:$BF$34,Q42+1))*V47</f>
        <v>#DIV/0!</v>
      </c>
      <c r="AP42" s="28">
        <v>3</v>
      </c>
      <c r="AQ42" s="79" t="e">
        <f>((($W$39)^Q42)*((1-($W$39))^($U$34-Q42))*HLOOKUP($U$34,$AV$24:$BF$34,Q42+1))*V48</f>
        <v>#DIV/0!</v>
      </c>
      <c r="AR42" s="28">
        <v>3</v>
      </c>
      <c r="AS42" s="79" t="e">
        <f>((($W$39)^Q42)*((1-($W$39))^($U$35-Q42))*HLOOKUP($U$35,$AV$24:$BF$34,Q42+1))*V49</f>
        <v>#DIV/0!</v>
      </c>
      <c r="AV42" s="14">
        <v>4</v>
      </c>
      <c r="AZ42">
        <v>1</v>
      </c>
      <c r="BA42">
        <v>5</v>
      </c>
      <c r="BB42">
        <v>15</v>
      </c>
      <c r="BC42">
        <f>20+15</f>
        <v>35</v>
      </c>
      <c r="BD42">
        <f>35+35</f>
        <v>70</v>
      </c>
      <c r="BE42">
        <f>56+70</f>
        <v>126</v>
      </c>
      <c r="BF42">
        <f>BE41+BE42</f>
        <v>210</v>
      </c>
      <c r="BH42">
        <f t="shared" si="31"/>
        <v>4</v>
      </c>
      <c r="BI42">
        <v>9</v>
      </c>
      <c r="BJ42" s="107" t="e">
        <f t="shared" si="32"/>
        <v>#DIV/0!</v>
      </c>
      <c r="BP42">
        <f t="shared" si="34"/>
        <v>9</v>
      </c>
      <c r="BQ42">
        <v>3</v>
      </c>
      <c r="BR42" s="107" t="e">
        <f t="shared" si="35"/>
        <v>#DIV/0!</v>
      </c>
    </row>
    <row r="43" spans="1:70" ht="15" customHeight="1" x14ac:dyDescent="0.25">
      <c r="G43" s="91">
        <v>4</v>
      </c>
      <c r="H43" s="132" t="e">
        <f>J43*L39+J42*L40+J41*L41+J40*L42</f>
        <v>#DIV/0!</v>
      </c>
      <c r="I43" s="93">
        <v>4</v>
      </c>
      <c r="J43" s="86" t="e">
        <f t="shared" si="33"/>
        <v>#DIV/0!</v>
      </c>
      <c r="K43" s="95">
        <v>4</v>
      </c>
      <c r="L43" s="86"/>
      <c r="M43" s="85">
        <v>4</v>
      </c>
      <c r="N43" s="71" t="e">
        <f>(($C$24)^M29)*((1-($C$24))^($B$21-M29))*HLOOKUP($B$21,$AV$24:$BF$34,M29+1)</f>
        <v>#DIV/0!</v>
      </c>
      <c r="O43" s="72">
        <v>4</v>
      </c>
      <c r="P43" s="71" t="e">
        <f t="shared" si="36"/>
        <v>#DIV/0!</v>
      </c>
      <c r="Q43" s="28">
        <v>4</v>
      </c>
      <c r="R43" s="37" t="e">
        <f>P43*N39+P42*N40+P41*N41+P40*N42+P39*N43</f>
        <v>#DIV/0!</v>
      </c>
      <c r="S43" s="72">
        <v>4</v>
      </c>
      <c r="T43" s="135" t="e">
        <f t="shared" si="37"/>
        <v>#DIV/0!</v>
      </c>
      <c r="U43" s="93">
        <v>4</v>
      </c>
      <c r="V43" s="86" t="e">
        <f>T43*R39+T42*R40+T41*R41+T40*R42+T39*R43</f>
        <v>#DIV/0!</v>
      </c>
      <c r="W43" s="137"/>
      <c r="X43" s="28">
        <v>4</v>
      </c>
      <c r="Y43" s="73"/>
      <c r="Z43" s="28">
        <v>4</v>
      </c>
      <c r="AA43" s="79"/>
      <c r="AB43" s="28">
        <v>4</v>
      </c>
      <c r="AC43" s="79"/>
      <c r="AD43" s="28">
        <v>4</v>
      </c>
      <c r="AE43" s="79"/>
      <c r="AF43" s="28">
        <v>4</v>
      </c>
      <c r="AG43" s="79" t="e">
        <f>((($W$39)^M43)*((1-($W$39))^($U$29-M43))*HLOOKUP($U$29,$AV$24:$BF$34,M43+1))*V43</f>
        <v>#DIV/0!</v>
      </c>
      <c r="AH43" s="28">
        <v>4</v>
      </c>
      <c r="AI43" s="79" t="e">
        <f>((($W$39)^M43)*((1-($W$39))^($U$30-M43))*HLOOKUP($U$30,$AV$24:$BF$34,M43+1))*V44</f>
        <v>#DIV/0!</v>
      </c>
      <c r="AJ43" s="28">
        <v>4</v>
      </c>
      <c r="AK43" s="79" t="e">
        <f>((($W$39)^M43)*((1-($W$39))^($U$31-M43))*HLOOKUP($U$31,$AV$24:$BF$34,M43+1))*V45</f>
        <v>#DIV/0!</v>
      </c>
      <c r="AL43" s="28">
        <v>4</v>
      </c>
      <c r="AM43" s="79" t="e">
        <f>((($W$39)^Q43)*((1-($W$39))^($U$32-Q43))*HLOOKUP($U$32,$AV$24:$BF$34,Q43+1))*V46</f>
        <v>#DIV/0!</v>
      </c>
      <c r="AN43" s="28">
        <v>4</v>
      </c>
      <c r="AO43" s="79" t="e">
        <f>((($W$39)^Q43)*((1-($W$39))^($U$33-Q43))*HLOOKUP($U$33,$AV$24:$BF$34,Q43+1))*V47</f>
        <v>#DIV/0!</v>
      </c>
      <c r="AP43" s="28">
        <v>4</v>
      </c>
      <c r="AQ43" s="79" t="e">
        <f>((($W$39)^Q43)*((1-($W$39))^($U$34-Q43))*HLOOKUP($U$34,$AV$24:$BF$34,Q43+1))*V48</f>
        <v>#DIV/0!</v>
      </c>
      <c r="AR43" s="28">
        <v>4</v>
      </c>
      <c r="AS43" s="79" t="e">
        <f>((($W$39)^Q43)*((1-($W$39))^($U$35-Q43))*HLOOKUP($U$35,$AV$24:$BF$34,Q43+1))*V49</f>
        <v>#DIV/0!</v>
      </c>
      <c r="AV43" s="14">
        <v>5</v>
      </c>
      <c r="BA43">
        <v>1</v>
      </c>
      <c r="BB43">
        <v>6</v>
      </c>
      <c r="BC43">
        <f>15+6</f>
        <v>21</v>
      </c>
      <c r="BD43">
        <f>35+21</f>
        <v>56</v>
      </c>
      <c r="BE43">
        <f>70+56</f>
        <v>126</v>
      </c>
      <c r="BF43">
        <f t="shared" ref="BF43:BF48" si="38">BE42+BE43</f>
        <v>252</v>
      </c>
      <c r="BH43">
        <f t="shared" si="31"/>
        <v>4</v>
      </c>
      <c r="BI43">
        <v>10</v>
      </c>
      <c r="BJ43" s="107" t="e">
        <f t="shared" si="32"/>
        <v>#DIV/0!</v>
      </c>
      <c r="BP43">
        <f t="shared" si="34"/>
        <v>9</v>
      </c>
      <c r="BQ43">
        <v>4</v>
      </c>
      <c r="BR43" s="107" t="e">
        <f t="shared" si="35"/>
        <v>#DIV/0!</v>
      </c>
    </row>
    <row r="44" spans="1:70" ht="15" customHeight="1" thickBot="1" x14ac:dyDescent="0.3">
      <c r="G44" s="91">
        <v>5</v>
      </c>
      <c r="H44" s="132" t="e">
        <f>J44*L39+J43*L40+J42*L41+J41*L42</f>
        <v>#DIV/0!</v>
      </c>
      <c r="I44" s="93">
        <v>5</v>
      </c>
      <c r="J44" s="86" t="e">
        <f t="shared" si="33"/>
        <v>#DIV/0!</v>
      </c>
      <c r="K44" s="95">
        <v>5</v>
      </c>
      <c r="L44" s="86"/>
      <c r="M44" s="85">
        <v>5</v>
      </c>
      <c r="N44" s="71" t="e">
        <f>(($C$24)^M30)*((1-($C$24))^($B$21-M30))*HLOOKUP($B$21,$AV$24:$BF$34,M30+1)</f>
        <v>#DIV/0!</v>
      </c>
      <c r="O44" s="72">
        <v>5</v>
      </c>
      <c r="P44" s="71" t="e">
        <f t="shared" si="36"/>
        <v>#DIV/0!</v>
      </c>
      <c r="Q44" s="28">
        <v>5</v>
      </c>
      <c r="R44" s="37" t="e">
        <f>P44*N39+P43*N40+P42*N41+P41*N42+P40*N43+P39*N44</f>
        <v>#DIV/0!</v>
      </c>
      <c r="S44" s="72">
        <v>5</v>
      </c>
      <c r="T44" s="135" t="e">
        <f t="shared" si="37"/>
        <v>#DIV/0!</v>
      </c>
      <c r="U44" s="93">
        <v>5</v>
      </c>
      <c r="V44" s="86" t="e">
        <f>T44*R39+T43*R40+T42*R41+T41*R42+T40*R43+T39*R44</f>
        <v>#DIV/0!</v>
      </c>
      <c r="W44" s="137"/>
      <c r="X44" s="28">
        <v>5</v>
      </c>
      <c r="Y44" s="73"/>
      <c r="Z44" s="28">
        <v>5</v>
      </c>
      <c r="AA44" s="79"/>
      <c r="AB44" s="28">
        <v>5</v>
      </c>
      <c r="AC44" s="79"/>
      <c r="AD44" s="28">
        <v>5</v>
      </c>
      <c r="AE44" s="79"/>
      <c r="AF44" s="28">
        <v>5</v>
      </c>
      <c r="AG44" s="79"/>
      <c r="AH44" s="28">
        <v>5</v>
      </c>
      <c r="AI44" s="79" t="e">
        <f>((($W$39)^M44)*((1-($W$39))^($U$30-M44))*HLOOKUP($U$30,$AV$24:$BF$34,M44+1))*V44</f>
        <v>#DIV/0!</v>
      </c>
      <c r="AJ44" s="28">
        <v>5</v>
      </c>
      <c r="AK44" s="79" t="e">
        <f>((($W$39)^M44)*((1-($W$39))^($U$31-M44))*HLOOKUP($U$31,$AV$24:$BF$34,M44+1))*V45</f>
        <v>#DIV/0!</v>
      </c>
      <c r="AL44" s="28">
        <v>5</v>
      </c>
      <c r="AM44" s="79" t="e">
        <f>((($W$39)^Q44)*((1-($W$39))^($U$32-Q44))*HLOOKUP($U$32,$AV$24:$BF$34,Q44+1))*V46</f>
        <v>#DIV/0!</v>
      </c>
      <c r="AN44" s="28">
        <v>5</v>
      </c>
      <c r="AO44" s="79" t="e">
        <f>((($W$39)^Q44)*((1-($W$39))^($U$33-Q44))*HLOOKUP($U$33,$AV$24:$BF$34,Q44+1))*V47</f>
        <v>#DIV/0!</v>
      </c>
      <c r="AP44" s="28">
        <v>5</v>
      </c>
      <c r="AQ44" s="79" t="e">
        <f>((($W$39)^Q44)*((1-($W$39))^($U$34-Q44))*HLOOKUP($U$34,$AV$24:$BF$34,Q44+1))*V48</f>
        <v>#DIV/0!</v>
      </c>
      <c r="AR44" s="28">
        <v>5</v>
      </c>
      <c r="AS44" s="79" t="e">
        <f>((($W$39)^Q44)*((1-($W$39))^($U$35-Q44))*HLOOKUP($U$35,$AV$24:$BF$34,Q44+1))*V49</f>
        <v>#DIV/0!</v>
      </c>
      <c r="AV44" s="29">
        <v>6</v>
      </c>
      <c r="BB44">
        <v>1</v>
      </c>
      <c r="BC44">
        <v>7</v>
      </c>
      <c r="BD44">
        <f>28</f>
        <v>28</v>
      </c>
      <c r="BE44">
        <f>56+28</f>
        <v>84</v>
      </c>
      <c r="BF44">
        <f t="shared" si="38"/>
        <v>210</v>
      </c>
      <c r="BH44">
        <f>BH39+1</f>
        <v>5</v>
      </c>
      <c r="BI44">
        <v>6</v>
      </c>
      <c r="BJ44" s="107" t="e">
        <f>$H$30*H45</f>
        <v>#DIV/0!</v>
      </c>
      <c r="BP44">
        <f t="shared" si="34"/>
        <v>9</v>
      </c>
      <c r="BQ44">
        <v>5</v>
      </c>
      <c r="BR44" s="107" t="e">
        <f t="shared" si="35"/>
        <v>#DIV/0!</v>
      </c>
    </row>
    <row r="45" spans="1:70" ht="15" customHeight="1" thickBot="1" x14ac:dyDescent="0.3">
      <c r="A45" s="112" t="s">
        <v>108</v>
      </c>
      <c r="B45" s="112" t="s">
        <v>109</v>
      </c>
      <c r="C45" s="112" t="s">
        <v>110</v>
      </c>
      <c r="D45" s="112" t="s">
        <v>111</v>
      </c>
      <c r="E45" s="112" t="s">
        <v>23</v>
      </c>
      <c r="G45" s="91">
        <v>6</v>
      </c>
      <c r="H45" s="132" t="e">
        <f>J45*L39+J44*L40+J43*L41+J42*L42</f>
        <v>#DIV/0!</v>
      </c>
      <c r="I45" s="93">
        <v>6</v>
      </c>
      <c r="J45" s="86" t="e">
        <f t="shared" si="33"/>
        <v>#DIV/0!</v>
      </c>
      <c r="K45" s="95">
        <v>6</v>
      </c>
      <c r="L45" s="86"/>
      <c r="M45" s="85"/>
      <c r="N45" s="37"/>
      <c r="O45" s="37"/>
      <c r="P45" s="37"/>
      <c r="Q45" s="28">
        <v>6</v>
      </c>
      <c r="R45" s="37" t="e">
        <f>P44*N40+P43*N41+P42*N42+P41*N43+P40*N44</f>
        <v>#DIV/0!</v>
      </c>
      <c r="S45" s="70">
        <v>6</v>
      </c>
      <c r="T45" s="135" t="e">
        <f t="shared" si="37"/>
        <v>#DIV/0!</v>
      </c>
      <c r="U45" s="93">
        <v>6</v>
      </c>
      <c r="V45" s="86" t="e">
        <f>T45*R39+T44*R40+T43*R41+T42*R42+T41*R43+T40*R44+T39*R45</f>
        <v>#DIV/0!</v>
      </c>
      <c r="W45" s="137"/>
      <c r="X45" s="28">
        <v>6</v>
      </c>
      <c r="Y45" s="73"/>
      <c r="Z45" s="28">
        <v>6</v>
      </c>
      <c r="AA45" s="79"/>
      <c r="AB45" s="28">
        <v>6</v>
      </c>
      <c r="AC45" s="79"/>
      <c r="AD45" s="28">
        <v>6</v>
      </c>
      <c r="AE45" s="79"/>
      <c r="AF45" s="28">
        <v>6</v>
      </c>
      <c r="AG45" s="79"/>
      <c r="AH45" s="28">
        <v>6</v>
      </c>
      <c r="AI45" s="79"/>
      <c r="AJ45" s="28">
        <v>6</v>
      </c>
      <c r="AK45" s="79" t="e">
        <f>((($W$39)^Q45)*((1-($W$39))^($U$31-Q45))*HLOOKUP($U$31,$AV$24:$BF$34,Q45+1))*V45</f>
        <v>#DIV/0!</v>
      </c>
      <c r="AL45" s="28">
        <v>6</v>
      </c>
      <c r="AM45" s="79" t="e">
        <f>((($W$39)^Q45)*((1-($W$39))^($U$32-Q45))*HLOOKUP($U$32,$AV$24:$BF$34,Q45+1))*V46</f>
        <v>#DIV/0!</v>
      </c>
      <c r="AN45" s="28">
        <v>6</v>
      </c>
      <c r="AO45" s="79" t="e">
        <f>((($W$39)^Q45)*((1-($W$39))^($U$33-Q45))*HLOOKUP($U$33,$AV$24:$BF$34,Q45+1))*V47</f>
        <v>#DIV/0!</v>
      </c>
      <c r="AP45" s="28">
        <v>6</v>
      </c>
      <c r="AQ45" s="79" t="e">
        <f>((($W$39)^Q45)*((1-($W$39))^($U$34-Q45))*HLOOKUP($U$34,$AV$24:$BF$34,Q45+1))*V48</f>
        <v>#DIV/0!</v>
      </c>
      <c r="AR45" s="28">
        <v>6</v>
      </c>
      <c r="AS45" s="79" t="e">
        <f>((($W$39)^Q45)*((1-($W$39))^($U$35-Q45))*HLOOKUP($U$35,$AV$24:$BF$34,Q45+1))*V49</f>
        <v>#DIV/0!</v>
      </c>
      <c r="AV45" s="14">
        <v>7</v>
      </c>
      <c r="BC45">
        <v>1</v>
      </c>
      <c r="BD45">
        <v>8</v>
      </c>
      <c r="BE45">
        <f>28+8</f>
        <v>36</v>
      </c>
      <c r="BF45">
        <f t="shared" si="38"/>
        <v>120</v>
      </c>
      <c r="BH45">
        <f>BH40+1</f>
        <v>5</v>
      </c>
      <c r="BI45">
        <v>7</v>
      </c>
      <c r="BJ45" s="107" t="e">
        <f>$H$30*H46</f>
        <v>#DIV/0!</v>
      </c>
      <c r="BP45">
        <f t="shared" si="34"/>
        <v>9</v>
      </c>
      <c r="BQ45">
        <v>6</v>
      </c>
      <c r="BR45" s="107" t="e">
        <f t="shared" si="35"/>
        <v>#DIV/0!</v>
      </c>
    </row>
    <row r="46" spans="1:70" ht="15" customHeight="1" thickBot="1" x14ac:dyDescent="0.3">
      <c r="A46" s="113" t="s">
        <v>112</v>
      </c>
      <c r="B46" s="113" t="s">
        <v>21</v>
      </c>
      <c r="C46" s="113" t="s">
        <v>113</v>
      </c>
      <c r="D46" s="113" t="s">
        <v>114</v>
      </c>
      <c r="E46" s="113" t="s">
        <v>115</v>
      </c>
      <c r="G46" s="91">
        <v>7</v>
      </c>
      <c r="H46" s="132" t="e">
        <f>J46*L39+J45*L40+J44*L41+J43*L42</f>
        <v>#DIV/0!</v>
      </c>
      <c r="I46" s="93">
        <v>7</v>
      </c>
      <c r="J46" s="86" t="e">
        <f t="shared" si="33"/>
        <v>#DIV/0!</v>
      </c>
      <c r="K46" s="95">
        <v>7</v>
      </c>
      <c r="L46" s="86"/>
      <c r="M46" s="85"/>
      <c r="N46" s="37"/>
      <c r="O46" s="37"/>
      <c r="P46" s="37"/>
      <c r="Q46" s="28">
        <v>7</v>
      </c>
      <c r="R46" s="37" t="e">
        <f>P44*N41+P43*N42+P42*N43+P41*N44</f>
        <v>#DIV/0!</v>
      </c>
      <c r="S46" s="72">
        <v>7</v>
      </c>
      <c r="T46" s="135" t="e">
        <f t="shared" si="37"/>
        <v>#DIV/0!</v>
      </c>
      <c r="U46" s="93">
        <v>7</v>
      </c>
      <c r="V46" s="86" t="e">
        <f>T46*R39+T45*R40+T44*R41+T43*R42+T42*R43+T41*R44+T40*R45+T39*R46</f>
        <v>#DIV/0!</v>
      </c>
      <c r="W46" s="137"/>
      <c r="X46" s="28">
        <v>7</v>
      </c>
      <c r="Y46" s="73"/>
      <c r="Z46" s="28">
        <v>7</v>
      </c>
      <c r="AA46" s="79"/>
      <c r="AB46" s="28">
        <v>7</v>
      </c>
      <c r="AC46" s="79"/>
      <c r="AD46" s="28">
        <v>7</v>
      </c>
      <c r="AE46" s="79"/>
      <c r="AF46" s="28">
        <v>7</v>
      </c>
      <c r="AG46" s="79"/>
      <c r="AH46" s="28">
        <v>7</v>
      </c>
      <c r="AI46" s="79"/>
      <c r="AJ46" s="28">
        <v>7</v>
      </c>
      <c r="AK46" s="79"/>
      <c r="AL46" s="28">
        <v>7</v>
      </c>
      <c r="AM46" s="79" t="e">
        <f>((($W$39)^Q46)*((1-($W$39))^($U$32-Q46))*HLOOKUP($U$32,$AV$24:$BF$34,Q46+1))*V46</f>
        <v>#DIV/0!</v>
      </c>
      <c r="AN46" s="28">
        <v>7</v>
      </c>
      <c r="AO46" s="79" t="e">
        <f>((($W$39)^Q46)*((1-($W$39))^($U$33-Q46))*HLOOKUP($U$33,$AV$24:$BF$34,Q46+1))*V47</f>
        <v>#DIV/0!</v>
      </c>
      <c r="AP46" s="28">
        <v>7</v>
      </c>
      <c r="AQ46" s="79" t="e">
        <f>((($W$39)^Q46)*((1-($W$39))^($U$34-Q46))*HLOOKUP($U$34,$AV$24:$BF$34,Q46+1))*V48</f>
        <v>#DIV/0!</v>
      </c>
      <c r="AR46" s="28">
        <v>7</v>
      </c>
      <c r="AS46" s="79" t="e">
        <f>((($W$39)^Q46)*((1-($W$39))^($U$35-Q46))*HLOOKUP($U$35,$AV$24:$BF$34,Q46+1))*V49</f>
        <v>#DIV/0!</v>
      </c>
      <c r="AV46" s="14">
        <v>8</v>
      </c>
      <c r="BD46">
        <v>1</v>
      </c>
      <c r="BE46">
        <v>9</v>
      </c>
      <c r="BF46">
        <f t="shared" si="38"/>
        <v>45</v>
      </c>
      <c r="BH46">
        <f>BH41+1</f>
        <v>5</v>
      </c>
      <c r="BI46">
        <v>8</v>
      </c>
      <c r="BJ46" s="107" t="e">
        <f>$H$30*H47</f>
        <v>#DIV/0!</v>
      </c>
      <c r="BP46">
        <f t="shared" si="34"/>
        <v>9</v>
      </c>
      <c r="BQ46">
        <v>7</v>
      </c>
      <c r="BR46" s="107" t="e">
        <f t="shared" si="35"/>
        <v>#DIV/0!</v>
      </c>
    </row>
    <row r="47" spans="1:70" ht="15" customHeight="1" thickBot="1" x14ac:dyDescent="0.3">
      <c r="A47" s="113" t="s">
        <v>116</v>
      </c>
      <c r="B47" s="113" t="s">
        <v>21</v>
      </c>
      <c r="C47" s="113" t="s">
        <v>117</v>
      </c>
      <c r="D47" s="113" t="s">
        <v>118</v>
      </c>
      <c r="E47" s="113" t="s">
        <v>115</v>
      </c>
      <c r="G47" s="91">
        <v>8</v>
      </c>
      <c r="H47" s="132" t="e">
        <f>J47*L39+J46*L40+J45*L41+J44*L42</f>
        <v>#DIV/0!</v>
      </c>
      <c r="I47" s="93">
        <v>8</v>
      </c>
      <c r="J47" s="86" t="e">
        <f t="shared" si="33"/>
        <v>#DIV/0!</v>
      </c>
      <c r="K47" s="95">
        <v>8</v>
      </c>
      <c r="L47" s="86"/>
      <c r="M47" s="85"/>
      <c r="N47" s="37"/>
      <c r="O47" s="37"/>
      <c r="P47" s="37"/>
      <c r="Q47" s="28">
        <v>8</v>
      </c>
      <c r="R47" s="37" t="e">
        <f>P44*N42+P43*N43+P42*N44</f>
        <v>#DIV/0!</v>
      </c>
      <c r="S47" s="72">
        <v>8</v>
      </c>
      <c r="T47" s="135" t="e">
        <f t="shared" si="37"/>
        <v>#DIV/0!</v>
      </c>
      <c r="U47" s="93">
        <v>8</v>
      </c>
      <c r="V47" s="86" t="e">
        <f>T47*R39+T46*R40+T45*R41+T44*R42+T43*R43+T42*R44+T41*R45+T40*R46+T39*R47</f>
        <v>#DIV/0!</v>
      </c>
      <c r="W47" s="137"/>
      <c r="X47" s="28">
        <v>8</v>
      </c>
      <c r="Y47" s="73"/>
      <c r="Z47" s="28">
        <v>8</v>
      </c>
      <c r="AA47" s="79"/>
      <c r="AB47" s="28">
        <v>8</v>
      </c>
      <c r="AC47" s="79"/>
      <c r="AD47" s="28">
        <v>8</v>
      </c>
      <c r="AE47" s="79"/>
      <c r="AF47" s="28">
        <v>8</v>
      </c>
      <c r="AG47" s="79"/>
      <c r="AH47" s="28">
        <v>8</v>
      </c>
      <c r="AI47" s="79"/>
      <c r="AJ47" s="28">
        <v>8</v>
      </c>
      <c r="AK47" s="79"/>
      <c r="AL47" s="28">
        <v>8</v>
      </c>
      <c r="AM47" s="79"/>
      <c r="AN47" s="28">
        <v>8</v>
      </c>
      <c r="AO47" s="79" t="e">
        <f>((($W$39)^Q47)*((1-($W$39))^($U$33-Q47))*HLOOKUP($U$33,$AV$24:$BF$34,Q47+1))*V47</f>
        <v>#DIV/0!</v>
      </c>
      <c r="AP47" s="28">
        <v>8</v>
      </c>
      <c r="AQ47" s="79" t="e">
        <f>((($W$39)^Q47)*((1-($W$39))^($U$34-Q47))*HLOOKUP($U$34,$AV$24:$BF$34,Q47+1))*V48</f>
        <v>#DIV/0!</v>
      </c>
      <c r="AR47" s="28">
        <v>8</v>
      </c>
      <c r="AS47" s="79" t="e">
        <f>((($W$39)^Q47)*((1-($W$39))^($U$35-Q47))*HLOOKUP($U$35,$AV$24:$BF$34,Q47+1))*V49</f>
        <v>#DIV/0!</v>
      </c>
      <c r="AV47" s="29">
        <v>9</v>
      </c>
      <c r="BE47">
        <v>1</v>
      </c>
      <c r="BF47">
        <f t="shared" si="38"/>
        <v>10</v>
      </c>
      <c r="BH47">
        <f>BH42+1</f>
        <v>5</v>
      </c>
      <c r="BI47">
        <v>9</v>
      </c>
      <c r="BJ47" s="107" t="e">
        <f>$H$30*H48</f>
        <v>#DIV/0!</v>
      </c>
      <c r="BP47">
        <f>BL12+1</f>
        <v>9</v>
      </c>
      <c r="BQ47">
        <v>8</v>
      </c>
      <c r="BR47" s="107" t="e">
        <f t="shared" si="35"/>
        <v>#DIV/0!</v>
      </c>
    </row>
    <row r="48" spans="1:70" ht="15" customHeight="1" thickBot="1" x14ac:dyDescent="0.3">
      <c r="A48" s="114" t="s">
        <v>112</v>
      </c>
      <c r="B48" s="114" t="s">
        <v>119</v>
      </c>
      <c r="C48" s="114" t="s">
        <v>117</v>
      </c>
      <c r="D48" s="115" t="s">
        <v>120</v>
      </c>
      <c r="E48" s="114" t="s">
        <v>115</v>
      </c>
      <c r="G48" s="91">
        <v>9</v>
      </c>
      <c r="H48" s="132" t="e">
        <f>J48*L39+J47*L40+J46*L41+J45*L42</f>
        <v>#DIV/0!</v>
      </c>
      <c r="I48" s="93">
        <v>9</v>
      </c>
      <c r="J48" s="86" t="e">
        <f t="shared" si="33"/>
        <v>#DIV/0!</v>
      </c>
      <c r="K48" s="95">
        <v>9</v>
      </c>
      <c r="L48" s="86"/>
      <c r="M48" s="85"/>
      <c r="N48" s="37"/>
      <c r="O48" s="37"/>
      <c r="P48" s="37"/>
      <c r="Q48" s="28">
        <v>9</v>
      </c>
      <c r="R48" s="37" t="e">
        <f>P44*N43+P43*N44</f>
        <v>#DIV/0!</v>
      </c>
      <c r="S48" s="72">
        <v>9</v>
      </c>
      <c r="T48" s="135" t="e">
        <f t="shared" si="37"/>
        <v>#DIV/0!</v>
      </c>
      <c r="U48" s="93">
        <v>9</v>
      </c>
      <c r="V48" s="86" t="e">
        <f>T48*R39+T47*R40+T46*R41+T45*R42+T44*R43+T43*R44+T42*R45+T41*R46+T40*R47+T39*R48</f>
        <v>#DIV/0!</v>
      </c>
      <c r="W48" s="137"/>
      <c r="X48" s="28">
        <v>9</v>
      </c>
      <c r="Y48" s="73"/>
      <c r="Z48" s="28">
        <v>9</v>
      </c>
      <c r="AA48" s="79"/>
      <c r="AB48" s="28">
        <v>9</v>
      </c>
      <c r="AC48" s="79"/>
      <c r="AD48" s="28">
        <v>9</v>
      </c>
      <c r="AE48" s="79"/>
      <c r="AF48" s="28">
        <v>9</v>
      </c>
      <c r="AG48" s="79"/>
      <c r="AH48" s="28">
        <v>9</v>
      </c>
      <c r="AI48" s="79"/>
      <c r="AJ48" s="28">
        <v>9</v>
      </c>
      <c r="AK48" s="79"/>
      <c r="AL48" s="28">
        <v>9</v>
      </c>
      <c r="AM48" s="79"/>
      <c r="AN48" s="28">
        <v>9</v>
      </c>
      <c r="AO48" s="79"/>
      <c r="AP48" s="28">
        <v>9</v>
      </c>
      <c r="AQ48" s="79" t="e">
        <f>((($W$39)^Q48)*((1-($W$39))^($U$34-Q48))*HLOOKUP($U$34,$AV$24:$BF$34,Q48+1))*V48</f>
        <v>#DIV/0!</v>
      </c>
      <c r="AR48" s="28">
        <v>9</v>
      </c>
      <c r="AS48" s="79" t="e">
        <f>((($W$39)^Q48)*((1-($W$39))^($U$35-Q48))*HLOOKUP($U$35,$AV$24:$BF$34,Q48+1))*V49</f>
        <v>#DIV/0!</v>
      </c>
      <c r="AV48" s="14">
        <v>10</v>
      </c>
      <c r="BF48">
        <f t="shared" si="38"/>
        <v>1</v>
      </c>
      <c r="BH48">
        <f>BH43+1</f>
        <v>5</v>
      </c>
      <c r="BI48">
        <v>10</v>
      </c>
      <c r="BJ48" s="107" t="e">
        <f>$H$30*H49</f>
        <v>#DIV/0!</v>
      </c>
    </row>
    <row r="49" spans="1:62" ht="15" customHeight="1" thickBot="1" x14ac:dyDescent="0.3">
      <c r="A49" s="114" t="s">
        <v>116</v>
      </c>
      <c r="B49" s="114" t="s">
        <v>119</v>
      </c>
      <c r="C49" s="114" t="s">
        <v>113</v>
      </c>
      <c r="D49" s="114" t="s">
        <v>121</v>
      </c>
      <c r="E49" s="114" t="s">
        <v>122</v>
      </c>
      <c r="G49" s="92">
        <v>10</v>
      </c>
      <c r="H49" s="133" t="e">
        <f>J49*L39+J48*L40+J47*L41+J46*L42</f>
        <v>#DIV/0!</v>
      </c>
      <c r="I49" s="94">
        <v>10</v>
      </c>
      <c r="J49" s="89" t="e">
        <f t="shared" si="33"/>
        <v>#DIV/0!</v>
      </c>
      <c r="K49" s="96">
        <v>10</v>
      </c>
      <c r="L49" s="89"/>
      <c r="M49" s="85"/>
      <c r="N49" s="37"/>
      <c r="O49" s="37"/>
      <c r="P49" s="37"/>
      <c r="Q49" s="28">
        <v>10</v>
      </c>
      <c r="R49" s="37" t="e">
        <f>P44*N44</f>
        <v>#DIV/0!</v>
      </c>
      <c r="S49" s="72">
        <v>10</v>
      </c>
      <c r="T49" s="135" t="e">
        <f t="shared" si="37"/>
        <v>#DIV/0!</v>
      </c>
      <c r="U49" s="94">
        <v>10</v>
      </c>
      <c r="V49" s="89" t="e">
        <f>IF(((T49*R39+T48*R40+T47*R41+T46*R42+T45*R43+T44*R44+T43*R45+T42*R46+T41*R47+T40*R48+T39*R49)+V37)&lt;&gt;1,1-V37,(T49*R39+T48*R40+T47*R41+T46*R42+T45*R43+T44*R44+T43*R45+T42*R46+T41*R47+T40*R48+T39*R49))</f>
        <v>#DIV/0!</v>
      </c>
      <c r="W49" s="137"/>
      <c r="X49" s="28">
        <v>10</v>
      </c>
      <c r="Y49" s="73"/>
      <c r="Z49" s="28">
        <v>10</v>
      </c>
      <c r="AA49" s="79"/>
      <c r="AB49" s="28">
        <v>10</v>
      </c>
      <c r="AC49" s="79"/>
      <c r="AD49" s="28">
        <v>10</v>
      </c>
      <c r="AE49" s="79"/>
      <c r="AF49" s="28">
        <v>10</v>
      </c>
      <c r="AG49" s="79"/>
      <c r="AH49" s="28">
        <v>10</v>
      </c>
      <c r="AI49" s="79"/>
      <c r="AJ49" s="28">
        <v>10</v>
      </c>
      <c r="AK49" s="79"/>
      <c r="AL49" s="28">
        <v>10</v>
      </c>
      <c r="AM49" s="79"/>
      <c r="AN49" s="28">
        <v>10</v>
      </c>
      <c r="AO49" s="79"/>
      <c r="AP49" s="28">
        <v>10</v>
      </c>
      <c r="AQ49" s="79"/>
      <c r="AR49" s="28">
        <v>10</v>
      </c>
      <c r="AS49" s="79" t="e">
        <f>((($W$39)^Q49)*((1-($W$39))^($U$35-Q49))*HLOOKUP($U$35,$AV$24:$BF$34,Q49+1))*V49</f>
        <v>#DIV/0!</v>
      </c>
      <c r="BH49">
        <f>BP14+1</f>
        <v>6</v>
      </c>
      <c r="BI49">
        <v>0</v>
      </c>
      <c r="BJ49" s="107" t="e">
        <f>$H$31*H39</f>
        <v>#DIV/0!</v>
      </c>
    </row>
    <row r="50" spans="1:62" ht="15.75" thickBot="1" x14ac:dyDescent="0.3">
      <c r="A50" s="116" t="s">
        <v>112</v>
      </c>
      <c r="B50" s="116" t="s">
        <v>123</v>
      </c>
      <c r="C50" s="116" t="s">
        <v>113</v>
      </c>
      <c r="D50" s="116" t="s">
        <v>124</v>
      </c>
      <c r="E50" s="116" t="s">
        <v>115</v>
      </c>
      <c r="G50" s="76"/>
      <c r="H50" s="77"/>
      <c r="I50" s="33"/>
      <c r="J50" s="33"/>
      <c r="K50" s="77"/>
      <c r="L50" s="77"/>
      <c r="M50" s="31"/>
      <c r="N50" s="31"/>
      <c r="O50" s="32"/>
      <c r="P50" s="32"/>
      <c r="Q50" s="32"/>
      <c r="R50" s="32"/>
      <c r="S50" s="76"/>
      <c r="T50" s="76"/>
      <c r="U50" s="76"/>
      <c r="V50" s="77"/>
      <c r="W50" s="33"/>
      <c r="X50" s="13"/>
      <c r="Y50" s="13"/>
      <c r="BH50">
        <f>BH45+1</f>
        <v>6</v>
      </c>
      <c r="BI50">
        <v>7</v>
      </c>
      <c r="BJ50" s="107" t="e">
        <f>$H$31*H46</f>
        <v>#DIV/0!</v>
      </c>
    </row>
    <row r="51" spans="1:62" ht="15.75" thickBot="1" x14ac:dyDescent="0.3">
      <c r="A51" s="116" t="s">
        <v>116</v>
      </c>
      <c r="B51" s="116" t="s">
        <v>123</v>
      </c>
      <c r="C51" s="116" t="s">
        <v>113</v>
      </c>
      <c r="D51" s="116" t="s">
        <v>125</v>
      </c>
      <c r="E51" s="116" t="s">
        <v>122</v>
      </c>
      <c r="BH51">
        <f>BH46+1</f>
        <v>6</v>
      </c>
      <c r="BI51">
        <v>8</v>
      </c>
      <c r="BJ51" s="107" t="e">
        <f>$H$31*H47</f>
        <v>#DIV/0!</v>
      </c>
    </row>
    <row r="52" spans="1:62" x14ac:dyDescent="0.25">
      <c r="H52" s="107"/>
      <c r="BH52">
        <f>BH47+1</f>
        <v>6</v>
      </c>
      <c r="BI52">
        <v>9</v>
      </c>
      <c r="BJ52" s="107" t="e">
        <f>$H$31*H48</f>
        <v>#DIV/0!</v>
      </c>
    </row>
    <row r="53" spans="1:62" x14ac:dyDescent="0.25">
      <c r="BH53">
        <f>BH48+1</f>
        <v>6</v>
      </c>
      <c r="BI53">
        <v>10</v>
      </c>
      <c r="BJ53" s="107" t="e">
        <f>$H$31*H49</f>
        <v>#DIV/0!</v>
      </c>
    </row>
    <row r="54" spans="1:62" x14ac:dyDescent="0.25">
      <c r="BH54">
        <f>BH51+1</f>
        <v>7</v>
      </c>
      <c r="BI54">
        <v>8</v>
      </c>
      <c r="BJ54" s="107" t="e">
        <f>$H$32*H47</f>
        <v>#DIV/0!</v>
      </c>
    </row>
    <row r="55" spans="1:62" x14ac:dyDescent="0.25">
      <c r="BH55">
        <f>BH52+1</f>
        <v>7</v>
      </c>
      <c r="BI55">
        <v>9</v>
      </c>
      <c r="BJ55" s="107" t="e">
        <f>$H$32*H48</f>
        <v>#DIV/0!</v>
      </c>
    </row>
    <row r="56" spans="1:62" x14ac:dyDescent="0.25">
      <c r="BH56">
        <f>BH53+1</f>
        <v>7</v>
      </c>
      <c r="BI56">
        <v>10</v>
      </c>
      <c r="BJ56" s="107" t="e">
        <f>$H$32*H49</f>
        <v>#DIV/0!</v>
      </c>
    </row>
    <row r="57" spans="1:62" x14ac:dyDescent="0.25">
      <c r="BH57">
        <f>BH55+1</f>
        <v>8</v>
      </c>
      <c r="BI57">
        <v>9</v>
      </c>
      <c r="BJ57" s="107" t="e">
        <f>$H$33*H48</f>
        <v>#DIV/0!</v>
      </c>
    </row>
    <row r="58" spans="1:62" x14ac:dyDescent="0.25">
      <c r="BH58">
        <f>BH56+1</f>
        <v>8</v>
      </c>
      <c r="BI58">
        <v>10</v>
      </c>
      <c r="BJ58" s="107" t="e">
        <f>$H$33*H49</f>
        <v>#DIV/0!</v>
      </c>
    </row>
    <row r="59" spans="1:62" x14ac:dyDescent="0.25">
      <c r="BH59">
        <f t="shared" ref="BH59" si="39">BH58+1</f>
        <v>9</v>
      </c>
      <c r="BI59">
        <v>10</v>
      </c>
      <c r="BJ59" s="107" t="e">
        <f>$H$34*H49</f>
        <v>#DIV/0!</v>
      </c>
    </row>
  </sheetData>
  <mergeCells count="2">
    <mergeCell ref="P1:Q1"/>
    <mergeCell ref="B3:C3"/>
  </mergeCells>
  <conditionalFormatting sqref="V25:V35 V39:V49">
    <cfRule type="cellIs" dxfId="41" priority="14" operator="greaterThan">
      <formula>0.15</formula>
    </cfRule>
  </conditionalFormatting>
  <conditionalFormatting sqref="V35">
    <cfRule type="cellIs" dxfId="40" priority="13" operator="greaterThan">
      <formula>0.15</formula>
    </cfRule>
  </conditionalFormatting>
  <conditionalFormatting sqref="V49">
    <cfRule type="cellIs" dxfId="39" priority="12" operator="greaterThan">
      <formula>0.15</formula>
    </cfRule>
  </conditionalFormatting>
  <conditionalFormatting sqref="V25:V35 V39:V49">
    <cfRule type="cellIs" dxfId="38" priority="11" operator="greaterThan">
      <formula>0.15</formula>
    </cfRule>
  </conditionalFormatting>
  <conditionalFormatting sqref="V35">
    <cfRule type="cellIs" dxfId="37" priority="10" operator="greaterThan">
      <formula>0.15</formula>
    </cfRule>
  </conditionalFormatting>
  <conditionalFormatting sqref="V49">
    <cfRule type="cellIs" dxfId="36" priority="9" operator="greaterThan">
      <formula>0.15</formula>
    </cfRule>
  </conditionalFormatting>
  <conditionalFormatting sqref="H25:H35">
    <cfRule type="cellIs" dxfId="35" priority="8" operator="greaterThan">
      <formula>0.15</formula>
    </cfRule>
  </conditionalFormatting>
  <conditionalFormatting sqref="H35">
    <cfRule type="cellIs" dxfId="34" priority="7" operator="greaterThan">
      <formula>0.15</formula>
    </cfRule>
  </conditionalFormatting>
  <conditionalFormatting sqref="H25:H35">
    <cfRule type="cellIs" dxfId="33" priority="6" operator="greaterThan">
      <formula>0.15</formula>
    </cfRule>
  </conditionalFormatting>
  <conditionalFormatting sqref="H35">
    <cfRule type="cellIs" dxfId="32" priority="5" operator="greaterThan">
      <formula>0.15</formula>
    </cfRule>
  </conditionalFormatting>
  <conditionalFormatting sqref="H39:H49">
    <cfRule type="cellIs" dxfId="31" priority="4" operator="greaterThan">
      <formula>0.15</formula>
    </cfRule>
  </conditionalFormatting>
  <conditionalFormatting sqref="H49">
    <cfRule type="cellIs" dxfId="30" priority="3" operator="greaterThan">
      <formula>0.15</formula>
    </cfRule>
  </conditionalFormatting>
  <conditionalFormatting sqref="H39:H49">
    <cfRule type="cellIs" dxfId="29" priority="2" operator="greaterThan">
      <formula>0.15</formula>
    </cfRule>
  </conditionalFormatting>
  <conditionalFormatting sqref="H49">
    <cfRule type="cellIs" dxfId="28" priority="1" operator="greaterThan">
      <formula>0.15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R59"/>
  <sheetViews>
    <sheetView zoomScale="80" zoomScaleNormal="80" workbookViewId="0">
      <selection activeCell="AH13" sqref="AH13"/>
    </sheetView>
  </sheetViews>
  <sheetFormatPr baseColWidth="10" defaultColWidth="9.140625" defaultRowHeight="15" x14ac:dyDescent="0.25"/>
  <cols>
    <col min="1" max="1" width="22.7109375" bestFit="1" customWidth="1"/>
    <col min="2" max="3" width="9.140625" bestFit="1" customWidth="1"/>
    <col min="4" max="4" width="11.28515625" bestFit="1" customWidth="1"/>
    <col min="5" max="5" width="10.140625" bestFit="1" customWidth="1"/>
    <col min="6" max="6" width="4.85546875" bestFit="1" customWidth="1"/>
    <col min="7" max="7" width="6" bestFit="1" customWidth="1"/>
    <col min="8" max="8" width="9.140625" bestFit="1" customWidth="1"/>
    <col min="9" max="9" width="4.42578125" bestFit="1" customWidth="1"/>
    <col min="10" max="10" width="9.140625" bestFit="1" customWidth="1"/>
    <col min="11" max="11" width="6" bestFit="1" customWidth="1"/>
    <col min="12" max="12" width="9.140625" bestFit="1" customWidth="1"/>
    <col min="13" max="13" width="5.7109375" bestFit="1" customWidth="1"/>
    <col min="14" max="14" width="9.140625" bestFit="1" customWidth="1"/>
    <col min="15" max="15" width="8.42578125" bestFit="1" customWidth="1"/>
    <col min="16" max="16" width="9.140625" bestFit="1" customWidth="1"/>
    <col min="17" max="17" width="8.85546875" bestFit="1" customWidth="1"/>
    <col min="18" max="18" width="9.140625" bestFit="1" customWidth="1"/>
    <col min="19" max="19" width="8.85546875" bestFit="1" customWidth="1"/>
    <col min="20" max="20" width="9.140625" bestFit="1" customWidth="1"/>
    <col min="21" max="21" width="8.85546875" bestFit="1" customWidth="1"/>
    <col min="22" max="22" width="9.140625" bestFit="1" customWidth="1"/>
    <col min="23" max="23" width="17.42578125" customWidth="1"/>
    <col min="24" max="24" width="7.140625" bestFit="1" customWidth="1"/>
    <col min="25" max="25" width="8.42578125" bestFit="1" customWidth="1"/>
    <col min="26" max="26" width="8.7109375" bestFit="1" customWidth="1"/>
    <col min="27" max="27" width="8" bestFit="1" customWidth="1"/>
    <col min="28" max="28" width="10" customWidth="1"/>
    <col min="29" max="29" width="8.42578125" bestFit="1" customWidth="1"/>
    <col min="30" max="30" width="8.85546875" bestFit="1" customWidth="1"/>
    <col min="31" max="31" width="8.42578125" bestFit="1" customWidth="1"/>
    <col min="32" max="32" width="8.7109375" bestFit="1" customWidth="1"/>
    <col min="33" max="33" width="8.42578125" bestFit="1" customWidth="1"/>
    <col min="34" max="34" width="3.7109375" bestFit="1" customWidth="1"/>
    <col min="35" max="35" width="8.42578125" bestFit="1" customWidth="1"/>
    <col min="36" max="36" width="3.7109375" bestFit="1" customWidth="1"/>
    <col min="37" max="37" width="8.42578125" bestFit="1" customWidth="1"/>
    <col min="38" max="38" width="4.85546875" bestFit="1" customWidth="1"/>
    <col min="39" max="39" width="9.140625" bestFit="1" customWidth="1"/>
    <col min="42" max="42" width="4.5703125" bestFit="1" customWidth="1"/>
    <col min="43" max="43" width="8.42578125" bestFit="1" customWidth="1"/>
    <col min="44" max="44" width="5.42578125" bestFit="1" customWidth="1"/>
    <col min="45" max="45" width="8.42578125" bestFit="1" customWidth="1"/>
    <col min="46" max="46" width="2.28515625" bestFit="1" customWidth="1"/>
    <col min="47" max="47" width="3.42578125" bestFit="1" customWidth="1"/>
    <col min="48" max="48" width="4.28515625" bestFit="1" customWidth="1"/>
    <col min="49" max="52" width="3" bestFit="1" customWidth="1"/>
    <col min="53" max="56" width="3.42578125" bestFit="1" customWidth="1"/>
    <col min="57" max="58" width="4.42578125" bestFit="1" customWidth="1"/>
    <col min="60" max="60" width="2.42578125" bestFit="1" customWidth="1"/>
    <col min="61" max="61" width="3.42578125" bestFit="1" customWidth="1"/>
    <col min="62" max="62" width="6.140625" bestFit="1" customWidth="1"/>
    <col min="63" max="63" width="4.7109375" customWidth="1"/>
    <col min="64" max="65" width="3.42578125" bestFit="1" customWidth="1"/>
    <col min="66" max="66" width="6.140625" bestFit="1" customWidth="1"/>
    <col min="67" max="67" width="4.42578125" customWidth="1"/>
    <col min="68" max="69" width="2.42578125" bestFit="1" customWidth="1"/>
    <col min="70" max="70" width="5.28515625" bestFit="1" customWidth="1"/>
  </cols>
  <sheetData>
    <row r="1" spans="1:70" x14ac:dyDescent="0.25">
      <c r="A1" s="193" t="s">
        <v>142</v>
      </c>
      <c r="B1" t="s">
        <v>146</v>
      </c>
      <c r="F1" s="10" t="s">
        <v>123</v>
      </c>
      <c r="G1" s="70">
        <f>IF(D3="SI",COUNTIF($F$6:$F$18,"RAP"),0)</f>
        <v>0</v>
      </c>
      <c r="H1" s="70">
        <f>G1+G2+G3</f>
        <v>0</v>
      </c>
      <c r="J1" s="11" t="s">
        <v>123</v>
      </c>
      <c r="K1" s="70">
        <f>IF(D3="SI",COUNTIF($J$6:$J$18,"RAP"),0)</f>
        <v>0</v>
      </c>
      <c r="L1" s="70">
        <f>K1+K2+K3</f>
        <v>0</v>
      </c>
      <c r="M1" s="150">
        <f>L1+H1</f>
        <v>0</v>
      </c>
      <c r="P1" s="199" t="s">
        <v>135</v>
      </c>
      <c r="Q1" s="199"/>
      <c r="R1" s="152">
        <v>-0.12364059050405629</v>
      </c>
      <c r="S1" s="153">
        <f>1+R1</f>
        <v>0.87635940949594371</v>
      </c>
      <c r="U1" s="160" t="s">
        <v>145</v>
      </c>
      <c r="V1">
        <f>IF(B17="JC",IF(C17="JC",1.2,1.1),IF(C17="JC",1.1,1))</f>
        <v>1</v>
      </c>
      <c r="AF1">
        <f>COUNTA(J16:J18)</f>
        <v>2</v>
      </c>
    </row>
    <row r="2" spans="1:70" x14ac:dyDescent="0.25">
      <c r="A2" s="193" t="s">
        <v>143</v>
      </c>
      <c r="B2" t="s">
        <v>146</v>
      </c>
      <c r="F2" s="10" t="s">
        <v>21</v>
      </c>
      <c r="G2" s="70">
        <f>IF(D3="SI",COUNTIF($F$6:$F$18,"TEC"),0)</f>
        <v>0</v>
      </c>
      <c r="H2" s="13"/>
      <c r="J2" s="11" t="s">
        <v>21</v>
      </c>
      <c r="K2" s="70">
        <f>IF(D3="SI",COUNTIF($J$6:$J$18,"TEC"),0)</f>
        <v>0</v>
      </c>
      <c r="L2" s="13" t="s">
        <v>134</v>
      </c>
      <c r="M2" s="163" t="str">
        <f>IF(M1&lt;&gt;0,"SI","NO")</f>
        <v>NO</v>
      </c>
      <c r="O2" t="s">
        <v>148</v>
      </c>
      <c r="P2" s="165" t="s">
        <v>149</v>
      </c>
      <c r="R2" s="152">
        <v>7.3959748117051513E-2</v>
      </c>
      <c r="S2" s="153">
        <f>1+R2</f>
        <v>1.0739597481170515</v>
      </c>
      <c r="Y2" t="s">
        <v>148</v>
      </c>
      <c r="Z2" s="164" t="s">
        <v>149</v>
      </c>
    </row>
    <row r="3" spans="1:70" x14ac:dyDescent="0.25">
      <c r="A3" s="162" t="s">
        <v>108</v>
      </c>
      <c r="B3" s="200" t="s">
        <v>23</v>
      </c>
      <c r="C3" s="200"/>
      <c r="D3" t="str">
        <f>IF(B3="Sol","SI",IF(B3="Lluvia","SI","NO"))</f>
        <v>NO</v>
      </c>
      <c r="F3" s="10" t="s">
        <v>131</v>
      </c>
      <c r="G3" s="70">
        <f>IF(D3="SI",COUNTIF($F$6:$F$18,"POT"),0)</f>
        <v>0</v>
      </c>
      <c r="H3" s="13"/>
      <c r="J3" s="11" t="s">
        <v>131</v>
      </c>
      <c r="K3" s="70">
        <f>IF(D3="SI",COUNTIF($J$6:$J$18,"POT"),0)</f>
        <v>0</v>
      </c>
      <c r="L3" s="13"/>
      <c r="O3" t="s">
        <v>132</v>
      </c>
      <c r="P3" s="165" t="s">
        <v>138</v>
      </c>
      <c r="Q3" t="s">
        <v>133</v>
      </c>
      <c r="R3" s="165" t="s">
        <v>139</v>
      </c>
      <c r="Y3" t="s">
        <v>132</v>
      </c>
      <c r="Z3" s="164" t="s">
        <v>138</v>
      </c>
      <c r="AA3" t="s">
        <v>133</v>
      </c>
      <c r="AB3" s="164" t="s">
        <v>139</v>
      </c>
    </row>
    <row r="4" spans="1:70" ht="15.75" x14ac:dyDescent="0.25">
      <c r="A4" s="124"/>
      <c r="B4" s="8" t="s">
        <v>106</v>
      </c>
      <c r="C4" s="9" t="s">
        <v>107</v>
      </c>
      <c r="D4" s="13"/>
      <c r="E4" s="13"/>
      <c r="F4" s="8" t="s">
        <v>13</v>
      </c>
      <c r="G4" s="8" t="s">
        <v>128</v>
      </c>
      <c r="H4" s="8" t="s">
        <v>127</v>
      </c>
      <c r="I4" s="8" t="s">
        <v>129</v>
      </c>
      <c r="J4" s="9" t="s">
        <v>14</v>
      </c>
      <c r="K4" s="9" t="s">
        <v>128</v>
      </c>
      <c r="L4" s="9" t="s">
        <v>127</v>
      </c>
      <c r="M4" s="9" t="s">
        <v>129</v>
      </c>
      <c r="N4" s="13"/>
      <c r="O4" s="8" t="s">
        <v>28</v>
      </c>
      <c r="P4" s="8" t="s">
        <v>29</v>
      </c>
      <c r="Q4" s="8" t="s">
        <v>30</v>
      </c>
      <c r="R4" s="8" t="s">
        <v>70</v>
      </c>
      <c r="S4" s="8" t="s">
        <v>31</v>
      </c>
      <c r="T4" s="8" t="s">
        <v>32</v>
      </c>
      <c r="U4" s="8" t="s">
        <v>33</v>
      </c>
      <c r="V4" s="193"/>
      <c r="W4" s="125"/>
      <c r="X4" s="12" t="s">
        <v>72</v>
      </c>
      <c r="Y4" s="9" t="s">
        <v>28</v>
      </c>
      <c r="Z4" s="9" t="s">
        <v>29</v>
      </c>
      <c r="AA4" s="9" t="s">
        <v>34</v>
      </c>
      <c r="AB4" s="9" t="s">
        <v>35</v>
      </c>
      <c r="AC4" s="9" t="s">
        <v>31</v>
      </c>
      <c r="AD4" s="9" t="s">
        <v>32</v>
      </c>
      <c r="AE4" s="9" t="s">
        <v>33</v>
      </c>
      <c r="AF4" s="14"/>
      <c r="AI4" s="194" t="s">
        <v>75</v>
      </c>
      <c r="BH4">
        <v>0</v>
      </c>
      <c r="BI4">
        <v>1</v>
      </c>
      <c r="BJ4" s="107">
        <f t="shared" ref="BJ4:BJ13" si="0">$H$25*H40</f>
        <v>2.7875104828975823E-2</v>
      </c>
      <c r="BL4">
        <v>0</v>
      </c>
      <c r="BM4">
        <v>0</v>
      </c>
      <c r="BN4" s="107">
        <f>H25*H39</f>
        <v>8.7694361109492951E-3</v>
      </c>
      <c r="BP4">
        <v>1</v>
      </c>
      <c r="BQ4">
        <v>0</v>
      </c>
      <c r="BR4" s="107">
        <f>$H$26*H39</f>
        <v>1.8212022839668579E-2</v>
      </c>
    </row>
    <row r="5" spans="1:70" x14ac:dyDescent="0.25">
      <c r="A5" s="188" t="s">
        <v>140</v>
      </c>
      <c r="B5" s="161">
        <v>352</v>
      </c>
      <c r="C5" s="161">
        <v>352</v>
      </c>
      <c r="E5" s="192" t="s">
        <v>15</v>
      </c>
      <c r="F5" s="167" t="s">
        <v>147</v>
      </c>
      <c r="G5" s="167">
        <v>12</v>
      </c>
      <c r="H5" s="10"/>
      <c r="I5" s="10"/>
      <c r="J5" s="166" t="s">
        <v>147</v>
      </c>
      <c r="K5" s="166">
        <v>12</v>
      </c>
      <c r="L5" s="10"/>
      <c r="M5" s="10"/>
      <c r="O5" s="67">
        <f>COUNTIF(F5:F10,"IMP")/(COUNTIF(J5:J10,"IMP")+COUNTIF(F5:F10,"IMP"))*AI5</f>
        <v>8.5000000000000006E-3</v>
      </c>
      <c r="P5" s="16" t="str">
        <f>P3</f>
        <v>0,6</v>
      </c>
      <c r="Q5" s="16">
        <f>P5*O5</f>
        <v>5.1000000000000004E-3</v>
      </c>
      <c r="R5" s="157">
        <f>IF($M$2="SI",Q5*$B$22/0.5*$S$1,Q5*$B$22/0.5*$S$2)</f>
        <v>5.1889213093234384E-3</v>
      </c>
      <c r="S5" s="176">
        <f>(1-R5)</f>
        <v>0.99481107869067653</v>
      </c>
      <c r="T5" s="177">
        <f>R5*PRODUCT(S6:S19)</f>
        <v>4.3557113599224902E-3</v>
      </c>
      <c r="U5" s="177">
        <f>R5*R6*PRODUCT(S7:S19)+R5*R7*PRODUCT(S8:S19)*PRODUCT(S6)+R5*R8*PRODUCT(S9:S19)*PRODUCT(S6:S7)+R5*R9*PRODUCT(S10:S19)*PRODUCT(S6:S8)+R5*R10*PRODUCT(S11:S19)*PRODUCT(S6:S9)+R5*R11*PRODUCT(S12:S19)*PRODUCT(S6:S10)+R5*R12*PRODUCT(S13:S19)*PRODUCT(S6:S11)+R5*R13*PRODUCT(S14:S19)*PRODUCT(S6:S12)+R5*R14*PRODUCT(S15:S19)*PRODUCT(S6:S13)+R5*R15*PRODUCT(S16:S19)*PRODUCT(S6:S14)+R5*R16*PRODUCT(S17:S19)*PRODUCT(S6:S15)+R5*R17*PRODUCT(S18:S19)*PRODUCT(S6:S16)+R5*R18*PRODUCT(S19)*PRODUCT(S6:S17)+R5*R19*PRODUCT(S6:S18)</f>
        <v>7.7788081849321851E-4</v>
      </c>
      <c r="V5" s="18"/>
      <c r="W5" s="186" t="s">
        <v>36</v>
      </c>
      <c r="X5" s="15" t="s">
        <v>37</v>
      </c>
      <c r="Y5" s="69">
        <f>COUNTIF(J5:J10,"IMP")/(COUNTIF(J5:J10,"IMP")+COUNTIF(F5:F10,"IMP"))*AI5</f>
        <v>8.5000000000000006E-3</v>
      </c>
      <c r="Z5" s="146" t="str">
        <f>Z3</f>
        <v>0,6</v>
      </c>
      <c r="AA5" s="19">
        <f>Z5*Y5</f>
        <v>5.1000000000000004E-3</v>
      </c>
      <c r="AB5" s="157">
        <f>IF($M$2="SI",AA5*$C$22/0.5*$S$1,AA5*$C$22/0.5*$S$2)</f>
        <v>5.7654681214704892E-3</v>
      </c>
      <c r="AC5" s="176">
        <f>(1-AB5)</f>
        <v>0.9942345318785295</v>
      </c>
      <c r="AD5" s="177">
        <f>AB5*PRODUCT(AC6:AC19)</f>
        <v>4.3341402357483516E-3</v>
      </c>
      <c r="AE5" s="177">
        <f>AB5*AB6*PRODUCT(AC7:AC19)+AB5*AB7*PRODUCT(AC8:AC19)*PRODUCT(AC6)+AB5*AB8*PRODUCT(AC9:AC19)*PRODUCT(AC6:AC7)+AB5*AB9*PRODUCT(AC10:AC19)*PRODUCT(AC6:AC8)+AB5*AB10*PRODUCT(AC11:AC19)*PRODUCT(AC6:AC9)+AB5*AB11*PRODUCT(AC12:AC19)*PRODUCT(AC6:AC10)+AB5*AB12*PRODUCT(AC13:AC19)*PRODUCT(AC6:AC11)+AB5*AB13*PRODUCT(AC14:AC19)*PRODUCT(AC6:AC12)+AB5*AB14*PRODUCT(AC15:AC19)*PRODUCT(AC6:AC13)+AB5*AB15*PRODUCT(AC16:AC19)*PRODUCT(AC6:AC14)+AB5*AB16*PRODUCT(AC17:AC19)*PRODUCT(AC6:AC15)+AB5*AB17*PRODUCT(AC18:AC19)*PRODUCT(AC6:AC16)+AB5*AB18*PRODUCT(AC19)*PRODUCT(AC6:AC17)+AB5*AB19*PRODUCT(AC6:AC18)</f>
        <v>1.2758487309103717E-3</v>
      </c>
      <c r="AF5" s="18"/>
      <c r="AI5" s="194">
        <v>1.7000000000000001E-2</v>
      </c>
      <c r="BH5">
        <v>0</v>
      </c>
      <c r="BI5">
        <v>2</v>
      </c>
      <c r="BJ5" s="107">
        <f t="shared" si="0"/>
        <v>4.0595710445274158E-2</v>
      </c>
      <c r="BL5">
        <v>1</v>
      </c>
      <c r="BM5">
        <v>1</v>
      </c>
      <c r="BN5" s="107">
        <f>$H$26*H40</f>
        <v>5.7889930365033357E-2</v>
      </c>
      <c r="BP5">
        <f>BP4+1</f>
        <v>2</v>
      </c>
      <c r="BQ5">
        <v>0</v>
      </c>
      <c r="BR5" s="107">
        <f>$H$27*H39</f>
        <v>1.73168669618609E-2</v>
      </c>
    </row>
    <row r="6" spans="1:70" x14ac:dyDescent="0.25">
      <c r="A6" s="2" t="s">
        <v>1</v>
      </c>
      <c r="B6" s="168">
        <v>9</v>
      </c>
      <c r="C6" s="169">
        <v>10</v>
      </c>
      <c r="E6" s="192" t="s">
        <v>17</v>
      </c>
      <c r="F6" s="167" t="s">
        <v>16</v>
      </c>
      <c r="G6" s="167"/>
      <c r="H6" s="10"/>
      <c r="I6" s="10"/>
      <c r="J6" s="166" t="s">
        <v>144</v>
      </c>
      <c r="K6" s="166"/>
      <c r="L6" s="10"/>
      <c r="M6" s="10"/>
      <c r="O6" s="67">
        <f>COUNTIF(F11:F18,"IMP")/(COUNTIF(J11:J18,"IMP")+COUNTIF(F11:F18,"IMP"))*AI6</f>
        <v>5.6666666666666671E-3</v>
      </c>
      <c r="P6" s="16" t="str">
        <f>P3</f>
        <v>0,6</v>
      </c>
      <c r="Q6" s="16">
        <f t="shared" ref="Q6:Q19" si="1">P6*O6</f>
        <v>3.4000000000000002E-3</v>
      </c>
      <c r="R6" s="157">
        <f>IF($M$2="SI",Q6*$B$22/0.5*$S$1,Q6*$B$22/0.5*$S$2)</f>
        <v>3.4592808728822924E-3</v>
      </c>
      <c r="S6" s="176">
        <f t="shared" ref="S6:S19" si="2">(1-R6)</f>
        <v>0.99654071912711772</v>
      </c>
      <c r="T6" s="177">
        <f>R6*S5*PRODUCT(S7:S19)</f>
        <v>2.8987675955848215E-3</v>
      </c>
      <c r="U6" s="177">
        <f>R6*R7*PRODUCT(S8:S19)*PRODUCT(S5)+R6*R8*PRODUCT(S9:S19)*S5*PRODUCT(S7)+R6*R9*PRODUCT(S10:S19)*S5*PRODUCT(S7:S8)+R6*R10*PRODUCT(S11:S19)*S5*PRODUCT(S7:S9)+R6*R11*PRODUCT(S12:S19)*S5*PRODUCT(S7:S10)+R6*R12*PRODUCT(S13:S19)*S5*PRODUCT(S7:S11)+R6*R13*PRODUCT(S14:S19)*S5*PRODUCT(S7:S12)+R6*R14*PRODUCT(S15:S19)*S5*PRODUCT(S7:S13)+R6*R15*PRODUCT(S16:S19)*S5*PRODUCT(S7:S14)+R6*R16*PRODUCT(S17:S19)*S5*PRODUCT(S7:S15)+R6*R17*PRODUCT(S18:S19)*S5*PRODUCT(S7:S16)+R6*R18*PRODUCT(S19)*S5*PRODUCT(S7:S17)+R6*R19*S5*PRODUCT(S7:S18)</f>
        <v>5.0762466910210719E-4</v>
      </c>
      <c r="V6" s="18"/>
      <c r="W6" s="186" t="s">
        <v>38</v>
      </c>
      <c r="X6" s="15" t="s">
        <v>39</v>
      </c>
      <c r="Y6" s="69">
        <f>COUNTIF(J11:J18,"IMP")/(COUNTIF(J11:J18,"IMP")+COUNTIF(F11:F18,"IMP"))*AI6</f>
        <v>1.1333333333333334E-2</v>
      </c>
      <c r="Z6" s="146" t="str">
        <f>Z3</f>
        <v>0,6</v>
      </c>
      <c r="AA6" s="19">
        <f t="shared" ref="AA6:AA19" si="3">Z6*Y6</f>
        <v>6.8000000000000005E-3</v>
      </c>
      <c r="AB6" s="157">
        <f t="shared" ref="AB6:AB19" si="4">IF($M$2="SI",AA6*$C$22/0.5*$S$1,AA6*$C$22/0.5*$S$2)</f>
        <v>7.6872908286273181E-3</v>
      </c>
      <c r="AC6" s="176">
        <f t="shared" ref="AC6:AC19" si="5">(1-AB6)</f>
        <v>0.99231270917137271</v>
      </c>
      <c r="AD6" s="177">
        <f>AB6*AC5*PRODUCT(AC7:AC19)</f>
        <v>5.7900456157394236E-3</v>
      </c>
      <c r="AE6" s="177">
        <f>AB6*AB7*PRODUCT(AC8:AC19)*PRODUCT(AC5)+AB6*AB8*PRODUCT(AC9:AC19)*AC5*PRODUCT(AC7)+AB6*AB9*PRODUCT(AC10:AC19)*AC5*PRODUCT(AC7:AC8)+AB6*AB10*PRODUCT(AC11:AC19)*AC5*PRODUCT(AC7:AC9)+AB6*AB11*PRODUCT(AC12:AC19)*AC5*PRODUCT(AC7:AC10)+AB6*AB12*PRODUCT(AC13:AC19)*AC5*PRODUCT(AC7:AC11)+AB6*AB13*PRODUCT(AC14:AC19)*AC5*PRODUCT(AC7:AC12)+AB6*AB14*PRODUCT(AC15:AC19)*AC5*PRODUCT(AC7:AC13)+AB6*AB15*PRODUCT(AC16:AC19)*AC5*PRODUCT(AC7:AC14)+AB6*AB16*PRODUCT(AC17:AC19)*AC5*PRODUCT(AC7:AC15)+AB6*AB17*PRODUCT(AC18:AC19)*AC5*PRODUCT(AC7:AC16)+AB6*AB18*PRODUCT(AC19)*AC5*PRODUCT(AC7:AC17)+AB6*AB19*AC5*PRODUCT(AC7:AC18)</f>
        <v>1.6595716664577894E-3</v>
      </c>
      <c r="AF6" s="18"/>
      <c r="AI6" s="194">
        <v>1.7000000000000001E-2</v>
      </c>
      <c r="BH6">
        <v>0</v>
      </c>
      <c r="BI6">
        <v>3</v>
      </c>
      <c r="BJ6" s="107">
        <f t="shared" si="0"/>
        <v>3.5857782353040449E-2</v>
      </c>
      <c r="BL6">
        <f>BH14+1</f>
        <v>2</v>
      </c>
      <c r="BM6">
        <v>2</v>
      </c>
      <c r="BN6" s="107">
        <f>$H$27*H41</f>
        <v>8.0163708145989401E-2</v>
      </c>
      <c r="BP6">
        <f>BL5+1</f>
        <v>2</v>
      </c>
      <c r="BQ6">
        <v>1</v>
      </c>
      <c r="BR6" s="107">
        <f>$H$27*H40</f>
        <v>5.5044529176579766E-2</v>
      </c>
    </row>
    <row r="7" spans="1:70" x14ac:dyDescent="0.25">
      <c r="A7" s="5" t="s">
        <v>2</v>
      </c>
      <c r="B7" s="168">
        <v>9</v>
      </c>
      <c r="C7" s="169">
        <v>8</v>
      </c>
      <c r="E7" s="192" t="s">
        <v>18</v>
      </c>
      <c r="F7" s="167"/>
      <c r="G7" s="167"/>
      <c r="H7" s="10"/>
      <c r="I7" s="10"/>
      <c r="J7" s="166"/>
      <c r="K7" s="166"/>
      <c r="L7" s="10"/>
      <c r="M7" s="10"/>
      <c r="O7" s="67">
        <v>0</v>
      </c>
      <c r="P7" s="144">
        <v>0.5</v>
      </c>
      <c r="Q7" s="16">
        <f t="shared" si="1"/>
        <v>0</v>
      </c>
      <c r="R7" s="157">
        <f t="shared" ref="R7:R19" si="6">IF($M$2="SI",Q7*$B$22/0.5*$S$1,Q7*$B$22/0.5*$S$2)</f>
        <v>0</v>
      </c>
      <c r="S7" s="176">
        <f t="shared" si="2"/>
        <v>1</v>
      </c>
      <c r="T7" s="177">
        <f>R7*PRODUCT(S5:S6)*PRODUCT(S8:S19)</f>
        <v>0</v>
      </c>
      <c r="U7" s="177">
        <f>R7*R8*PRODUCT(S9:S19)*PRODUCT(S5:S6)+R7*R9*PRODUCT(S10:S19)*PRODUCT(S5:S6)*PRODUCT(S8)+R7*R10*PRODUCT(S11:S19)*PRODUCT(S5:S6)*PRODUCT(S8:S9)+R7*R11*PRODUCT(S12:S19)*PRODUCT(S5:S6)*PRODUCT(S8:S10)+R7*R12*PRODUCT(S13:S19)*PRODUCT(S5:S6)*PRODUCT(S8:S11)+R7*R13*PRODUCT(S14:S19)*PRODUCT(S5:S6)*PRODUCT(S8:S12)+R7*R14*PRODUCT(S15:S19)*PRODUCT(S5:S6)*PRODUCT(S8:S13)+R7*R15*PRODUCT(S16:S19)*PRODUCT(S5:S6)*PRODUCT(S8:S14)+R7*R16*PRODUCT(S17:S19)*PRODUCT(S5:S6)*PRODUCT(S8:S15)+R7*R17*PRODUCT(S18:S19)*PRODUCT(S5:S6)*PRODUCT(S8:S16)+R7*R18*PRODUCT(S19)*PRODUCT(S5:S6)*PRODUCT(S8:S17)+R7*R19*PRODUCT(S5:S6)*PRODUCT(S8:S18)</f>
        <v>0</v>
      </c>
      <c r="W7" s="186" t="s">
        <v>40</v>
      </c>
      <c r="X7" s="15" t="s">
        <v>41</v>
      </c>
      <c r="Y7" s="69">
        <v>0</v>
      </c>
      <c r="Z7" s="146">
        <v>0.5</v>
      </c>
      <c r="AA7" s="19">
        <f t="shared" si="3"/>
        <v>0</v>
      </c>
      <c r="AB7" s="157">
        <f t="shared" si="4"/>
        <v>0</v>
      </c>
      <c r="AC7" s="176">
        <f t="shared" si="5"/>
        <v>1</v>
      </c>
      <c r="AD7" s="177">
        <f>AB7*PRODUCT(AC5:AC6)*PRODUCT(AC8:AC19)</f>
        <v>0</v>
      </c>
      <c r="AE7" s="177">
        <f>AB7*AB8*PRODUCT(AC9:AC19)*PRODUCT(AC5:AC6)+AB7*AB9*PRODUCT(AC10:AC19)*PRODUCT(AC5:AC6)*PRODUCT(AC8)+AB7*AB10*PRODUCT(AC11:AC19)*PRODUCT(AC5:AC6)*PRODUCT(AC8:AC9)+AB7*AB11*PRODUCT(AC12:AC19)*PRODUCT(AC5:AC6)*PRODUCT(AC8:AC10)+AB7*AB12*PRODUCT(AC13:AC19)*PRODUCT(AC5:AC6)*PRODUCT(AC8:AC11)+AB7*AB13*PRODUCT(AC14:AC19)*PRODUCT(AC5:AC6)*PRODUCT(AC8:AC12)+AB7*AB14*PRODUCT(AC15:AC19)*PRODUCT(AC5:AC6)*PRODUCT(AC8:AC13)+AB7*AB15*PRODUCT(AC16:AC19)*PRODUCT(AC5:AC6)*PRODUCT(AC8:AC14)+AB7*AB16*PRODUCT(AC17:AC19)*PRODUCT(AC5:AC6)*PRODUCT(AC8:AC15)+AB7*AB17*PRODUCT(AC18:AC19)*PRODUCT(AC5:AC6)*PRODUCT(AC8:AC16)+AB7*AB18*PRODUCT(AC19)*PRODUCT(AC5:AC6)*PRODUCT(AC8:AC17)+AB7*AB19*PRODUCT(AC5:AC6)*PRODUCT(AC8:AC18)</f>
        <v>0</v>
      </c>
      <c r="AI7" s="194">
        <v>0</v>
      </c>
      <c r="BH7">
        <v>0</v>
      </c>
      <c r="BI7">
        <v>4</v>
      </c>
      <c r="BJ7" s="107">
        <f t="shared" si="0"/>
        <v>2.1432561757742281E-2</v>
      </c>
      <c r="BL7">
        <f>BH23+1</f>
        <v>3</v>
      </c>
      <c r="BM7">
        <v>3</v>
      </c>
      <c r="BN7" s="107">
        <f>$H$28*H42</f>
        <v>4.0800099536000126E-2</v>
      </c>
      <c r="BP7">
        <f>BP5+1</f>
        <v>3</v>
      </c>
      <c r="BQ7">
        <v>0</v>
      </c>
      <c r="BR7" s="107">
        <f>$H$28*H39</f>
        <v>9.9781370381090244E-3</v>
      </c>
    </row>
    <row r="8" spans="1:70" x14ac:dyDescent="0.25">
      <c r="A8" s="5" t="s">
        <v>3</v>
      </c>
      <c r="B8" s="168">
        <v>9</v>
      </c>
      <c r="C8" s="169">
        <v>8</v>
      </c>
      <c r="E8" s="192" t="s">
        <v>18</v>
      </c>
      <c r="F8" s="167" t="s">
        <v>16</v>
      </c>
      <c r="G8" s="167"/>
      <c r="H8" s="10"/>
      <c r="I8" s="10"/>
      <c r="J8" s="166" t="s">
        <v>144</v>
      </c>
      <c r="K8" s="166"/>
      <c r="L8" s="10"/>
      <c r="M8" s="10"/>
      <c r="O8" s="67">
        <f>COUNTIF(F6:F18,"IMP")/(COUNTIF(F6:F18,"IMP")+COUNTIF(J6:J18,"IMP"))*AI8</f>
        <v>5.6666666666666671E-3</v>
      </c>
      <c r="P8" s="16" t="str">
        <f>P3</f>
        <v>0,6</v>
      </c>
      <c r="Q8" s="16">
        <f t="shared" si="1"/>
        <v>3.4000000000000002E-3</v>
      </c>
      <c r="R8" s="157">
        <f t="shared" si="6"/>
        <v>3.4592808728822924E-3</v>
      </c>
      <c r="S8" s="176">
        <f t="shared" si="2"/>
        <v>0.99654071912711772</v>
      </c>
      <c r="T8" s="177">
        <f>R8*PRODUCT(S5:S7)*PRODUCT(S9:S19)</f>
        <v>2.8987675955848219E-3</v>
      </c>
      <c r="U8" s="177">
        <f>R8*R9*PRODUCT(S5:S7)*PRODUCT(S10:S19)+R8*R10*PRODUCT(S5:S7)*PRODUCT(S9)*PRODUCT(S11:S19)+R8*R11*PRODUCT(S5:S7)*PRODUCT(S9:S10)*PRODUCT(S12:S19)+R8*R12*PRODUCT(S5:S7)*PRODUCT(S9:S11)*PRODUCT(S13:S19)+R8*R13*PRODUCT(S5:S7)*PRODUCT(S9:S12)*PRODUCT(S14:S19)+R8*R14*PRODUCT(S5:S7)*PRODUCT(S9:S13)*PRODUCT(S15:S19)+R8*R15*PRODUCT(S5:S7)*PRODUCT(S9:S14)*PRODUCT(S16:S19)+R8*R16*PRODUCT(S5:S7)*PRODUCT(S9:S15)*PRODUCT(S17:S19)+R8*R17*PRODUCT(S5:S7)*PRODUCT(S9:S16)*PRODUCT(S18:S19)+R8*R18*PRODUCT(S5:S7)*PRODUCT(S9:S17)*PRODUCT(S19)+R8*R19*PRODUCT(S5:S7)*PRODUCT(S9:S18)</f>
        <v>4.9756220892775444E-4</v>
      </c>
      <c r="W8" s="186" t="s">
        <v>42</v>
      </c>
      <c r="X8" s="15" t="s">
        <v>43</v>
      </c>
      <c r="Y8" s="69">
        <f>COUNTIF(J6:J18,"IMP")/(COUNTIF(F6:F18,"IMP")+COUNTIF(J6:J18,"IMP"))*AI8</f>
        <v>1.1333333333333334E-2</v>
      </c>
      <c r="Z8" s="146" t="str">
        <f>Z3</f>
        <v>0,6</v>
      </c>
      <c r="AA8" s="19">
        <f t="shared" si="3"/>
        <v>6.8000000000000005E-3</v>
      </c>
      <c r="AB8" s="157">
        <f t="shared" si="4"/>
        <v>7.6872908286273181E-3</v>
      </c>
      <c r="AC8" s="176">
        <f t="shared" si="5"/>
        <v>0.99231270917137271</v>
      </c>
      <c r="AD8" s="177">
        <f>AB8*PRODUCT(AC5:AC7)*PRODUCT(AC9:AC19)</f>
        <v>5.7900456157394236E-3</v>
      </c>
      <c r="AE8" s="177">
        <f>AB8*AB9*PRODUCT(AC5:AC7)*PRODUCT(AC10:AC19)+AB8*AB10*PRODUCT(AC5:AC7)*PRODUCT(AC9)*PRODUCT(AC11:AC19)+AB8*AB11*PRODUCT(AC5:AC7)*PRODUCT(AC9:AC10)*PRODUCT(AC12:AC19)+AB8*AB12*PRODUCT(AC5:AC7)*PRODUCT(AC9:AC11)*PRODUCT(AC13:AC19)+AB8*AB13*PRODUCT(AC5:AC7)*PRODUCT(AC9:AC12)*PRODUCT(AC14:AC19)+AB8*AB14*PRODUCT(AC5:AC7)*PRODUCT(AC9:AC13)*PRODUCT(AC15:AC19)+AB8*AB15*PRODUCT(AC5:AC7)*PRODUCT(AC9:AC14)*PRODUCT(AC16:AC19)+AB8*AB16*PRODUCT(AC5:AC7)*PRODUCT(AC9:AC15)*PRODUCT(AC17:AC19)+AB8*AB17*PRODUCT(AC5:AC7)*PRODUCT(AC9:AC16)*PRODUCT(AC18:AC19)+AB8*AB18*PRODUCT(AC5:AC7)*PRODUCT(AC9:AC17)*PRODUCT(AC19)+AB8*AB19*PRODUCT(AC5:AC7)*PRODUCT(AC9:AC18)</f>
        <v>1.6147170917377143E-3</v>
      </c>
      <c r="AI8" s="194">
        <v>1.7000000000000001E-2</v>
      </c>
      <c r="BH8">
        <v>0</v>
      </c>
      <c r="BI8">
        <v>5</v>
      </c>
      <c r="BJ8" s="107">
        <f t="shared" si="0"/>
        <v>9.1573791367313365E-3</v>
      </c>
      <c r="BL8">
        <f>BH31+1</f>
        <v>4</v>
      </c>
      <c r="BM8">
        <v>4</v>
      </c>
      <c r="BN8" s="107">
        <f>$H$29*H43</f>
        <v>9.498333455123702E-3</v>
      </c>
      <c r="BP8">
        <f>BP6+1</f>
        <v>3</v>
      </c>
      <c r="BQ8">
        <v>1</v>
      </c>
      <c r="BR8" s="107">
        <f>$H$28*H40</f>
        <v>3.1717160877413185E-2</v>
      </c>
    </row>
    <row r="9" spans="1:70" x14ac:dyDescent="0.25">
      <c r="A9" s="5" t="s">
        <v>4</v>
      </c>
      <c r="B9" s="168">
        <v>9</v>
      </c>
      <c r="C9" s="169">
        <v>8</v>
      </c>
      <c r="E9" s="192" t="s">
        <v>18</v>
      </c>
      <c r="F9" s="167"/>
      <c r="G9" s="167"/>
      <c r="H9" s="10"/>
      <c r="I9" s="10"/>
      <c r="J9" s="166"/>
      <c r="K9" s="166"/>
      <c r="L9" s="10"/>
      <c r="M9" s="10"/>
      <c r="O9" s="67">
        <f>COUNTIF(J6:J13,"IMP")/(COUNTIF(J6:J13,"IMP")+COUNTIF(F6:F13,"IMP"))*AI9</f>
        <v>1.2500000000000001E-2</v>
      </c>
      <c r="P9" s="144">
        <v>0.5</v>
      </c>
      <c r="Q9" s="16">
        <f t="shared" si="1"/>
        <v>6.2500000000000003E-3</v>
      </c>
      <c r="R9" s="157">
        <f t="shared" si="6"/>
        <v>6.358972192798332E-3</v>
      </c>
      <c r="S9" s="176">
        <f t="shared" si="2"/>
        <v>0.99364102780720165</v>
      </c>
      <c r="T9" s="177">
        <f>R9*PRODUCT(S5:S8)*PRODUCT(S10:S19)</f>
        <v>5.3441671312964411E-3</v>
      </c>
      <c r="U9" s="177">
        <f>R9*R10*PRODUCT(S5:S8)*PRODUCT(S11:S19)+R9*R11*PRODUCT(S5:S8)*PRODUCT(S10)*PRODUCT(S12:S19)+R9*R12*PRODUCT(S5:S8)*PRODUCT(S10:S11)*PRODUCT(S13:S19)+R9*R13*PRODUCT(S5:S8)*PRODUCT(S10:S12)*PRODUCT(S14:S19)+R9*R14*PRODUCT(S5:S8)*PRODUCT(S10:S13)*PRODUCT(S15:S19)+R9*R15*PRODUCT(S5:S8)*PRODUCT(S10:S14)*PRODUCT(S16:S19)+R9*R16*PRODUCT(S5:S8)*PRODUCT(S10:S15)*PRODUCT(S17:S19)+R9*R17*PRODUCT(S5:S8)*PRODUCT(S10:S16)*PRODUCT(S18:S19)+R9*R18*PRODUCT(S5:S8)*PRODUCT(S10:S17)*PRODUCT(S19)+R9*R19*PRODUCT(S5:S8)*PRODUCT(S10:S18)</f>
        <v>8.8310465699495877E-4</v>
      </c>
      <c r="W9" s="187" t="s">
        <v>44</v>
      </c>
      <c r="X9" s="15" t="s">
        <v>45</v>
      </c>
      <c r="Y9" s="69">
        <f>COUNTIF(F6:F13,"IMP")/(COUNTIF(J6:J13,"IMP")+COUNTIF(F6:F13,"IMP"))*AI9</f>
        <v>1.2500000000000001E-2</v>
      </c>
      <c r="Z9" s="146">
        <v>0.5</v>
      </c>
      <c r="AA9" s="19">
        <f t="shared" si="3"/>
        <v>6.2500000000000003E-3</v>
      </c>
      <c r="AB9" s="157">
        <f t="shared" si="4"/>
        <v>7.0655246586648138E-3</v>
      </c>
      <c r="AC9" s="176">
        <f t="shared" si="5"/>
        <v>0.99293447534133517</v>
      </c>
      <c r="AD9" s="177">
        <f>AB9*PRODUCT(AC5:AC8)*PRODUCT(AC10:AC19)</f>
        <v>5.3184006838049589E-3</v>
      </c>
      <c r="AE9" s="177">
        <f>AB9*AB10*PRODUCT(AC5:AC8)*PRODUCT(AC11:AC19)+AB9*AB11*PRODUCT(AC5:AC8)*PRODUCT(AC10)*PRODUCT(AC12:AC19)+AB9*AB12*PRODUCT(AC5:AC8)*PRODUCT(AC10:AC11)*PRODUCT(AC13:AC19)+AB9*AB13*PRODUCT(AC5:AC8)*PRODUCT(AC10:AC12)*PRODUCT(AC14:AC19)+AB9*AB14*PRODUCT(AC5:AC8)*PRODUCT(AC10:AC13)*PRODUCT(AC15:AC19)+AB9*AB15*PRODUCT(AC5:AC8)*PRODUCT(AC10:AC14)*PRODUCT(AC16:AC19)+AB9*AB16*PRODUCT(AC5:AC8)*PRODUCT(AC10:AC15)*PRODUCT(AC17:AC19)+AB9*AB17*PRODUCT(AC5:AC8)*PRODUCT(AC10:AC16)*PRODUCT(AC18:AC19)+AB9*AB18*PRODUCT(AC5:AC8)*PRODUCT(AC10:AC17)*PRODUCT(AC19)+AB9*AB19*PRODUCT(AC5:AC8)*PRODUCT(AC10:AC18)</f>
        <v>1.4453409515524825E-3</v>
      </c>
      <c r="AI9" s="194">
        <v>2.5000000000000001E-2</v>
      </c>
      <c r="BH9">
        <v>0</v>
      </c>
      <c r="BI9">
        <v>6</v>
      </c>
      <c r="BJ9" s="107">
        <f t="shared" si="0"/>
        <v>2.8801751262564207E-3</v>
      </c>
      <c r="BL9">
        <f>BH38+1</f>
        <v>5</v>
      </c>
      <c r="BM9">
        <v>5</v>
      </c>
      <c r="BN9" s="107">
        <f>$H$30*H44</f>
        <v>1.1283449718393884E-3</v>
      </c>
      <c r="BP9">
        <f>BL6+1</f>
        <v>3</v>
      </c>
      <c r="BQ9">
        <v>2</v>
      </c>
      <c r="BR9" s="107">
        <f>$H$28*H41</f>
        <v>4.6191061415748268E-2</v>
      </c>
    </row>
    <row r="10" spans="1:70" x14ac:dyDescent="0.25">
      <c r="A10" s="6" t="s">
        <v>5</v>
      </c>
      <c r="B10" s="168">
        <v>7</v>
      </c>
      <c r="C10" s="169">
        <v>8</v>
      </c>
      <c r="E10" s="192" t="s">
        <v>17</v>
      </c>
      <c r="F10" s="167" t="s">
        <v>21</v>
      </c>
      <c r="G10" s="167"/>
      <c r="H10" s="10"/>
      <c r="I10" s="10"/>
      <c r="J10" s="166" t="s">
        <v>16</v>
      </c>
      <c r="K10" s="166"/>
      <c r="L10" s="10"/>
      <c r="M10" s="10"/>
      <c r="O10" s="67">
        <f>COUNTIF(F11:F18,"RAP")/(COUNTIF(F11:F18,"RAP")+COUNTIF(J11:J18,"RAP"))*AI10</f>
        <v>5.6666666666666671E-2</v>
      </c>
      <c r="P10" s="16" t="str">
        <f>R3</f>
        <v>0,72</v>
      </c>
      <c r="Q10" s="16">
        <f t="shared" si="1"/>
        <v>4.0800000000000003E-2</v>
      </c>
      <c r="R10" s="157">
        <f t="shared" si="6"/>
        <v>4.1511370474587507E-2</v>
      </c>
      <c r="S10" s="176">
        <f t="shared" si="2"/>
        <v>0.95848862952541247</v>
      </c>
      <c r="T10" s="177">
        <f>R10*PRODUCT(S5:S9)*PRODUCT(S11:S19)</f>
        <v>3.6166187332448405E-2</v>
      </c>
      <c r="U10" s="177">
        <f>R10*R11*PRODUCT(S5:S9)*PRODUCT(S12:S19)+R10*R12*PRODUCT(S5:S9)*S11*PRODUCT(S13:S19)+R10*R13*PRODUCT(S5:S9)*PRODUCT(S11:S12)*PRODUCT(S14:S19)+R10*R14*PRODUCT(S5:S9)*PRODUCT(S11:S13)*PRODUCT(S15:S19)+R10*R15*PRODUCT(S5:S9)*PRODUCT(S11:S14)*PRODUCT(S16:S19)+R10*R16*PRODUCT(S5:S9)*PRODUCT(S11:S15)*PRODUCT(S17:S19)+R10*R17*PRODUCT(S5:S9)*PRODUCT(S11:S16)*PRODUCT(S18:S19)+R10*R18*PRODUCT(S5:S9)*PRODUCT(S11:S17)*PRODUCT(S19)+R10*R19*PRODUCT(S5:S9)*PRODUCT(S11:S18)</f>
        <v>4.4100056954886075E-3</v>
      </c>
      <c r="W10" s="186" t="s">
        <v>46</v>
      </c>
      <c r="X10" s="15" t="s">
        <v>47</v>
      </c>
      <c r="Y10" s="69">
        <f>COUNTIF(J11:J18,"RAP")/(COUNTIF(F11:F18,"RAP")+COUNTIF(J11:J18,"RAP"))*AI10</f>
        <v>2.8333333333333335E-2</v>
      </c>
      <c r="Z10" s="146" t="str">
        <f>AB3</f>
        <v>0,72</v>
      </c>
      <c r="AA10" s="19">
        <f t="shared" si="3"/>
        <v>2.0400000000000001E-2</v>
      </c>
      <c r="AB10" s="157">
        <f t="shared" si="4"/>
        <v>2.3061872485881957E-2</v>
      </c>
      <c r="AC10" s="176">
        <f t="shared" si="5"/>
        <v>0.97693812751411802</v>
      </c>
      <c r="AD10" s="177">
        <f>AB10*PRODUCT(AC5:AC9)*PRODUCT(AC11:AC19)</f>
        <v>1.7643499693681019E-2</v>
      </c>
      <c r="AE10" s="177">
        <f>AB10*AB11*PRODUCT(AC5:AC9)*PRODUCT(AC12:AC19)+AB10*AB12*PRODUCT(AC5:AC9)*AC11*PRODUCT(AC13:AC19)+AB10*AB13*PRODUCT(AC5:AC9)*PRODUCT(AC11:AC12)*PRODUCT(AC14:AC19)+AB10*AB14*PRODUCT(AC5:AC9)*PRODUCT(AC11:AC13)*PRODUCT(AC15:AC19)+AB10*AB15*PRODUCT(AC5:AC9)*PRODUCT(AC11:AC14)*PRODUCT(AC16:AC19)+AB10*AB16*PRODUCT(AC5:AC9)*PRODUCT(AC11:AC15)*PRODUCT(AC17:AC19)+AB10*AB17*PRODUCT(AC5:AC9)*PRODUCT(AC11:AC16)*PRODUCT(AC18:AC19)+AB10*AB18*PRODUCT(AC5:AC9)*PRODUCT(AC11:AC17)*PRODUCT(AC19)+AB10*AB19*PRODUCT(AC5:AC9)*PRODUCT(AC11:AC18)</f>
        <v>4.3783412035393139E-3</v>
      </c>
      <c r="AI10" s="194">
        <v>8.5000000000000006E-2</v>
      </c>
      <c r="BH10">
        <v>0</v>
      </c>
      <c r="BI10">
        <v>7</v>
      </c>
      <c r="BJ10" s="107">
        <f t="shared" si="0"/>
        <v>6.764301732067301E-4</v>
      </c>
      <c r="BL10">
        <f>BH44+1</f>
        <v>6</v>
      </c>
      <c r="BM10">
        <v>6</v>
      </c>
      <c r="BN10" s="107">
        <f>$H$31*H45</f>
        <v>7.2504427151036204E-5</v>
      </c>
      <c r="BP10">
        <f>BP7+1</f>
        <v>4</v>
      </c>
      <c r="BQ10">
        <v>0</v>
      </c>
      <c r="BR10" s="107">
        <f>$H$29*H39</f>
        <v>3.8863776218962783E-3</v>
      </c>
    </row>
    <row r="11" spans="1:70" x14ac:dyDescent="0.25">
      <c r="A11" s="6" t="s">
        <v>6</v>
      </c>
      <c r="B11" s="168">
        <v>7</v>
      </c>
      <c r="C11" s="169">
        <v>8</v>
      </c>
      <c r="E11" s="192" t="s">
        <v>19</v>
      </c>
      <c r="F11" s="167" t="s">
        <v>147</v>
      </c>
      <c r="G11" s="167"/>
      <c r="H11" s="10"/>
      <c r="I11" s="10"/>
      <c r="J11" s="166" t="s">
        <v>147</v>
      </c>
      <c r="K11" s="166"/>
      <c r="L11" s="10"/>
      <c r="M11" s="10"/>
      <c r="O11" s="67">
        <f>COUNTIF(F11:F18,"RAP")/(COUNTIF(F11:F18,"RAP")+COUNTIF(J11:J18,"RAP"))*AI11</f>
        <v>5.6666666666666671E-2</v>
      </c>
      <c r="P11" s="16" t="str">
        <f>R3</f>
        <v>0,72</v>
      </c>
      <c r="Q11" s="16">
        <f t="shared" si="1"/>
        <v>4.0800000000000003E-2</v>
      </c>
      <c r="R11" s="157">
        <f t="shared" si="6"/>
        <v>4.1511370474587507E-2</v>
      </c>
      <c r="S11" s="176">
        <f t="shared" si="2"/>
        <v>0.95848862952541247</v>
      </c>
      <c r="T11" s="177">
        <f>R11*PRODUCT(S5:S10)*PRODUCT(S12:S19)</f>
        <v>3.6166187332448405E-2</v>
      </c>
      <c r="U11" s="177">
        <f>R11*R12*PRODUCT(S5:S10)*PRODUCT(S13:S19)+R11*R13*PRODUCT(S5:S10)*S12*PRODUCT(S14:S19)+R11*R14*PRODUCT(S5:S10)*PRODUCT(S12:S13)*PRODUCT(S15:S19)+R11*R15*PRODUCT(S5:S10)*PRODUCT(S12:S14)*PRODUCT(S16:S19)+R11*R16*PRODUCT(S5:S10)*PRODUCT(S12:S15)*PRODUCT(S17:S19)+R11*R17*PRODUCT(S5:S10)*PRODUCT(S12:S16)*PRODUCT(S18:S19)+R11*R18*PRODUCT(S5:S10)*PRODUCT(S12:S17)*PRODUCT(S19)+R11*R19*PRODUCT(S5:S10)*PRODUCT(S12:S18)</f>
        <v>2.8436772542696862E-3</v>
      </c>
      <c r="W11" s="186" t="s">
        <v>48</v>
      </c>
      <c r="X11" s="15" t="s">
        <v>49</v>
      </c>
      <c r="Y11" s="69">
        <f>COUNTIF(J11:J18,"RAP")/(COUNTIF(F11:F18,"RAP")+COUNTIF(J11:J18,"RAP"))*AI11</f>
        <v>2.8333333333333335E-2</v>
      </c>
      <c r="Z11" s="146" t="str">
        <f>AB3</f>
        <v>0,72</v>
      </c>
      <c r="AA11" s="19">
        <f t="shared" si="3"/>
        <v>2.0400000000000001E-2</v>
      </c>
      <c r="AB11" s="157">
        <f t="shared" si="4"/>
        <v>2.3061872485881957E-2</v>
      </c>
      <c r="AC11" s="176">
        <f t="shared" si="5"/>
        <v>0.97693812751411802</v>
      </c>
      <c r="AD11" s="177">
        <f>AB11*PRODUCT(AC5:AC10)*PRODUCT(AC12:AC19)</f>
        <v>1.7643499693681019E-2</v>
      </c>
      <c r="AE11" s="177">
        <f>AB11*AB12*PRODUCT(AC5:AC10)*PRODUCT(AC13:AC19)+AB11*AB13*PRODUCT(AC5:AC10)*AC12*PRODUCT(AC14:AC19)+AB11*AB14*PRODUCT(AC5:AC10)*PRODUCT(AC12:AC13)*PRODUCT(AC15:AC19)+AB11*AB15*PRODUCT(AC5:AC10)*PRODUCT(AC12:AC14)*PRODUCT(AC16:AC19)+AB11*AB16*PRODUCT(AC5:AC10)*PRODUCT(AC12:AC15)*PRODUCT(AC17:AC19)+AB11*AB17*PRODUCT(AC5:AC10)*PRODUCT(AC12:AC16)*PRODUCT(AC18:AC19)+AB11*AB18*PRODUCT(AC5:AC10)*PRODUCT(AC12:AC17)*PRODUCT(AC19)+AB11*AB19*PRODUCT(AC5:AC10)*PRODUCT(AC12:AC18)</f>
        <v>3.961843854648108E-3</v>
      </c>
      <c r="AI11" s="194">
        <v>8.5000000000000006E-2</v>
      </c>
      <c r="BH11">
        <v>0</v>
      </c>
      <c r="BI11">
        <v>8</v>
      </c>
      <c r="BJ11" s="107">
        <f t="shared" si="0"/>
        <v>1.1901206582912899E-4</v>
      </c>
      <c r="BL11">
        <f>BH50+1</f>
        <v>7</v>
      </c>
      <c r="BM11">
        <v>7</v>
      </c>
      <c r="BN11" s="107">
        <f>$H$32*H46</f>
        <v>2.5919366992506315E-6</v>
      </c>
      <c r="BP11">
        <f>BP8+1</f>
        <v>4</v>
      </c>
      <c r="BQ11">
        <v>1</v>
      </c>
      <c r="BR11" s="107">
        <f>$H$29*H40</f>
        <v>1.2353494825064346E-2</v>
      </c>
    </row>
    <row r="12" spans="1:70" x14ac:dyDescent="0.25">
      <c r="A12" s="6" t="s">
        <v>7</v>
      </c>
      <c r="B12" s="168">
        <v>7</v>
      </c>
      <c r="C12" s="169">
        <v>8</v>
      </c>
      <c r="E12" s="192" t="s">
        <v>19</v>
      </c>
      <c r="F12" s="167" t="s">
        <v>21</v>
      </c>
      <c r="G12" s="167"/>
      <c r="H12" s="10"/>
      <c r="I12" s="10"/>
      <c r="J12" s="166" t="s">
        <v>131</v>
      </c>
      <c r="K12" s="166"/>
      <c r="L12" s="10"/>
      <c r="M12" s="10"/>
      <c r="O12" s="67"/>
      <c r="P12" s="144">
        <v>0.5</v>
      </c>
      <c r="Q12" s="16">
        <f t="shared" si="1"/>
        <v>0</v>
      </c>
      <c r="R12" s="157">
        <f t="shared" si="6"/>
        <v>0</v>
      </c>
      <c r="S12" s="176">
        <f t="shared" si="2"/>
        <v>1</v>
      </c>
      <c r="T12" s="177">
        <f>R12*PRODUCT(S5:S11)*PRODUCT(S13:S19)</f>
        <v>0</v>
      </c>
      <c r="U12" s="177">
        <f>R12*R13*PRODUCT(S5:S11)*PRODUCT(S14:S19)+R12*R14*PRODUCT(S5:S11)*S13*PRODUCT(S15:S19)+R12*R15*PRODUCT(S5:S11)*PRODUCT(S13:S14)*PRODUCT(S16:S19)+R12*R16*PRODUCT(S5:S11)*PRODUCT(S13:S15)*PRODUCT(S17:S19)+R12*R17*PRODUCT(S5:S11)*PRODUCT(S13:S16)*PRODUCT(S18:S19)+R12*R18*PRODUCT(S5:S11)*PRODUCT(S13:S17)*PRODUCT(S19)+R12*R19*PRODUCT(S5:S11)*PRODUCT(S13:S18)</f>
        <v>0</v>
      </c>
      <c r="W12" s="187" t="s">
        <v>50</v>
      </c>
      <c r="X12" s="15" t="s">
        <v>51</v>
      </c>
      <c r="Y12" s="69"/>
      <c r="Z12" s="146">
        <v>0.5</v>
      </c>
      <c r="AA12" s="19">
        <f t="shared" si="3"/>
        <v>0</v>
      </c>
      <c r="AB12" s="157">
        <f t="shared" si="4"/>
        <v>0</v>
      </c>
      <c r="AC12" s="176">
        <f t="shared" si="5"/>
        <v>1</v>
      </c>
      <c r="AD12" s="177">
        <f>AB12*PRODUCT(AC5:AC11)*PRODUCT(AC13:AC19)</f>
        <v>0</v>
      </c>
      <c r="AE12" s="177">
        <f>AB12*AB13*PRODUCT(AC5:AC11)*PRODUCT(AC14:AC19)+AB12*AB14*PRODUCT(AC5:AC11)*AC13*PRODUCT(AC15:AC19)+AB12*AB15*PRODUCT(AC5:AC11)*PRODUCT(AC13:AC14)*PRODUCT(AC16:AC19)+AB12*AB16*PRODUCT(AC5:AC11)*PRODUCT(AC13:AC15)*PRODUCT(AC17:AC19)+AB12*AB17*PRODUCT(AC5:AC11)*PRODUCT(AC13:AC16)*PRODUCT(AC18:AC19)+AB12*AB18*PRODUCT(AC5:AC11)*PRODUCT(AC13:AC17)*PRODUCT(AC19)+AB12*AB19*PRODUCT(AC5:AC11)*PRODUCT(AC13:AC18)</f>
        <v>0</v>
      </c>
      <c r="AI12" s="194">
        <v>0</v>
      </c>
      <c r="BH12">
        <v>0</v>
      </c>
      <c r="BI12">
        <v>9</v>
      </c>
      <c r="BJ12" s="107">
        <f t="shared" si="0"/>
        <v>1.5572741090141039E-5</v>
      </c>
      <c r="BL12">
        <f>BH54+1</f>
        <v>8</v>
      </c>
      <c r="BM12">
        <v>8</v>
      </c>
      <c r="BN12" s="107">
        <f>$H$33*H47</f>
        <v>5.1857756378439711E-8</v>
      </c>
      <c r="BP12">
        <f>BP9+1</f>
        <v>4</v>
      </c>
      <c r="BQ12">
        <v>2</v>
      </c>
      <c r="BR12" s="107">
        <f>$H$29*H41</f>
        <v>1.799092423086435E-2</v>
      </c>
    </row>
    <row r="13" spans="1:70" x14ac:dyDescent="0.25">
      <c r="A13" s="7" t="s">
        <v>8</v>
      </c>
      <c r="B13" s="168">
        <v>11</v>
      </c>
      <c r="C13" s="169">
        <v>12.5</v>
      </c>
      <c r="E13" s="192" t="s">
        <v>19</v>
      </c>
      <c r="F13" s="167" t="s">
        <v>16</v>
      </c>
      <c r="G13" s="167"/>
      <c r="H13" s="10"/>
      <c r="I13" s="10"/>
      <c r="J13" s="166" t="s">
        <v>16</v>
      </c>
      <c r="K13" s="166"/>
      <c r="L13" s="10"/>
      <c r="M13" s="10"/>
      <c r="O13" s="67">
        <f>AI13</f>
        <v>0.125</v>
      </c>
      <c r="P13" s="16" t="str">
        <f>P2</f>
        <v>0,4</v>
      </c>
      <c r="Q13" s="16">
        <f t="shared" si="1"/>
        <v>0.05</v>
      </c>
      <c r="R13" s="157">
        <f t="shared" si="6"/>
        <v>5.0871777542386656E-2</v>
      </c>
      <c r="S13" s="176">
        <f t="shared" si="2"/>
        <v>0.9491282224576133</v>
      </c>
      <c r="T13" s="177">
        <f>R13*PRODUCT(S5:S12)*PRODUCT(S14:S19)</f>
        <v>4.4758409626593998E-2</v>
      </c>
      <c r="U13" s="177">
        <f>R13*R14*PRODUCT(S5:S12)*PRODUCT(S15:S19)+R13*R15*PRODUCT(S5:S12)*S14*PRODUCT(S16:S19)+R13*R16*PRODUCT(S5:S12)*PRODUCT(S14:S15)*PRODUCT(S17:S19)+R13*R17*PRODUCT(S5:S12)*PRODUCT(S14:S16)*PRODUCT(S18:S19)+R13*R18*PRODUCT(S5:S12)*PRODUCT(S14:S17)*PRODUCT(S19)+R13*R19*PRODUCT(S5:S12)*PRODUCT(S14:S18)</f>
        <v>1.1202868025658767E-3</v>
      </c>
      <c r="W13" s="186" t="s">
        <v>52</v>
      </c>
      <c r="X13" s="15" t="s">
        <v>53</v>
      </c>
      <c r="Y13" s="69">
        <f>AI13</f>
        <v>0.125</v>
      </c>
      <c r="Z13" s="19" t="str">
        <f>Z2</f>
        <v>0,4</v>
      </c>
      <c r="AA13" s="19">
        <f t="shared" si="3"/>
        <v>0.05</v>
      </c>
      <c r="AB13" s="157">
        <f t="shared" si="4"/>
        <v>5.652419726931851E-2</v>
      </c>
      <c r="AC13" s="176">
        <f t="shared" si="5"/>
        <v>0.94347580273068155</v>
      </c>
      <c r="AD13" s="177">
        <f>AB13*PRODUCT(AC5:AC12)*PRODUCT(AC14:AC19)</f>
        <v>4.4777605338427985E-2</v>
      </c>
      <c r="AE13" s="177">
        <f>AB13*AB14*PRODUCT(AC5:AC12)*PRODUCT(AC15:AC19)+AB13*AB15*PRODUCT(AC5:AC12)*AC14*PRODUCT(AC16:AC19)+AB13*AB16*PRODUCT(AC5:AC12)*PRODUCT(AC14:AC15)*PRODUCT(AC17:AC19)+AB13*AB17*PRODUCT(AC5:AC12)*PRODUCT(AC14:AC16)*PRODUCT(AC18:AC19)+AB13*AB18*PRODUCT(AC5:AC12)*PRODUCT(AC14:AC17)*PRODUCT(AC19)+AB13*AB19*PRODUCT(AC5:AC12)*PRODUCT(AC14:AC18)</f>
        <v>7.3721481180665438E-3</v>
      </c>
      <c r="AI13" s="194">
        <v>0.125</v>
      </c>
      <c r="BH13">
        <v>0</v>
      </c>
      <c r="BI13">
        <v>10</v>
      </c>
      <c r="BJ13" s="107">
        <f t="shared" si="0"/>
        <v>1.4841842985286412E-6</v>
      </c>
      <c r="BL13">
        <f>BH57+1</f>
        <v>9</v>
      </c>
      <c r="BM13">
        <v>9</v>
      </c>
      <c r="BN13" s="107">
        <f>$H$34*H48</f>
        <v>5.7200612492715432E-10</v>
      </c>
      <c r="BP13">
        <f>BL7+1</f>
        <v>4</v>
      </c>
      <c r="BQ13">
        <v>3</v>
      </c>
      <c r="BR13" s="107">
        <f>$H$29*H42</f>
        <v>1.5891202255717014E-2</v>
      </c>
    </row>
    <row r="14" spans="1:70" x14ac:dyDescent="0.25">
      <c r="A14" s="7" t="s">
        <v>9</v>
      </c>
      <c r="B14" s="168">
        <v>9</v>
      </c>
      <c r="C14" s="169">
        <v>10.75</v>
      </c>
      <c r="E14" s="192" t="s">
        <v>20</v>
      </c>
      <c r="F14" s="167" t="s">
        <v>123</v>
      </c>
      <c r="G14" s="167"/>
      <c r="H14" s="10"/>
      <c r="I14" s="10"/>
      <c r="J14" s="166" t="s">
        <v>144</v>
      </c>
      <c r="K14" s="166"/>
      <c r="L14" s="10"/>
      <c r="M14" s="10"/>
      <c r="O14" s="67">
        <f>IF(COUNTIF(F6:F18,"CAB")&gt;0,AI14,0)</f>
        <v>0</v>
      </c>
      <c r="P14" s="144">
        <v>0.95</v>
      </c>
      <c r="Q14" s="16">
        <f t="shared" si="1"/>
        <v>0</v>
      </c>
      <c r="R14" s="157">
        <f t="shared" si="6"/>
        <v>0</v>
      </c>
      <c r="S14" s="176">
        <f t="shared" si="2"/>
        <v>1</v>
      </c>
      <c r="T14" s="177">
        <f>R14*PRODUCT(S5:S13)*PRODUCT(S15:S19)</f>
        <v>0</v>
      </c>
      <c r="U14" s="177">
        <f>R14*R15*PRODUCT(S5:S13)*PRODUCT(S16:S19)+R14*R16*PRODUCT(S5:S13)*S15*PRODUCT(S17:S19)+R14*R17*PRODUCT(S5:S13)*PRODUCT(S15:S16)*PRODUCT(S18:S19)+R14*R18*PRODUCT(S5:S13)*PRODUCT(S15:S17)*PRODUCT(S19)+R14*R19*PRODUCT(S5:S13)*PRODUCT(S15:S18)</f>
        <v>0</v>
      </c>
      <c r="W14" s="186" t="s">
        <v>54</v>
      </c>
      <c r="X14" s="15" t="s">
        <v>55</v>
      </c>
      <c r="Y14" s="69">
        <f>IF(COUNTIF(J6:J18,"CAB")&gt;0,AI14,0)</f>
        <v>9.5000000000000001E-2</v>
      </c>
      <c r="Z14" s="146">
        <v>0.95</v>
      </c>
      <c r="AA14" s="19">
        <f t="shared" si="3"/>
        <v>9.0249999999999997E-2</v>
      </c>
      <c r="AB14" s="157">
        <f t="shared" si="4"/>
        <v>0.10202617607111991</v>
      </c>
      <c r="AC14" s="176">
        <f t="shared" si="5"/>
        <v>0.89797382392888014</v>
      </c>
      <c r="AD14" s="177">
        <f>AB14*PRODUCT(AC5:AC13)*PRODUCT(AC15:AC19)</f>
        <v>8.4919056388441425E-2</v>
      </c>
      <c r="AE14" s="177">
        <f>AB14*AB15*PRODUCT(AC5:AC13)*PRODUCT(AC16:AC19)+AB14*AB16*PRODUCT(AC5:AC13)*AC15*PRODUCT(AC17:AC19)+AB14*AB17*PRODUCT(AC5:AC13)*PRODUCT(AC15:AC16)*PRODUCT(AC18:AC19)+AB14*AB18*PRODUCT(AC5:AC13)*PRODUCT(AC15:AC17)*PRODUCT(AC19)+AB14*AB19*PRODUCT(AC5:AC13)*PRODUCT(AC15:AC18)</f>
        <v>4.3326526549414546E-3</v>
      </c>
      <c r="AI14" s="194">
        <v>9.5000000000000001E-2</v>
      </c>
      <c r="BH14">
        <v>1</v>
      </c>
      <c r="BI14">
        <v>2</v>
      </c>
      <c r="BJ14" s="107">
        <f t="shared" ref="BJ14:BJ22" si="7">$H$26*H41</f>
        <v>8.4307587907368031E-2</v>
      </c>
      <c r="BL14">
        <f>BP39+1</f>
        <v>10</v>
      </c>
      <c r="BM14">
        <v>10</v>
      </c>
      <c r="BN14" s="107">
        <f>$H$35*H49</f>
        <v>3.3350589403888591E-12</v>
      </c>
      <c r="BP14">
        <f>BP10+1</f>
        <v>5</v>
      </c>
      <c r="BQ14">
        <v>0</v>
      </c>
      <c r="BR14" s="107">
        <f>$H$30*H39</f>
        <v>1.0805437881201817E-3</v>
      </c>
    </row>
    <row r="15" spans="1:70" x14ac:dyDescent="0.25">
      <c r="A15" s="189" t="s">
        <v>71</v>
      </c>
      <c r="B15" s="170">
        <v>7.75</v>
      </c>
      <c r="C15" s="171">
        <v>8.25</v>
      </c>
      <c r="E15" s="192" t="s">
        <v>20</v>
      </c>
      <c r="F15" s="167" t="s">
        <v>123</v>
      </c>
      <c r="G15" s="167"/>
      <c r="H15" s="10"/>
      <c r="I15" s="10"/>
      <c r="J15" s="166" t="s">
        <v>123</v>
      </c>
      <c r="K15" s="166"/>
      <c r="L15" s="10"/>
      <c r="M15" s="10"/>
      <c r="O15" s="67"/>
      <c r="P15" s="144">
        <v>0.5</v>
      </c>
      <c r="Q15" s="16">
        <f t="shared" si="1"/>
        <v>0</v>
      </c>
      <c r="R15" s="157">
        <f t="shared" si="6"/>
        <v>0</v>
      </c>
      <c r="S15" s="176">
        <f t="shared" si="2"/>
        <v>1</v>
      </c>
      <c r="T15" s="177">
        <f>R15*PRODUCT(S5:S14)*PRODUCT(S16:S19)</f>
        <v>0</v>
      </c>
      <c r="U15" s="177">
        <f>R15*R16*PRODUCT(S5:S14)*PRODUCT(S17:S19)+R15*R17*PRODUCT(S5:S14)*S16*PRODUCT(S18:S19)+R15*R18*PRODUCT(S5:S14)*S16*S17*S19+R15*R19*PRODUCT(S5:S14)*S16*S17*S18</f>
        <v>0</v>
      </c>
      <c r="W15" s="186" t="s">
        <v>56</v>
      </c>
      <c r="X15" s="15" t="s">
        <v>57</v>
      </c>
      <c r="Y15" s="69"/>
      <c r="Z15" s="146">
        <v>0.5</v>
      </c>
      <c r="AA15" s="19">
        <f t="shared" si="3"/>
        <v>0</v>
      </c>
      <c r="AB15" s="157">
        <f t="shared" si="4"/>
        <v>0</v>
      </c>
      <c r="AC15" s="176">
        <f t="shared" si="5"/>
        <v>1</v>
      </c>
      <c r="AD15" s="177">
        <f>AB15*PRODUCT(AC5:AC14)*PRODUCT(AC16:AC19)</f>
        <v>0</v>
      </c>
      <c r="AE15" s="177">
        <f>AB15*AB16*PRODUCT(AC5:AC14)*PRODUCT(AC17:AC19)+AB15*AB17*PRODUCT(AC5:AC14)*AC16*PRODUCT(AC18:AC19)+AB15*AB18*PRODUCT(AC5:AC14)*AC16*AC17*AC19+AB15*AB19*PRODUCT(AC5:AC14)*AC16*AC17*AC18</f>
        <v>0</v>
      </c>
      <c r="AI15" s="194">
        <v>0</v>
      </c>
      <c r="BH15">
        <v>1</v>
      </c>
      <c r="BI15">
        <v>3</v>
      </c>
      <c r="BJ15" s="107">
        <f t="shared" si="7"/>
        <v>7.4468043661104391E-2</v>
      </c>
      <c r="BP15">
        <f>BP11+1</f>
        <v>5</v>
      </c>
      <c r="BQ15">
        <v>1</v>
      </c>
      <c r="BR15" s="107">
        <f>$H$30*H40</f>
        <v>3.434687360176021E-3</v>
      </c>
    </row>
    <row r="16" spans="1:70" x14ac:dyDescent="0.25">
      <c r="A16" s="189" t="s">
        <v>82</v>
      </c>
      <c r="B16" s="52">
        <f>AVERAGE(G5:G18)</f>
        <v>12</v>
      </c>
      <c r="C16" s="54">
        <f>AVERAGE(K5:K18)</f>
        <v>12</v>
      </c>
      <c r="E16" s="192" t="s">
        <v>22</v>
      </c>
      <c r="F16" s="167" t="s">
        <v>16</v>
      </c>
      <c r="G16" s="167"/>
      <c r="H16" s="10"/>
      <c r="I16" s="10"/>
      <c r="J16" s="166" t="s">
        <v>21</v>
      </c>
      <c r="K16" s="166"/>
      <c r="L16" s="10"/>
      <c r="M16" s="10"/>
      <c r="O16" s="67">
        <f>COUNTA(L6:L13)*0.03</f>
        <v>0</v>
      </c>
      <c r="P16" s="144">
        <v>0.25</v>
      </c>
      <c r="Q16" s="16">
        <f t="shared" si="1"/>
        <v>0</v>
      </c>
      <c r="R16" s="157">
        <f t="shared" si="6"/>
        <v>0</v>
      </c>
      <c r="S16" s="176">
        <f t="shared" si="2"/>
        <v>1</v>
      </c>
      <c r="T16" s="177">
        <f>R16*PRODUCT(S5:S15)*PRODUCT(S17:S19)</f>
        <v>0</v>
      </c>
      <c r="U16" s="177">
        <f>R16*R17*PRODUCT(S5:S15)*PRODUCT(S18:S19)+R16*R18*PRODUCT(S5:S15)*S17*S19+R16*R19*PRODUCT(S5:S15)*S17*S18</f>
        <v>0</v>
      </c>
      <c r="W16" s="187" t="s">
        <v>58</v>
      </c>
      <c r="X16" s="15" t="s">
        <v>59</v>
      </c>
      <c r="Y16" s="69">
        <f>COUNTA(H6:H13)*0.03</f>
        <v>0</v>
      </c>
      <c r="Z16" s="146">
        <v>0.25</v>
      </c>
      <c r="AA16" s="19">
        <f t="shared" si="3"/>
        <v>0</v>
      </c>
      <c r="AB16" s="157">
        <f t="shared" si="4"/>
        <v>0</v>
      </c>
      <c r="AC16" s="176">
        <f t="shared" si="5"/>
        <v>1</v>
      </c>
      <c r="AD16" s="177">
        <f>AB16*PRODUCT(AC5:AC15)*PRODUCT(AC17:AC19)</f>
        <v>0</v>
      </c>
      <c r="AE16" s="177">
        <f>AB16*AB17*PRODUCT(AC5:AC15)*PRODUCT(AC18:AC19)+AB16*AB18*PRODUCT(AC5:AC15)*AC17*AC19+AB16*AB19*PRODUCT(AC5:AC15)*AC17*AC18</f>
        <v>0</v>
      </c>
      <c r="AI16" s="194">
        <v>0</v>
      </c>
      <c r="BH16">
        <v>1</v>
      </c>
      <c r="BI16">
        <v>4</v>
      </c>
      <c r="BJ16" s="107">
        <f t="shared" si="7"/>
        <v>4.4510308223496074E-2</v>
      </c>
      <c r="BP16">
        <f>BP12+1</f>
        <v>5</v>
      </c>
      <c r="BQ16">
        <v>2</v>
      </c>
      <c r="BR16" s="107">
        <f>$H$30*H41</f>
        <v>5.0020824818140007E-3</v>
      </c>
    </row>
    <row r="17" spans="1:70" x14ac:dyDescent="0.25">
      <c r="A17" s="188" t="s">
        <v>10</v>
      </c>
      <c r="B17" s="172" t="s">
        <v>11</v>
      </c>
      <c r="C17" s="173" t="s">
        <v>11</v>
      </c>
      <c r="E17" s="192" t="s">
        <v>22</v>
      </c>
      <c r="F17" s="167" t="s">
        <v>16</v>
      </c>
      <c r="G17" s="167"/>
      <c r="H17" s="10"/>
      <c r="I17" s="10"/>
      <c r="J17" s="166"/>
      <c r="K17" s="166"/>
      <c r="L17" s="10"/>
      <c r="M17" s="10"/>
      <c r="O17" s="67">
        <f>(AI17*2)*IF(COUNTBLANK(F14:F15)&lt;&gt;0, (2-COUNTBLANK(F14:F15))/2,1)</f>
        <v>0.04</v>
      </c>
      <c r="P17" s="16" t="str">
        <f>P3</f>
        <v>0,6</v>
      </c>
      <c r="Q17" s="16">
        <f t="shared" si="1"/>
        <v>2.4E-2</v>
      </c>
      <c r="R17" s="157">
        <f t="shared" si="6"/>
        <v>2.4418453220345592E-2</v>
      </c>
      <c r="S17" s="176">
        <f t="shared" si="2"/>
        <v>0.97558154677965436</v>
      </c>
      <c r="T17" s="177">
        <f>R17*PRODUCT(S5:S16)*PRODUCT(S18:S19)</f>
        <v>2.0901487483430861E-2</v>
      </c>
      <c r="U17" s="177">
        <f>R17*R18*PRODUCT(S5:S16)*S19+R17*R19*PRODUCT(S5:S16)*S18</f>
        <v>0</v>
      </c>
      <c r="W17" s="186" t="s">
        <v>60</v>
      </c>
      <c r="X17" s="15" t="s">
        <v>61</v>
      </c>
      <c r="Y17" s="69">
        <f>(AI17*2)*IF(COUNTBLANK(J14:J15)&lt;&gt;0, (2-COUNTBLANK(J14:J15))/2,1)</f>
        <v>0.04</v>
      </c>
      <c r="Z17" s="146" t="str">
        <f>Z3</f>
        <v>0,6</v>
      </c>
      <c r="AA17" s="19">
        <f t="shared" si="3"/>
        <v>2.4E-2</v>
      </c>
      <c r="AB17" s="157">
        <f t="shared" si="4"/>
        <v>2.7131614689272884E-2</v>
      </c>
      <c r="AC17" s="176">
        <f t="shared" si="5"/>
        <v>0.97286838531072717</v>
      </c>
      <c r="AD17" s="177">
        <f>AB17*PRODUCT(AC5:AC16)*PRODUCT(AC18:AC19)</f>
        <v>2.084389022593032E-2</v>
      </c>
      <c r="AE17" s="177">
        <f>AB17*AB18*PRODUCT(AC5:AC16)*AC19+AB17*AB19*PRODUCT(AC5:AC16)*AC18</f>
        <v>4.8217549839201906E-4</v>
      </c>
      <c r="AI17" s="194">
        <v>0.02</v>
      </c>
      <c r="BH17">
        <v>1</v>
      </c>
      <c r="BI17">
        <v>5</v>
      </c>
      <c r="BJ17" s="107">
        <f t="shared" si="7"/>
        <v>1.9017687782846765E-2</v>
      </c>
      <c r="BP17">
        <f>BP13+1</f>
        <v>5</v>
      </c>
      <c r="BQ17">
        <v>3</v>
      </c>
      <c r="BR17" s="107">
        <f>$H$30*H42</f>
        <v>4.4182890994514659E-3</v>
      </c>
    </row>
    <row r="18" spans="1:70" x14ac:dyDescent="0.25">
      <c r="A18" s="188" t="s">
        <v>12</v>
      </c>
      <c r="B18" s="172">
        <v>20</v>
      </c>
      <c r="C18" s="173">
        <v>20</v>
      </c>
      <c r="E18" s="192" t="s">
        <v>22</v>
      </c>
      <c r="F18" s="167" t="s">
        <v>16</v>
      </c>
      <c r="G18" s="167"/>
      <c r="H18" s="10"/>
      <c r="I18" s="10"/>
      <c r="J18" s="166" t="s">
        <v>147</v>
      </c>
      <c r="K18" s="166"/>
      <c r="L18" s="10"/>
      <c r="M18" s="10"/>
      <c r="O18" s="67">
        <f>IF(COUNTIF(F14:F18,"CAB")&gt;0,(AI18*2)*IF(COUNTBLANK(F14:F15)&lt;&gt;0, (2-COUNTBLANK(F14:F15))/2,1),0)</f>
        <v>0</v>
      </c>
      <c r="P18" s="144">
        <f>P14</f>
        <v>0.95</v>
      </c>
      <c r="Q18" s="16">
        <f t="shared" si="1"/>
        <v>0</v>
      </c>
      <c r="R18" s="157">
        <f t="shared" si="6"/>
        <v>0</v>
      </c>
      <c r="S18" s="176">
        <f t="shared" si="2"/>
        <v>1</v>
      </c>
      <c r="T18" s="177">
        <f>R18*PRODUCT(S5:S17)*PRODUCT(S19:S19)</f>
        <v>0</v>
      </c>
      <c r="U18" s="177">
        <f>R18*R19*PRODUCT(S5:S17)</f>
        <v>0</v>
      </c>
      <c r="W18" s="186" t="s">
        <v>62</v>
      </c>
      <c r="X18" s="15" t="s">
        <v>63</v>
      </c>
      <c r="Y18" s="69">
        <f>IF(COUNTIF(J14:J18,"CAB")&gt;0,(AI18*2)*IF(COUNTBLANK(J14:J15)&lt;&gt;0, (2-COUNTBLANK(J14:J15))/2,1),0)</f>
        <v>0.04</v>
      </c>
      <c r="Z18" s="146">
        <v>0.5</v>
      </c>
      <c r="AA18" s="19">
        <f t="shared" si="3"/>
        <v>0.02</v>
      </c>
      <c r="AB18" s="157">
        <f t="shared" si="4"/>
        <v>2.2609678907727405E-2</v>
      </c>
      <c r="AC18" s="176">
        <f t="shared" si="5"/>
        <v>0.97739032109227264</v>
      </c>
      <c r="AD18" s="177">
        <f>AB18*PRODUCT(AC5:AC17)*PRODUCT(AC19:AC19)</f>
        <v>1.7289545938543264E-2</v>
      </c>
      <c r="AE18" s="177">
        <f>AB18*AB19*PRODUCT(AC5:AC17)</f>
        <v>0</v>
      </c>
      <c r="AI18" s="194">
        <v>0.02</v>
      </c>
      <c r="BH18">
        <v>1</v>
      </c>
      <c r="BI18">
        <v>6</v>
      </c>
      <c r="BJ18" s="107">
        <f t="shared" si="7"/>
        <v>5.9814353531961731E-3</v>
      </c>
      <c r="BP18">
        <f>BL8+1</f>
        <v>5</v>
      </c>
      <c r="BQ18">
        <v>4</v>
      </c>
      <c r="BR18" s="107">
        <f>$H$30*H43</f>
        <v>2.6408563991834172E-3</v>
      </c>
    </row>
    <row r="19" spans="1:70" x14ac:dyDescent="0.25">
      <c r="H19" s="13" t="s">
        <v>141</v>
      </c>
      <c r="L19" s="13" t="s">
        <v>141</v>
      </c>
      <c r="O19" s="67">
        <f>IF(AND(F14="TEC",J10="CAB"),AI19,IF(AND(F15="TEC",J6="CAB"),AI19,IF(AND(OR(F16="TEC",F17="TEC",F18="TEC"),OR(J7="CAB",J8="CAB",J9="CAB")),AI19,IF(AND(OR(F11="TEC",F12="TEC",F13="TEC"),OR(J11="CAB",J12="CAB",J13="CAB")),AI19,0))))</f>
        <v>0</v>
      </c>
      <c r="P19" s="16" t="str">
        <f>P3</f>
        <v>0,6</v>
      </c>
      <c r="Q19" s="16">
        <f t="shared" si="1"/>
        <v>0</v>
      </c>
      <c r="R19" s="157">
        <f t="shared" si="6"/>
        <v>0</v>
      </c>
      <c r="S19" s="178">
        <f t="shared" si="2"/>
        <v>1</v>
      </c>
      <c r="T19" s="179">
        <f>R19*PRODUCT(S5:S18)</f>
        <v>0</v>
      </c>
      <c r="U19" s="179">
        <v>0</v>
      </c>
      <c r="V19" s="1" t="s">
        <v>66</v>
      </c>
      <c r="W19" s="186" t="s">
        <v>64</v>
      </c>
      <c r="X19" s="15" t="s">
        <v>65</v>
      </c>
      <c r="Y19" s="69">
        <f>IF(AND(J14="TEC",F10="CAB"),AI19,IF(AND(J15="TEC",F6="CAB"),AI19,IF(AND(OR(J16="TEC",J17="TEC",J18="TEC"),OR(F7="CAB",F8="CAB",F9="CAB")),AI19,IF(AND(OR(J11="TEC",J12="TEC",J13="TEC"),OR(F11="CAB",F12="CAB",F13="CAB")),AI19,0))))</f>
        <v>0</v>
      </c>
      <c r="Z19" s="146" t="str">
        <f>Z3</f>
        <v>0,6</v>
      </c>
      <c r="AA19" s="19">
        <f t="shared" si="3"/>
        <v>0</v>
      </c>
      <c r="AB19" s="157">
        <f t="shared" si="4"/>
        <v>0</v>
      </c>
      <c r="AC19" s="178">
        <f t="shared" si="5"/>
        <v>1</v>
      </c>
      <c r="AD19" s="179">
        <f>AB19*PRODUCT(AC5:AC18)</f>
        <v>0</v>
      </c>
      <c r="AE19" s="179">
        <v>0</v>
      </c>
      <c r="AF19" s="1" t="s">
        <v>66</v>
      </c>
      <c r="AI19" s="194">
        <v>0.06</v>
      </c>
      <c r="BH19">
        <v>1</v>
      </c>
      <c r="BI19">
        <v>7</v>
      </c>
      <c r="BJ19" s="107">
        <f t="shared" si="7"/>
        <v>1.4047837977290867E-3</v>
      </c>
      <c r="BP19">
        <f>BP15+1</f>
        <v>6</v>
      </c>
      <c r="BQ19">
        <v>1</v>
      </c>
      <c r="BR19" s="107">
        <f>$H$31*H40</f>
        <v>7.0171722857245461E-4</v>
      </c>
    </row>
    <row r="20" spans="1:70" x14ac:dyDescent="0.25">
      <c r="A20" s="190" t="s">
        <v>81</v>
      </c>
      <c r="B20">
        <f>IF(B17="Pres",IF(C17="Pres",2,1),IF(C17="Pres",1,0))</f>
        <v>0</v>
      </c>
      <c r="D20" s="36"/>
      <c r="O20" s="22"/>
      <c r="P20" s="22"/>
      <c r="Q20" s="22"/>
      <c r="S20" s="180">
        <f>PRODUCT(S5:S19)</f>
        <v>0.83506949867287583</v>
      </c>
      <c r="T20" s="181">
        <f>SUM(T5:T19)</f>
        <v>0.15348968545731023</v>
      </c>
      <c r="U20" s="181">
        <f>SUM(U5:U19)</f>
        <v>1.1040142105842209E-2</v>
      </c>
      <c r="V20" s="181">
        <f>1-S20-T20-U20</f>
        <v>4.0067376397172685E-4</v>
      </c>
      <c r="W20" s="21"/>
      <c r="X20" s="22"/>
      <c r="Y20" s="22"/>
      <c r="Z20" s="22"/>
      <c r="AA20" s="22"/>
      <c r="AB20" s="23"/>
      <c r="AC20" s="184">
        <f>PRODUCT(AC5:AC19)</f>
        <v>0.74740711380190727</v>
      </c>
      <c r="AD20" s="181">
        <f>SUM(AD5:AD19)</f>
        <v>0.22434972942973719</v>
      </c>
      <c r="AE20" s="181">
        <f>SUM(AE5:AE19)</f>
        <v>2.6522639770245798E-2</v>
      </c>
      <c r="AF20" s="181">
        <f>1-AC20-AD20-AE20</f>
        <v>1.720516998109739E-3</v>
      </c>
      <c r="BH20">
        <v>1</v>
      </c>
      <c r="BI20">
        <v>8</v>
      </c>
      <c r="BJ20" s="107">
        <f t="shared" si="7"/>
        <v>2.4715961592673149E-4</v>
      </c>
      <c r="BP20">
        <f>BP16+1</f>
        <v>6</v>
      </c>
      <c r="BQ20">
        <v>2</v>
      </c>
      <c r="BR20" s="107">
        <f>$H$31*H41</f>
        <v>1.0219408895630791E-3</v>
      </c>
    </row>
    <row r="21" spans="1:70" x14ac:dyDescent="0.25">
      <c r="A21" s="190" t="s">
        <v>78</v>
      </c>
      <c r="B21" s="191">
        <f>5-B20</f>
        <v>5</v>
      </c>
      <c r="C21" s="35"/>
      <c r="D21" s="24"/>
      <c r="E21" s="24"/>
      <c r="O21" s="22"/>
      <c r="P21" s="22"/>
      <c r="Q21" s="22"/>
      <c r="S21" s="182">
        <f>1-T21-U21-V21</f>
        <v>0.83506949867287583</v>
      </c>
      <c r="T21" s="183">
        <f>T20*V1</f>
        <v>0.15348968545731023</v>
      </c>
      <c r="U21" s="183">
        <f>U20*V1</f>
        <v>1.1040142105842209E-2</v>
      </c>
      <c r="V21" s="183">
        <f>V20*V1</f>
        <v>4.0067376397172685E-4</v>
      </c>
      <c r="W21" s="21"/>
      <c r="X21" s="22"/>
      <c r="Y21" s="22"/>
      <c r="Z21" s="22"/>
      <c r="AA21" s="22"/>
      <c r="AB21" s="23"/>
      <c r="AC21" s="185">
        <f>1-AD21-AE21-AF21</f>
        <v>0.74740711380190727</v>
      </c>
      <c r="AD21" s="183">
        <f>AD20*V1</f>
        <v>0.22434972942973719</v>
      </c>
      <c r="AE21" s="183">
        <f>AE20*V1</f>
        <v>2.6522639770245798E-2</v>
      </c>
      <c r="AF21" s="183">
        <f>AF20*V1</f>
        <v>1.720516998109739E-3</v>
      </c>
      <c r="BH21" s="18">
        <v>1</v>
      </c>
      <c r="BI21">
        <v>9</v>
      </c>
      <c r="BJ21" s="107">
        <f t="shared" si="7"/>
        <v>3.2340861239160444E-5</v>
      </c>
      <c r="BP21">
        <f>BP17+1</f>
        <v>6</v>
      </c>
      <c r="BQ21">
        <v>3</v>
      </c>
      <c r="BR21" s="107">
        <f>$H$31*H42</f>
        <v>9.0267009971471755E-4</v>
      </c>
    </row>
    <row r="22" spans="1:70" x14ac:dyDescent="0.25">
      <c r="A22" s="26" t="s">
        <v>77</v>
      </c>
      <c r="B22" s="62">
        <f>(B6)/((B6)+(C6))</f>
        <v>0.47368421052631576</v>
      </c>
      <c r="C22" s="63">
        <f>1-B22</f>
        <v>0.52631578947368429</v>
      </c>
      <c r="D22" s="24"/>
      <c r="E22" s="24"/>
      <c r="V22" s="59">
        <f>SUM(V25:V35)</f>
        <v>1</v>
      </c>
      <c r="AS22" s="82">
        <f>Y23+AA23+AC23+AE23+AG23+AI23+AK23+AM23+AO23+AQ23+AS23</f>
        <v>1</v>
      </c>
      <c r="BH22">
        <v>1</v>
      </c>
      <c r="BI22">
        <v>10</v>
      </c>
      <c r="BJ22" s="107">
        <f t="shared" si="7"/>
        <v>3.0822960565653854E-6</v>
      </c>
      <c r="BP22">
        <f>BP18+1</f>
        <v>6</v>
      </c>
      <c r="BQ22">
        <v>4</v>
      </c>
      <c r="BR22" s="107">
        <f>$H$31*H43</f>
        <v>5.3953511314574207E-4</v>
      </c>
    </row>
    <row r="23" spans="1:70" ht="15.75" thickBot="1" x14ac:dyDescent="0.3">
      <c r="A23" s="40" t="s">
        <v>67</v>
      </c>
      <c r="B23" s="56">
        <f>((B22^2.8)/((B22^2.8)+(C22^2.8)))*B21</f>
        <v>2.1338895849549826</v>
      </c>
      <c r="C23" s="57">
        <f>B21-B23</f>
        <v>2.8661104150450174</v>
      </c>
      <c r="D23" s="151">
        <f>SUM(D25:D30)</f>
        <v>1</v>
      </c>
      <c r="E23" s="151">
        <f>SUM(E25:E30)</f>
        <v>1</v>
      </c>
      <c r="H23" s="59">
        <f>SUM(H25:H35)</f>
        <v>0.99999998555225222</v>
      </c>
      <c r="J23" s="59">
        <f>SUM(J25:J35)</f>
        <v>0.99999999999999989</v>
      </c>
      <c r="K23" s="59"/>
      <c r="L23" s="59">
        <f>SUM(L25:L35)</f>
        <v>1</v>
      </c>
      <c r="N23" s="59">
        <f>SUM(N25:N35)</f>
        <v>1.0000000000000002</v>
      </c>
      <c r="O23" s="34"/>
      <c r="P23" s="59">
        <f>SUM(P25:P35)</f>
        <v>1.0000000000000002</v>
      </c>
      <c r="R23" s="59">
        <f>SUM(R25:R35)</f>
        <v>1</v>
      </c>
      <c r="T23" s="59">
        <f>SUM(T25:T35)</f>
        <v>1</v>
      </c>
      <c r="V23" s="59">
        <f>SUM(V25:V34)</f>
        <v>0.99975813565668914</v>
      </c>
      <c r="Y23" s="80">
        <f>SUM(Y25:Y35)</f>
        <v>3.7731004883405344E-3</v>
      </c>
      <c r="Z23" s="81"/>
      <c r="AA23" s="80">
        <f>SUM(AA25:AA35)</f>
        <v>2.8148540579964569E-2</v>
      </c>
      <c r="AB23" s="81"/>
      <c r="AC23" s="80">
        <f>SUM(AC25:AC35)</f>
        <v>9.4540965211025202E-2</v>
      </c>
      <c r="AD23" s="81"/>
      <c r="AE23" s="80">
        <f>SUM(AE25:AE35)</f>
        <v>0.18828113238782931</v>
      </c>
      <c r="AF23" s="81"/>
      <c r="AG23" s="80">
        <f>SUM(AG25:AG35)</f>
        <v>0.24628757091290551</v>
      </c>
      <c r="AH23" s="81"/>
      <c r="AI23" s="80">
        <f>SUM(AI25:AI35)</f>
        <v>0.22120189162163784</v>
      </c>
      <c r="AJ23" s="81"/>
      <c r="AK23" s="80">
        <f>SUM(AK25:AK35)</f>
        <v>0.13825350881016671</v>
      </c>
      <c r="AL23" s="81"/>
      <c r="AM23" s="80">
        <f>SUM(AM25:AM35)</f>
        <v>5.9467002659498752E-2</v>
      </c>
      <c r="AN23" s="81"/>
      <c r="AO23" s="80">
        <f>SUM(AO25:AO35)</f>
        <v>1.6906172264115515E-2</v>
      </c>
      <c r="AP23" s="81"/>
      <c r="AQ23" s="80">
        <f>SUM(AQ25:AQ35)</f>
        <v>2.8982507212050802E-3</v>
      </c>
      <c r="AR23" s="81"/>
      <c r="AS23" s="80">
        <f>SUM(AS25:AS35)</f>
        <v>2.4186434331086013E-4</v>
      </c>
      <c r="BH23">
        <f t="shared" ref="BH23:BH30" si="8">BH15+1</f>
        <v>2</v>
      </c>
      <c r="BI23">
        <v>3</v>
      </c>
      <c r="BJ23" s="107">
        <f t="shared" ref="BJ23:BJ30" si="9">$H$27*H42</f>
        <v>7.0807796384954491E-2</v>
      </c>
      <c r="BP23">
        <f>BL9+1</f>
        <v>6</v>
      </c>
      <c r="BQ23">
        <v>5</v>
      </c>
      <c r="BR23" s="107">
        <f>$H$31*H44</f>
        <v>2.3052436029351528E-4</v>
      </c>
    </row>
    <row r="24" spans="1:70" ht="15.75" thickBot="1" x14ac:dyDescent="0.3">
      <c r="A24" s="26" t="s">
        <v>76</v>
      </c>
      <c r="B24" s="64">
        <f>B23/B21</f>
        <v>0.42677791699099654</v>
      </c>
      <c r="C24" s="65">
        <f>C23/B21</f>
        <v>0.57322208300900346</v>
      </c>
      <c r="D24" s="13" t="s">
        <v>79</v>
      </c>
      <c r="E24" s="13" t="s">
        <v>80</v>
      </c>
      <c r="G24" s="99" t="s">
        <v>103</v>
      </c>
      <c r="H24" s="100" t="s">
        <v>75</v>
      </c>
      <c r="I24" s="99" t="s">
        <v>100</v>
      </c>
      <c r="J24" s="101" t="s">
        <v>101</v>
      </c>
      <c r="K24" s="99" t="s">
        <v>102</v>
      </c>
      <c r="L24" s="101" t="s">
        <v>75</v>
      </c>
      <c r="M24" s="83" t="s">
        <v>99</v>
      </c>
      <c r="N24" s="27" t="s">
        <v>74</v>
      </c>
      <c r="O24" s="27" t="s">
        <v>126</v>
      </c>
      <c r="P24" s="27" t="s">
        <v>75</v>
      </c>
      <c r="Q24" s="27" t="s">
        <v>87</v>
      </c>
      <c r="R24" s="27" t="s">
        <v>75</v>
      </c>
      <c r="S24" s="27" t="s">
        <v>83</v>
      </c>
      <c r="T24" s="134" t="s">
        <v>75</v>
      </c>
      <c r="U24" s="138" t="s">
        <v>85</v>
      </c>
      <c r="V24" s="139" t="s">
        <v>74</v>
      </c>
      <c r="W24" s="83" t="s">
        <v>73</v>
      </c>
      <c r="X24" s="27" t="s">
        <v>88</v>
      </c>
      <c r="Y24" s="27" t="s">
        <v>75</v>
      </c>
      <c r="Z24" s="27" t="s">
        <v>89</v>
      </c>
      <c r="AA24" s="27" t="s">
        <v>75</v>
      </c>
      <c r="AB24" s="27" t="s">
        <v>90</v>
      </c>
      <c r="AC24" s="27" t="s">
        <v>75</v>
      </c>
      <c r="AD24" s="27" t="s">
        <v>91</v>
      </c>
      <c r="AE24" s="27" t="s">
        <v>75</v>
      </c>
      <c r="AF24" s="27" t="s">
        <v>92</v>
      </c>
      <c r="AG24" s="27" t="s">
        <v>75</v>
      </c>
      <c r="AH24" s="27" t="s">
        <v>93</v>
      </c>
      <c r="AI24" s="27" t="s">
        <v>75</v>
      </c>
      <c r="AJ24" s="27" t="s">
        <v>94</v>
      </c>
      <c r="AK24" s="27" t="s">
        <v>75</v>
      </c>
      <c r="AL24" s="27" t="s">
        <v>95</v>
      </c>
      <c r="AM24" s="27" t="s">
        <v>75</v>
      </c>
      <c r="AN24" s="27" t="s">
        <v>96</v>
      </c>
      <c r="AO24" s="27" t="s">
        <v>75</v>
      </c>
      <c r="AP24" s="27" t="s">
        <v>97</v>
      </c>
      <c r="AQ24" s="27" t="s">
        <v>75</v>
      </c>
      <c r="AR24" s="27" t="s">
        <v>98</v>
      </c>
      <c r="AS24" s="27" t="s">
        <v>75</v>
      </c>
      <c r="AV24" s="14">
        <v>0</v>
      </c>
      <c r="AW24" s="14">
        <v>1</v>
      </c>
      <c r="AX24" s="14">
        <v>2</v>
      </c>
      <c r="AY24" s="14">
        <v>3</v>
      </c>
      <c r="AZ24" s="14">
        <v>4</v>
      </c>
      <c r="BA24" s="14">
        <v>5</v>
      </c>
      <c r="BB24" s="14">
        <v>6</v>
      </c>
      <c r="BC24" s="14">
        <v>7</v>
      </c>
      <c r="BD24" s="14">
        <v>8</v>
      </c>
      <c r="BE24" s="14">
        <v>9</v>
      </c>
      <c r="BF24" s="14">
        <v>10</v>
      </c>
      <c r="BH24">
        <f t="shared" si="8"/>
        <v>2</v>
      </c>
      <c r="BI24">
        <v>4</v>
      </c>
      <c r="BJ24" s="107">
        <f t="shared" si="9"/>
        <v>4.2322541143470872E-2</v>
      </c>
      <c r="BP24">
        <f>BH49+1</f>
        <v>7</v>
      </c>
      <c r="BQ24">
        <v>0</v>
      </c>
      <c r="BR24" s="107">
        <f t="shared" ref="BR24:BR30" si="10">$H$32*H39</f>
        <v>3.3602615891524603E-5</v>
      </c>
    </row>
    <row r="25" spans="1:70" x14ac:dyDescent="0.25">
      <c r="A25" s="26" t="s">
        <v>69</v>
      </c>
      <c r="B25" s="117">
        <f>1/(1+EXP(-3.1416*4*((B11/(B11+C8))-(3.1416/6))))</f>
        <v>0.32839636256027932</v>
      </c>
      <c r="C25" s="118">
        <f>1/(1+EXP(-3.1416*4*((C11/(C11+B8))-(3.1416/6))))</f>
        <v>0.33935563523733447</v>
      </c>
      <c r="D25" s="153">
        <f>IF(B17="AOW", 0.36-0.08, IF(B17="AIM", 0.36+0.08, IF(B17="TL",(0.361)-(0.36*B32),0.36)))</f>
        <v>0.36</v>
      </c>
      <c r="E25" s="153">
        <f>IF(C17="AOW", 0.36-0.08, IF(C17="AIM", 0.36+0.08, IF(C17="TL",(0.361)-(0.36*C32),0.36)))</f>
        <v>0.36</v>
      </c>
      <c r="G25" s="126">
        <v>0</v>
      </c>
      <c r="H25" s="127">
        <f>L25*J25</f>
        <v>0.14738075169875151</v>
      </c>
      <c r="I25" s="97">
        <v>0</v>
      </c>
      <c r="J25" s="98">
        <f t="shared" ref="J25:J35" si="11">Y25+AA25+AC25+AE25+AG25+AI25+AK25+AM25+AO25+AQ25+AS25</f>
        <v>0.17648920471047572</v>
      </c>
      <c r="K25" s="97">
        <v>0</v>
      </c>
      <c r="L25" s="98">
        <f>S21</f>
        <v>0.83506949867287583</v>
      </c>
      <c r="M25" s="84">
        <v>0</v>
      </c>
      <c r="N25" s="71">
        <f>(1-$B$24)^$B$21</f>
        <v>6.1889156665255927E-2</v>
      </c>
      <c r="O25" s="70">
        <v>0</v>
      </c>
      <c r="P25" s="71">
        <f>N25</f>
        <v>6.1889156665255927E-2</v>
      </c>
      <c r="Q25" s="12">
        <v>0</v>
      </c>
      <c r="R25" s="73">
        <f>P25*N25</f>
        <v>3.830267712736592E-3</v>
      </c>
      <c r="S25" s="70">
        <v>0</v>
      </c>
      <c r="T25" s="135">
        <f>(1-$B$33)^(INT(C23*2*(1-C31)))</f>
        <v>0.98507487500000002</v>
      </c>
      <c r="U25" s="140">
        <v>0</v>
      </c>
      <c r="V25" s="86">
        <f>R25*T25</f>
        <v>3.7731004883405344E-3</v>
      </c>
      <c r="W25" s="136">
        <f>B31</f>
        <v>0.37202183834290609</v>
      </c>
      <c r="X25" s="12">
        <v>0</v>
      </c>
      <c r="Y25" s="79">
        <f>V25</f>
        <v>3.7731004883405344E-3</v>
      </c>
      <c r="Z25" s="12">
        <v>0</v>
      </c>
      <c r="AA25" s="78">
        <f>((1-W25)^Z26)*V26</f>
        <v>1.7676668766736257E-2</v>
      </c>
      <c r="AB25" s="12">
        <v>0</v>
      </c>
      <c r="AC25" s="79">
        <f>(((1-$W$25)^AB27))*V27</f>
        <v>3.7282850908643514E-2</v>
      </c>
      <c r="AD25" s="12">
        <v>0</v>
      </c>
      <c r="AE25" s="79">
        <f>(((1-$W$25)^AB28))*V28</f>
        <v>4.6627316867003415E-2</v>
      </c>
      <c r="AF25" s="12">
        <v>0</v>
      </c>
      <c r="AG25" s="79">
        <f>(((1-$W$25)^AB29))*V29</f>
        <v>3.830193014890438E-2</v>
      </c>
      <c r="AH25" s="12">
        <v>0</v>
      </c>
      <c r="AI25" s="79">
        <f>(((1-$W$25)^AB30))*V30</f>
        <v>2.1602874477469437E-2</v>
      </c>
      <c r="AJ25" s="12">
        <v>0</v>
      </c>
      <c r="AK25" s="79">
        <f>(((1-$W$25)^AB31))*V31</f>
        <v>8.4789760607709031E-3</v>
      </c>
      <c r="AL25" s="12">
        <v>0</v>
      </c>
      <c r="AM25" s="79">
        <f>(((1-$W$25)^AB32))*V32</f>
        <v>2.2902760787731325E-3</v>
      </c>
      <c r="AN25" s="12">
        <v>0</v>
      </c>
      <c r="AO25" s="79">
        <f>(((1-$W$25)^AB33))*V33</f>
        <v>4.0888541446675481E-4</v>
      </c>
      <c r="AP25" s="12">
        <v>0</v>
      </c>
      <c r="AQ25" s="79">
        <f>(((1-$W$25)^AB34))*V34</f>
        <v>4.4018660506926467E-5</v>
      </c>
      <c r="AR25" s="12">
        <v>0</v>
      </c>
      <c r="AS25" s="79">
        <f>(((1-$W$25)^AB35))*V35</f>
        <v>2.3068388604300221E-6</v>
      </c>
      <c r="AV25" s="14">
        <v>1</v>
      </c>
      <c r="AW25">
        <v>1</v>
      </c>
      <c r="AX25">
        <v>2</v>
      </c>
      <c r="AY25">
        <v>3</v>
      </c>
      <c r="AZ25">
        <v>4</v>
      </c>
      <c r="BA25">
        <v>5</v>
      </c>
      <c r="BB25">
        <v>6</v>
      </c>
      <c r="BC25">
        <f>7</f>
        <v>7</v>
      </c>
      <c r="BD25">
        <v>8</v>
      </c>
      <c r="BE25">
        <v>9</v>
      </c>
      <c r="BF25">
        <v>10</v>
      </c>
      <c r="BH25">
        <f t="shared" si="8"/>
        <v>2</v>
      </c>
      <c r="BI25">
        <v>5</v>
      </c>
      <c r="BJ25" s="107">
        <f t="shared" si="9"/>
        <v>1.8082931926729225E-2</v>
      </c>
      <c r="BP25">
        <f>BP19+1</f>
        <v>7</v>
      </c>
      <c r="BQ25">
        <v>1</v>
      </c>
      <c r="BR25" s="107">
        <f t="shared" si="10"/>
        <v>1.0681147894270499E-4</v>
      </c>
    </row>
    <row r="26" spans="1:70" x14ac:dyDescent="0.25">
      <c r="A26" s="40" t="s">
        <v>24</v>
      </c>
      <c r="B26" s="119">
        <f>1/(1+EXP(-3.1416*4*((B10/(B10+C9))-(3.1416/6))))</f>
        <v>0.32839636256027932</v>
      </c>
      <c r="C26" s="120">
        <f>1/(1+EXP(-3.1416*4*((C10/(C10+B9))-(3.1416/6))))</f>
        <v>0.33935563523733447</v>
      </c>
      <c r="D26" s="153">
        <f>IF(B17="AOW", 0.257+0.04, IF(B17="AIM", 0.257-0.04, IF(B17="TL",(0.257)-(0.257*B32),0.257)))</f>
        <v>0.25700000000000001</v>
      </c>
      <c r="E26" s="153">
        <f>IF(C17="AOW", 0.257+0.04, IF(C17="AIM", 0.257-0.04, IF(C17="TL",(0.257)-(0.257*C32),0.257)))</f>
        <v>0.25700000000000001</v>
      </c>
      <c r="G26" s="87">
        <v>1</v>
      </c>
      <c r="H26" s="128">
        <f>L25*J26+L26*J25</f>
        <v>0.30607459614351773</v>
      </c>
      <c r="I26" s="93">
        <v>1</v>
      </c>
      <c r="J26" s="86">
        <f t="shared" si="11"/>
        <v>0.3340863533745036</v>
      </c>
      <c r="K26" s="93">
        <v>1</v>
      </c>
      <c r="L26" s="86">
        <f>T21</f>
        <v>0.15348968545731023</v>
      </c>
      <c r="M26" s="85">
        <v>1</v>
      </c>
      <c r="N26" s="71">
        <f>(($B$24)^M26)*((1-($B$24))^($B$21-M26))*HLOOKUP($B$21,$AV$24:$BF$34,M26+1)</f>
        <v>0.23038998451768047</v>
      </c>
      <c r="O26" s="72">
        <v>1</v>
      </c>
      <c r="P26" s="71">
        <f t="shared" ref="P26:P30" si="12">N26</f>
        <v>0.23038998451768047</v>
      </c>
      <c r="Q26" s="28">
        <v>1</v>
      </c>
      <c r="R26" s="37">
        <f>N26*P25+P26*N25</f>
        <v>2.8517283691841228E-2</v>
      </c>
      <c r="S26" s="72">
        <v>1</v>
      </c>
      <c r="T26" s="135">
        <f t="shared" ref="T26:T35" si="13">(($B$33)^S26)*((1-($B$33))^(INT($C$23*2*(1-$C$31))-S26))*HLOOKUP(INT($C$23*2*(1-$C$31)),$AV$24:$BF$34,S26+1)</f>
        <v>1.4850375000000002E-2</v>
      </c>
      <c r="U26" s="93">
        <v>1</v>
      </c>
      <c r="V26" s="86">
        <f>R26*T25+T26*R25</f>
        <v>2.8148540579964569E-2</v>
      </c>
      <c r="W26" s="137"/>
      <c r="X26" s="28">
        <v>1</v>
      </c>
      <c r="Y26" s="73"/>
      <c r="Z26" s="28">
        <v>1</v>
      </c>
      <c r="AA26" s="79">
        <f>(1-((1-W25)^Z26))*V26</f>
        <v>1.0471871813228312E-2</v>
      </c>
      <c r="AB26" s="28">
        <v>1</v>
      </c>
      <c r="AC26" s="79">
        <f>((($W$25)^M26)*((1-($W$25))^($U$27-M26))*HLOOKUP($U$27,$AV$24:$BF$34,M26+1))*V27</f>
        <v>4.417362125172674E-2</v>
      </c>
      <c r="AD26" s="28">
        <v>1</v>
      </c>
      <c r="AE26" s="79">
        <f>((($W$25)^M26)*((1-($W$25))^($U$28-M26))*HLOOKUP($U$28,$AV$24:$BF$34,M26+1))*V28</f>
        <v>8.286775494908892E-2</v>
      </c>
      <c r="AF26" s="28">
        <v>1</v>
      </c>
      <c r="AG26" s="79">
        <f>((($W$25)^M26)*((1-($W$25))^($U$29-M26))*HLOOKUP($U$29,$AV$24:$BF$34,M26+1))*V29</f>
        <v>9.0762101844284876E-2</v>
      </c>
      <c r="AH26" s="28">
        <v>1</v>
      </c>
      <c r="AI26" s="79">
        <f>((($W$25)^M26)*((1-($W$25))^($U$30-M26))*HLOOKUP($U$30,$AV$24:$BF$34,M26+1))*V30</f>
        <v>6.3989017192827735E-2</v>
      </c>
      <c r="AJ26" s="28">
        <v>1</v>
      </c>
      <c r="AK26" s="79">
        <f>((($W$25)^M26)*((1-($W$25))^($U$31-M26))*HLOOKUP($U$31,$AV$24:$BF$34,M26+1))*V31</f>
        <v>3.0138286207945401E-2</v>
      </c>
      <c r="AL26" s="28">
        <v>1</v>
      </c>
      <c r="AM26" s="79">
        <f>((($W$25)^Q26)*((1-($W$25))^($U$32-Q26))*HLOOKUP($U$32,$AV$24:$BF$34,Q26+1))*V32</f>
        <v>9.4975102386163808E-3</v>
      </c>
      <c r="AN26" s="28">
        <v>1</v>
      </c>
      <c r="AO26" s="79">
        <f>((($W$25)^Q26)*((1-($W$25))^($U$33-Q26))*HLOOKUP($U$33,$AV$24:$BF$34,Q26+1))*V33</f>
        <v>1.9378292157182994E-3</v>
      </c>
      <c r="AP26" s="28">
        <v>1</v>
      </c>
      <c r="AQ26" s="79">
        <f>((($W$25)^Q26)*((1-($W$25))^($U$34-Q26))*HLOOKUP($U$34,$AV$24:$BF$34,Q26+1))*V34</f>
        <v>2.3469466938101871E-4</v>
      </c>
      <c r="AR26" s="28">
        <v>1</v>
      </c>
      <c r="AS26" s="79">
        <f>((($W$25)^Q26)*((1-($W$25))^($U$35-Q26))*HLOOKUP($U$35,$AV$24:$BF$34,Q26+1))*V35</f>
        <v>1.3665991685975964E-5</v>
      </c>
      <c r="AV26" s="14">
        <v>2</v>
      </c>
      <c r="AX26">
        <v>1</v>
      </c>
      <c r="AY26">
        <v>3</v>
      </c>
      <c r="AZ26">
        <v>6</v>
      </c>
      <c r="BA26">
        <v>10</v>
      </c>
      <c r="BB26">
        <v>15</v>
      </c>
      <c r="BC26">
        <f>6+15</f>
        <v>21</v>
      </c>
      <c r="BD26">
        <f>21+7</f>
        <v>28</v>
      </c>
      <c r="BE26">
        <f>28+8</f>
        <v>36</v>
      </c>
      <c r="BF26">
        <f>36+9</f>
        <v>45</v>
      </c>
      <c r="BH26">
        <f t="shared" si="8"/>
        <v>2</v>
      </c>
      <c r="BI26">
        <v>6</v>
      </c>
      <c r="BJ26" s="107">
        <f t="shared" si="9"/>
        <v>5.6874363251212855E-3</v>
      </c>
      <c r="BP26">
        <f>BP20+1</f>
        <v>7</v>
      </c>
      <c r="BQ26">
        <v>2</v>
      </c>
      <c r="BR26" s="107">
        <f t="shared" si="10"/>
        <v>1.555541368541237E-4</v>
      </c>
    </row>
    <row r="27" spans="1:70" x14ac:dyDescent="0.25">
      <c r="A27" s="26" t="s">
        <v>25</v>
      </c>
      <c r="B27" s="119">
        <f>1/(1+EXP(-3.1416*4*((B12/(B12+C7))-(3.1416/6))))</f>
        <v>0.32839636256027932</v>
      </c>
      <c r="C27" s="120">
        <f>1/(1+EXP(-3.1416*4*((C12/(C12+B7))-(3.1416/6))))</f>
        <v>0.33935563523733447</v>
      </c>
      <c r="D27" s="153">
        <f>D26</f>
        <v>0.25700000000000001</v>
      </c>
      <c r="E27" s="153">
        <f>E26</f>
        <v>0.25700000000000001</v>
      </c>
      <c r="G27" s="87">
        <v>2</v>
      </c>
      <c r="H27" s="128">
        <f>L25*J27+J26*L26+J25*L27</f>
        <v>0.29103044227892333</v>
      </c>
      <c r="I27" s="93">
        <v>2</v>
      </c>
      <c r="J27" s="86">
        <f t="shared" si="11"/>
        <v>0.2847705100733125</v>
      </c>
      <c r="K27" s="93">
        <v>2</v>
      </c>
      <c r="L27" s="86">
        <f>U21</f>
        <v>1.1040142105842209E-2</v>
      </c>
      <c r="M27" s="85">
        <v>2</v>
      </c>
      <c r="N27" s="71">
        <f>(($B$24)^M27)*((1-($B$24))^($B$21-M27))*HLOOKUP($B$21,$AV$24:$BF$34,M27+1)</f>
        <v>0.34306200197977804</v>
      </c>
      <c r="O27" s="72">
        <v>2</v>
      </c>
      <c r="P27" s="71">
        <f t="shared" si="12"/>
        <v>0.34306200197977804</v>
      </c>
      <c r="Q27" s="28">
        <v>2</v>
      </c>
      <c r="R27" s="37">
        <f>P25*N27+P26*N26+P27*N25</f>
        <v>9.5543180938902683E-2</v>
      </c>
      <c r="S27" s="72">
        <v>2</v>
      </c>
      <c r="T27" s="135">
        <f t="shared" si="13"/>
        <v>7.4625000000000011E-5</v>
      </c>
      <c r="U27" s="93">
        <v>2</v>
      </c>
      <c r="V27" s="86">
        <f>R27*T25+T26*R26+R25*T27</f>
        <v>9.454096521102523E-2</v>
      </c>
      <c r="W27" s="137"/>
      <c r="X27" s="28">
        <v>2</v>
      </c>
      <c r="Y27" s="73"/>
      <c r="Z27" s="28">
        <v>2</v>
      </c>
      <c r="AA27" s="79"/>
      <c r="AB27" s="28">
        <v>2</v>
      </c>
      <c r="AC27" s="79">
        <f>((($W$25)^M27)*((1-($W$25))^($U$27-M27))*HLOOKUP($U$27,$AV$24:$BF$34,M27+1))*V27</f>
        <v>1.3084493050654962E-2</v>
      </c>
      <c r="AD27" s="28">
        <v>2</v>
      </c>
      <c r="AE27" s="79">
        <f>((($W$25)^M27)*((1-($W$25))^($U$28-M27))*HLOOKUP($U$28,$AV$24:$BF$34,M27+1))*V28</f>
        <v>4.9091857675686842E-2</v>
      </c>
      <c r="AF27" s="28">
        <v>2</v>
      </c>
      <c r="AG27" s="79">
        <f>((($W$25)^M27)*((1-($W$25))^($U$29-M27))*HLOOKUP($U$29,$AV$24:$BF$34,M27+1))*V29</f>
        <v>8.06528460103072E-2</v>
      </c>
      <c r="AH27" s="28">
        <v>2</v>
      </c>
      <c r="AI27" s="79">
        <f>((($W$25)^M27)*((1-($W$25))^($U$30-M27))*HLOOKUP($U$30,$AV$24:$BF$34,M27+1))*V30</f>
        <v>7.5815731384717922E-2</v>
      </c>
      <c r="AJ27" s="28">
        <v>2</v>
      </c>
      <c r="AK27" s="79">
        <f>((($W$25)^M27)*((1-($W$25))^($U$31-M27))*HLOOKUP($U$31,$AV$24:$BF$34,M27+1))*V31</f>
        <v>4.463571077853358E-2</v>
      </c>
      <c r="AL27" s="28">
        <v>2</v>
      </c>
      <c r="AM27" s="79">
        <f>((($W$25)^Q27)*((1-($W$25))^($U$32-Q27))*HLOOKUP($U$32,$AV$24:$BF$34,Q27+1))*V32</f>
        <v>1.6879318904946157E-2</v>
      </c>
      <c r="AN27" s="28">
        <v>2</v>
      </c>
      <c r="AO27" s="79">
        <f>((($W$25)^Q27)*((1-($W$25))^($U$33-Q27))*HLOOKUP($U$33,$AV$24:$BF$34,Q27+1))*V33</f>
        <v>4.0179769128168936E-3</v>
      </c>
      <c r="AP27" s="28">
        <v>2</v>
      </c>
      <c r="AQ27" s="79">
        <f>((($W$25)^Q27)*((1-($W$25))^($U$34-Q27))*HLOOKUP($U$34,$AV$24:$BF$34,Q27+1))*V34</f>
        <v>5.5614381316707897E-4</v>
      </c>
      <c r="AR27" s="28">
        <v>2</v>
      </c>
      <c r="AS27" s="79">
        <f>((($W$25)^Q27)*((1-($W$25))^($U$35-Q27))*HLOOKUP($U$35,$AV$24:$BF$34,Q27+1))*V35</f>
        <v>3.6431542481843528E-5</v>
      </c>
      <c r="AV27" s="14">
        <v>3</v>
      </c>
      <c r="AY27">
        <v>1</v>
      </c>
      <c r="AZ27">
        <v>4</v>
      </c>
      <c r="BA27">
        <v>10</v>
      </c>
      <c r="BB27">
        <v>20</v>
      </c>
      <c r="BC27">
        <f>15+20</f>
        <v>35</v>
      </c>
      <c r="BD27">
        <f>21+35</f>
        <v>56</v>
      </c>
      <c r="BE27">
        <f>28+56</f>
        <v>84</v>
      </c>
      <c r="BF27">
        <f>36+84</f>
        <v>120</v>
      </c>
      <c r="BH27">
        <f t="shared" si="8"/>
        <v>2</v>
      </c>
      <c r="BI27">
        <v>7</v>
      </c>
      <c r="BJ27" s="107">
        <f t="shared" si="9"/>
        <v>1.3357359777995423E-3</v>
      </c>
      <c r="BP27">
        <f>BP21+1</f>
        <v>7</v>
      </c>
      <c r="BQ27">
        <v>3</v>
      </c>
      <c r="BR27" s="107">
        <f t="shared" si="10"/>
        <v>1.3739940309579095E-4</v>
      </c>
    </row>
    <row r="28" spans="1:70" x14ac:dyDescent="0.25">
      <c r="A28" s="26" t="s">
        <v>26</v>
      </c>
      <c r="B28" s="174">
        <v>0.9</v>
      </c>
      <c r="C28" s="175">
        <v>0.9</v>
      </c>
      <c r="D28" s="153">
        <v>8.5000000000000006E-2</v>
      </c>
      <c r="E28" s="153">
        <v>8.5000000000000006E-2</v>
      </c>
      <c r="G28" s="87">
        <v>3</v>
      </c>
      <c r="H28" s="128">
        <f>J28*L25+J27*L26+L28*J25+L27*J26</f>
        <v>0.16769440117062107</v>
      </c>
      <c r="I28" s="93">
        <v>3</v>
      </c>
      <c r="J28" s="86">
        <f t="shared" si="11"/>
        <v>0.14397123824087624</v>
      </c>
      <c r="K28" s="93">
        <v>3</v>
      </c>
      <c r="L28" s="86">
        <f>V21</f>
        <v>4.0067376397172685E-4</v>
      </c>
      <c r="M28" s="85">
        <v>3</v>
      </c>
      <c r="N28" s="71">
        <f>(($B$24)^M28)*((1-($B$24))^($B$21-M28))*HLOOKUP($B$21,$AV$24:$BF$34,M28+1)</f>
        <v>0.25541808479383232</v>
      </c>
      <c r="O28" s="72">
        <v>3</v>
      </c>
      <c r="P28" s="71">
        <f t="shared" si="12"/>
        <v>0.25541808479383232</v>
      </c>
      <c r="Q28" s="28">
        <v>3</v>
      </c>
      <c r="R28" s="37">
        <f>P25*N28+P26*N27+P27*N26+P28*N25</f>
        <v>0.18969131837934131</v>
      </c>
      <c r="S28" s="72">
        <v>3</v>
      </c>
      <c r="T28" s="135">
        <f t="shared" si="13"/>
        <v>1.2500000000000002E-7</v>
      </c>
      <c r="U28" s="93">
        <v>3</v>
      </c>
      <c r="V28" s="86">
        <f>R28*T25+R27*T26+R26*T27+R25*T28</f>
        <v>0.18828113238782934</v>
      </c>
      <c r="W28" s="137"/>
      <c r="X28" s="28">
        <v>3</v>
      </c>
      <c r="Y28" s="73"/>
      <c r="Z28" s="28">
        <v>3</v>
      </c>
      <c r="AA28" s="79"/>
      <c r="AB28" s="28">
        <v>3</v>
      </c>
      <c r="AC28" s="79"/>
      <c r="AD28" s="28">
        <v>3</v>
      </c>
      <c r="AE28" s="79">
        <f>((($W$25)^M28)*((1-($W$25))^($U$28-M28))*HLOOKUP($U$28,$AV$24:$BF$34,M28+1))*V28</f>
        <v>9.6942028960501376E-3</v>
      </c>
      <c r="AF28" s="28">
        <v>3</v>
      </c>
      <c r="AG28" s="79">
        <f>((($W$25)^M28)*((1-($W$25))^($U$29-M28))*HLOOKUP($U$29,$AV$24:$BF$34,M28+1))*V29</f>
        <v>3.1853145934423711E-2</v>
      </c>
      <c r="AH28" s="28">
        <v>3</v>
      </c>
      <c r="AI28" s="79">
        <f>((($W$25)^M28)*((1-($W$25))^($U$30-M28))*HLOOKUP($U$30,$AV$24:$BF$34,M28+1))*V30</f>
        <v>4.4914153846732106E-2</v>
      </c>
      <c r="AJ28" s="28">
        <v>3</v>
      </c>
      <c r="AK28" s="79">
        <f>((($W$25)^M28)*((1-($W$25))^($U$31-M28))*HLOOKUP($U$31,$AV$24:$BF$34,M28+1))*V31</f>
        <v>3.5256978014976903E-2</v>
      </c>
      <c r="AL28" s="28">
        <v>3</v>
      </c>
      <c r="AM28" s="79">
        <f>((($W$25)^Q28)*((1-($W$25))^($U$32-Q28))*HLOOKUP($U$32,$AV$24:$BF$34,Q28+1))*V32</f>
        <v>1.6665853560958517E-2</v>
      </c>
      <c r="AN28" s="28">
        <v>3</v>
      </c>
      <c r="AO28" s="79">
        <f>((($W$25)^Q28)*((1-($W$25))^($U$33-Q28))*HLOOKUP($U$33,$AV$24:$BF$34,Q28+1))*V33</f>
        <v>4.7605959849976879E-3</v>
      </c>
      <c r="AP28" s="28">
        <v>3</v>
      </c>
      <c r="AQ28" s="79">
        <f>((($W$25)^Q28)*((1-($W$25))^($U$34-Q28))*HLOOKUP($U$34,$AV$24:$BF$34,Q28+1))*V34</f>
        <v>7.6875470875210938E-4</v>
      </c>
      <c r="AR28" s="28">
        <v>3</v>
      </c>
      <c r="AS28" s="79">
        <f>((($W$25)^Q28)*((1-($W$25))^($U$35-Q28))*HLOOKUP($U$35,$AV$24:$BF$34,Q28+1))*V35</f>
        <v>5.7553293985038817E-5</v>
      </c>
      <c r="AV28" s="14">
        <v>4</v>
      </c>
      <c r="AZ28">
        <v>1</v>
      </c>
      <c r="BA28">
        <v>5</v>
      </c>
      <c r="BB28">
        <v>15</v>
      </c>
      <c r="BC28">
        <f>20+15</f>
        <v>35</v>
      </c>
      <c r="BD28">
        <f>35+35</f>
        <v>70</v>
      </c>
      <c r="BE28">
        <f>56+70</f>
        <v>126</v>
      </c>
      <c r="BF28">
        <f>BE27+BE28</f>
        <v>210</v>
      </c>
      <c r="BH28">
        <f t="shared" si="8"/>
        <v>2</v>
      </c>
      <c r="BI28">
        <v>8</v>
      </c>
      <c r="BJ28" s="107">
        <f t="shared" si="9"/>
        <v>2.3501124641823332E-4</v>
      </c>
      <c r="BP28">
        <f>BP22+1</f>
        <v>7</v>
      </c>
      <c r="BQ28">
        <v>4</v>
      </c>
      <c r="BR28" s="107">
        <f t="shared" si="10"/>
        <v>8.212502277285335E-5</v>
      </c>
    </row>
    <row r="29" spans="1:70" x14ac:dyDescent="0.25">
      <c r="A29" s="26" t="s">
        <v>27</v>
      </c>
      <c r="B29" s="123">
        <f>1/(1+EXP(-3.1416*4*((B14/(B14+C13))-(3.1416/6))))</f>
        <v>0.21091587975125142</v>
      </c>
      <c r="C29" s="118">
        <f>1/(1+EXP(-3.1416*4*((C14/(C14+B13))-(3.1416/6))))</f>
        <v>0.40883398126688669</v>
      </c>
      <c r="D29" s="153">
        <v>0.04</v>
      </c>
      <c r="E29" s="153">
        <v>0.04</v>
      </c>
      <c r="G29" s="87">
        <v>4</v>
      </c>
      <c r="H29" s="128">
        <f>J29*L25+J28*L26+J27*L27+J26*L28</f>
        <v>6.531517512113745E-2</v>
      </c>
      <c r="I29" s="93">
        <v>4</v>
      </c>
      <c r="J29" s="86">
        <f t="shared" si="11"/>
        <v>4.782752642343932E-2</v>
      </c>
      <c r="K29" s="93">
        <v>4</v>
      </c>
      <c r="L29" s="86"/>
      <c r="M29" s="85">
        <v>4</v>
      </c>
      <c r="N29" s="71">
        <f>(($B$24)^M29)*((1-($B$24))^($B$21-M29))*HLOOKUP($B$21,$AV$24:$BF$34,M29+1)</f>
        <v>9.508251812101709E-2</v>
      </c>
      <c r="O29" s="72">
        <v>4</v>
      </c>
      <c r="P29" s="71">
        <f t="shared" si="12"/>
        <v>9.508251812101709E-2</v>
      </c>
      <c r="Q29" s="28">
        <v>4</v>
      </c>
      <c r="R29" s="37">
        <f>P25*N29+P26*N28+P27*N27+P28*N26+P29*N25</f>
        <v>0.24715222812498383</v>
      </c>
      <c r="S29" s="72">
        <v>4</v>
      </c>
      <c r="T29" s="135">
        <f t="shared" si="13"/>
        <v>0</v>
      </c>
      <c r="U29" s="93">
        <v>4</v>
      </c>
      <c r="V29" s="86">
        <f>T29*R25+T28*R26+T27*R27+T26*R28+T25*R29</f>
        <v>0.24628757091290557</v>
      </c>
      <c r="W29" s="137"/>
      <c r="X29" s="28">
        <v>4</v>
      </c>
      <c r="Y29" s="73"/>
      <c r="Z29" s="28">
        <v>4</v>
      </c>
      <c r="AA29" s="79"/>
      <c r="AB29" s="28">
        <v>4</v>
      </c>
      <c r="AC29" s="79"/>
      <c r="AD29" s="28">
        <v>4</v>
      </c>
      <c r="AE29" s="79"/>
      <c r="AF29" s="28">
        <v>4</v>
      </c>
      <c r="AG29" s="79">
        <f>((($W$25)^M29)*((1-($W$25))^($U$29-M29))*HLOOKUP($U$29,$AV$24:$BF$34,M29+1))*V29</f>
        <v>4.7175469749853646E-3</v>
      </c>
      <c r="AH29" s="28">
        <v>4</v>
      </c>
      <c r="AI29" s="79">
        <f>((($W$25)^M29)*((1-($W$25))^($U$30-M29))*HLOOKUP($U$30,$AV$24:$BF$34,M29+1))*V30</f>
        <v>1.3303843271863109E-2</v>
      </c>
      <c r="AJ29" s="28">
        <v>4</v>
      </c>
      <c r="AK29" s="79">
        <f>((($W$25)^M29)*((1-($W$25))^($U$31-M29))*HLOOKUP($U$31,$AV$24:$BF$34,M29+1))*V31</f>
        <v>1.5664994313977391E-2</v>
      </c>
      <c r="AL29" s="28">
        <v>4</v>
      </c>
      <c r="AM29" s="79">
        <f>((($W$25)^Q29)*((1-($W$25))^($U$32-Q29))*HLOOKUP($U$32,$AV$24:$BF$34,Q29+1))*V32</f>
        <v>9.8730526917383231E-3</v>
      </c>
      <c r="AN29" s="28">
        <v>4</v>
      </c>
      <c r="AO29" s="79">
        <f>((($W$25)^Q29)*((1-($W$25))^($U$33-Q29))*HLOOKUP($U$33,$AV$24:$BF$34,Q29+1))*V33</f>
        <v>3.5252931114541151E-3</v>
      </c>
      <c r="AP29" s="28">
        <v>4</v>
      </c>
      <c r="AQ29" s="79">
        <f>((($W$25)^Q29)*((1-($W$25))^($U$34-Q29))*HLOOKUP($U$34,$AV$24:$BF$34,Q29+1))*V34</f>
        <v>6.8312934457000576E-4</v>
      </c>
      <c r="AR29" s="28">
        <v>4</v>
      </c>
      <c r="AS29" s="79">
        <f>((($W$25)^Q29)*((1-($W$25))^($U$35-Q29))*HLOOKUP($U$35,$AV$24:$BF$34,Q29+1))*V35</f>
        <v>5.9666714851012349E-5</v>
      </c>
      <c r="AV29" s="14">
        <v>5</v>
      </c>
      <c r="BA29">
        <v>1</v>
      </c>
      <c r="BB29">
        <v>6</v>
      </c>
      <c r="BC29">
        <f>15+6</f>
        <v>21</v>
      </c>
      <c r="BD29">
        <f>35+21</f>
        <v>56</v>
      </c>
      <c r="BE29">
        <f>70+56</f>
        <v>126</v>
      </c>
      <c r="BF29">
        <f t="shared" ref="BF29:BF34" si="14">BE28+BE29</f>
        <v>252</v>
      </c>
      <c r="BH29">
        <f t="shared" si="8"/>
        <v>2</v>
      </c>
      <c r="BI29">
        <v>9</v>
      </c>
      <c r="BJ29" s="107">
        <f t="shared" si="9"/>
        <v>3.0751245835838019E-5</v>
      </c>
      <c r="BP29">
        <f>BP23+1</f>
        <v>7</v>
      </c>
      <c r="BQ29">
        <v>5</v>
      </c>
      <c r="BR29" s="107">
        <f t="shared" si="10"/>
        <v>3.5089131138140463E-5</v>
      </c>
    </row>
    <row r="30" spans="1:70" x14ac:dyDescent="0.25">
      <c r="A30" s="26" t="s">
        <v>136</v>
      </c>
      <c r="B30" s="174">
        <v>0.15</v>
      </c>
      <c r="C30" s="175">
        <v>0.15</v>
      </c>
      <c r="D30" s="153">
        <f>IF(B17="TL",0.875*B32,0.001)</f>
        <v>1E-3</v>
      </c>
      <c r="E30" s="153">
        <f>IF(C17="TL",0.875*C32,0.001)</f>
        <v>1E-3</v>
      </c>
      <c r="G30" s="87">
        <v>5</v>
      </c>
      <c r="H30" s="128">
        <f>J30*L25+J29*L26+J28*L27+J27*L28</f>
        <v>1.8159817087638242E-2</v>
      </c>
      <c r="I30" s="93">
        <v>5</v>
      </c>
      <c r="J30" s="86">
        <f t="shared" si="11"/>
        <v>1.0915525131401687E-2</v>
      </c>
      <c r="K30" s="93">
        <v>5</v>
      </c>
      <c r="L30" s="86"/>
      <c r="M30" s="85">
        <v>5</v>
      </c>
      <c r="N30" s="71">
        <f>(($B$24)^M30)*((1-($B$24))^($B$21-M30))*HLOOKUP($B$21,$AV$24:$BF$34,M30+1)</f>
        <v>1.4158253922436198E-2</v>
      </c>
      <c r="O30" s="72">
        <v>5</v>
      </c>
      <c r="P30" s="71">
        <f t="shared" si="12"/>
        <v>1.4158253922436198E-2</v>
      </c>
      <c r="Q30" s="28">
        <v>5</v>
      </c>
      <c r="R30" s="37">
        <f>P25*N30+P26*N29+P27*N28+P28*N27+P29*N26+P30*N25</f>
        <v>0.2208130835682563</v>
      </c>
      <c r="S30" s="72">
        <v>5</v>
      </c>
      <c r="T30" s="135">
        <f t="shared" si="13"/>
        <v>0</v>
      </c>
      <c r="U30" s="93">
        <v>5</v>
      </c>
      <c r="V30" s="86">
        <f>T30*R25+T29*R26+T28*R27+T27*R28+T26*R29+T25*R30</f>
        <v>0.22120189162163786</v>
      </c>
      <c r="W30" s="137"/>
      <c r="X30" s="28">
        <v>5</v>
      </c>
      <c r="Y30" s="73"/>
      <c r="Z30" s="28">
        <v>5</v>
      </c>
      <c r="AA30" s="79"/>
      <c r="AB30" s="28">
        <v>5</v>
      </c>
      <c r="AC30" s="79"/>
      <c r="AD30" s="28">
        <v>5</v>
      </c>
      <c r="AE30" s="79"/>
      <c r="AF30" s="28">
        <v>5</v>
      </c>
      <c r="AG30" s="79"/>
      <c r="AH30" s="28">
        <v>5</v>
      </c>
      <c r="AI30" s="79">
        <f>((($W$25)^M30)*((1-($W$25))^($U$30-M30))*HLOOKUP($U$30,$AV$24:$BF$34,M30+1))*V30</f>
        <v>1.5762714480275135E-3</v>
      </c>
      <c r="AJ30" s="28">
        <v>5</v>
      </c>
      <c r="AK30" s="79">
        <f>((($W$25)^M30)*((1-($W$25))^($U$31-M30))*HLOOKUP($U$31,$AV$24:$BF$34,M30+1))*V31</f>
        <v>3.7120526401357595E-3</v>
      </c>
      <c r="AL30" s="28">
        <v>5</v>
      </c>
      <c r="AM30" s="79">
        <f>((($W$25)^Q30)*((1-($W$25))^($U$32-Q30))*HLOOKUP($U$32,$AV$24:$BF$34,Q30+1))*V32</f>
        <v>3.5093493086555748E-3</v>
      </c>
      <c r="AN30" s="28">
        <v>5</v>
      </c>
      <c r="AO30" s="79">
        <f>((($W$25)^Q30)*((1-($W$25))^($U$33-Q30))*HLOOKUP($U$33,$AV$24:$BF$34,Q30+1))*V33</f>
        <v>1.6707409322133436E-3</v>
      </c>
      <c r="AP30" s="28">
        <v>5</v>
      </c>
      <c r="AQ30" s="79">
        <f>((($W$25)^Q30)*((1-($W$25))^($U$34-Q30))*HLOOKUP($U$34,$AV$24:$BF$34,Q30+1))*V34</f>
        <v>4.0469406439596885E-4</v>
      </c>
      <c r="AR30" s="28">
        <v>5</v>
      </c>
      <c r="AS30" s="79">
        <f>((($W$25)^Q30)*((1-($W$25))^($U$35-Q30))*HLOOKUP($U$35,$AV$24:$BF$34,Q30+1))*V35</f>
        <v>4.2416737973527924E-5</v>
      </c>
      <c r="AV30" s="29">
        <v>6</v>
      </c>
      <c r="BB30">
        <v>1</v>
      </c>
      <c r="BC30">
        <v>7</v>
      </c>
      <c r="BD30">
        <f>28</f>
        <v>28</v>
      </c>
      <c r="BE30">
        <f>56+28</f>
        <v>84</v>
      </c>
      <c r="BF30">
        <f t="shared" si="14"/>
        <v>210</v>
      </c>
      <c r="BH30">
        <f t="shared" si="8"/>
        <v>2</v>
      </c>
      <c r="BI30">
        <v>10</v>
      </c>
      <c r="BJ30" s="107">
        <f t="shared" si="9"/>
        <v>2.9307952893816262E-6</v>
      </c>
      <c r="BP30">
        <f>BL10+1</f>
        <v>7</v>
      </c>
      <c r="BQ30">
        <v>6</v>
      </c>
      <c r="BR30" s="107">
        <f t="shared" si="10"/>
        <v>1.1036219118704688E-5</v>
      </c>
    </row>
    <row r="31" spans="1:70" x14ac:dyDescent="0.25">
      <c r="A31" s="189" t="s">
        <v>68</v>
      </c>
      <c r="B31" s="60">
        <f>(B25*D25)+(B26*D26)+(B27*D27)+(B28*D28)+(B29*D29)+(B30*D30)/(B25+B26+B27+B28+B29+B30)</f>
        <v>0.37202183834290609</v>
      </c>
      <c r="C31" s="61">
        <f>(C25*E25)+(C26*E26)+(C27*E27)+(C28*E28)+(C29*E29)+(C30*E30)/(C25+C26+C27+C28+C29+C30)</f>
        <v>0.38951074399685026</v>
      </c>
      <c r="G31" s="87">
        <v>6</v>
      </c>
      <c r="H31" s="128">
        <f>J31*L25+J30*L26+J29*L27+J28*L28</f>
        <v>3.7101066798310152E-3</v>
      </c>
      <c r="I31" s="93">
        <v>6</v>
      </c>
      <c r="J31" s="86">
        <f t="shared" si="11"/>
        <v>1.7351585429694668E-3</v>
      </c>
      <c r="K31" s="93">
        <v>6</v>
      </c>
      <c r="L31" s="86"/>
      <c r="M31" s="85"/>
      <c r="N31" s="73"/>
      <c r="O31" s="37"/>
      <c r="P31" s="37"/>
      <c r="Q31" s="28">
        <v>6</v>
      </c>
      <c r="R31" s="37">
        <f>P26*N30+P27*N29+P28*N28+P29*N27+P30*N26</f>
        <v>0.13700063588347353</v>
      </c>
      <c r="S31" s="70">
        <v>6</v>
      </c>
      <c r="T31" s="135">
        <f t="shared" si="13"/>
        <v>0</v>
      </c>
      <c r="U31" s="93">
        <v>6</v>
      </c>
      <c r="V31" s="86">
        <f>T31*R25+T30*R26+T29*R27+T28*R28+T27*R29+T26*R30+T25*R31</f>
        <v>0.13825350881016676</v>
      </c>
      <c r="W31" s="137"/>
      <c r="X31" s="28">
        <v>6</v>
      </c>
      <c r="Y31" s="73"/>
      <c r="Z31" s="28">
        <v>6</v>
      </c>
      <c r="AA31" s="79"/>
      <c r="AB31" s="28">
        <v>6</v>
      </c>
      <c r="AC31" s="79"/>
      <c r="AD31" s="28">
        <v>6</v>
      </c>
      <c r="AE31" s="79"/>
      <c r="AF31" s="28">
        <v>6</v>
      </c>
      <c r="AG31" s="79"/>
      <c r="AH31" s="28">
        <v>6</v>
      </c>
      <c r="AI31" s="79"/>
      <c r="AJ31" s="28">
        <v>6</v>
      </c>
      <c r="AK31" s="79">
        <f>((($W$25)^Q31)*((1-($W$25))^($U$31-Q31))*HLOOKUP($U$31,$AV$24:$BF$34,Q31+1))*V31</f>
        <v>3.6651079382678064E-4</v>
      </c>
      <c r="AL31" s="28">
        <v>6</v>
      </c>
      <c r="AM31" s="79">
        <f>((($W$25)^Q31)*((1-($W$25))^($U$32-Q31))*HLOOKUP($U$32,$AV$24:$BF$34,Q31+1))*V32</f>
        <v>6.9299362138559449E-4</v>
      </c>
      <c r="AN31" s="28">
        <v>6</v>
      </c>
      <c r="AO31" s="79">
        <f>((($W$25)^Q31)*((1-($W$25))^($U$33-Q31))*HLOOKUP($U$33,$AV$24:$BF$34,Q31+1))*V33</f>
        <v>4.9488354129752828E-4</v>
      </c>
      <c r="AP31" s="28">
        <v>6</v>
      </c>
      <c r="AQ31" s="79">
        <f>((($W$25)^Q31)*((1-($W$25))^($U$34-Q31))*HLOOKUP($U$34,$AV$24:$BF$34,Q31+1))*V34</f>
        <v>1.5983043041472406E-4</v>
      </c>
      <c r="AR31" s="28">
        <v>6</v>
      </c>
      <c r="AS31" s="79">
        <f>((($W$25)^Q31)*((1-($W$25))^($U$35-Q31))*HLOOKUP($U$35,$AV$24:$BF$34,Q31+1))*V35</f>
        <v>2.0940156044839525E-5</v>
      </c>
      <c r="AV31" s="14">
        <v>7</v>
      </c>
      <c r="BC31">
        <v>1</v>
      </c>
      <c r="BD31">
        <v>8</v>
      </c>
      <c r="BE31">
        <f>28+8</f>
        <v>36</v>
      </c>
      <c r="BF31">
        <f t="shared" si="14"/>
        <v>120</v>
      </c>
      <c r="BH31">
        <f t="shared" ref="BH31:BH37" si="15">BH24+1</f>
        <v>3</v>
      </c>
      <c r="BI31">
        <v>4</v>
      </c>
      <c r="BJ31" s="107">
        <f t="shared" ref="BJ31:BJ37" si="16">$H$28*H43</f>
        <v>2.438663508015879E-2</v>
      </c>
      <c r="BP31">
        <f t="shared" ref="BP31:BP37" si="17">BP24+1</f>
        <v>8</v>
      </c>
      <c r="BQ31">
        <v>0</v>
      </c>
      <c r="BR31" s="107">
        <f t="shared" ref="BR31:BR38" si="18">$H$33*H39</f>
        <v>3.8211527398476095E-6</v>
      </c>
    </row>
    <row r="32" spans="1:70" x14ac:dyDescent="0.25">
      <c r="A32" s="26" t="s">
        <v>137</v>
      </c>
      <c r="B32" s="75">
        <f>IF(B17&lt;&gt;"TL",0.001,IF(B18&lt;5,0.1,IF(B18&lt;10,0.2,IF(B18&lt;14,0.3,0.35))))</f>
        <v>1E-3</v>
      </c>
      <c r="C32" s="58">
        <f>IF(C17&lt;&gt;"TL",0.001,IF(C18&lt;5,0.1,IF(C18&lt;10,0.2,IF(C18&lt;14,0.3,0.35))))</f>
        <v>1E-3</v>
      </c>
      <c r="G32" s="87">
        <v>7</v>
      </c>
      <c r="H32" s="128">
        <f>J32*L25+J31*L26+J30*L27+J29*L28</f>
        <v>5.6473172578951742E-4</v>
      </c>
      <c r="I32" s="93">
        <v>7</v>
      </c>
      <c r="J32" s="86">
        <f t="shared" si="11"/>
        <v>1.9008070995135939E-4</v>
      </c>
      <c r="K32" s="93">
        <v>7</v>
      </c>
      <c r="L32" s="86"/>
      <c r="M32" s="85"/>
      <c r="N32" s="73"/>
      <c r="O32" s="37"/>
      <c r="P32" s="37"/>
      <c r="Q32" s="28">
        <v>7</v>
      </c>
      <c r="R32" s="37">
        <f>P27*N30+P28*N29+P29*N28+P30*N27</f>
        <v>5.8285907222028095E-2</v>
      </c>
      <c r="S32" s="72">
        <v>7</v>
      </c>
      <c r="T32" s="135">
        <f t="shared" si="13"/>
        <v>0</v>
      </c>
      <c r="U32" s="93">
        <v>7</v>
      </c>
      <c r="V32" s="86">
        <f>T32*R25+T31*R26+T30*R27+T29*R28+T28*R29+T27*R30+T26*R31+T25*R32</f>
        <v>5.9467002659498766E-2</v>
      </c>
      <c r="W32" s="137"/>
      <c r="X32" s="28">
        <v>7</v>
      </c>
      <c r="Y32" s="73"/>
      <c r="Z32" s="28">
        <v>7</v>
      </c>
      <c r="AA32" s="79"/>
      <c r="AB32" s="28">
        <v>7</v>
      </c>
      <c r="AC32" s="79"/>
      <c r="AD32" s="28">
        <v>7</v>
      </c>
      <c r="AE32" s="79"/>
      <c r="AF32" s="28">
        <v>7</v>
      </c>
      <c r="AG32" s="79"/>
      <c r="AH32" s="28">
        <v>7</v>
      </c>
      <c r="AI32" s="79"/>
      <c r="AJ32" s="28">
        <v>7</v>
      </c>
      <c r="AK32" s="79"/>
      <c r="AL32" s="28">
        <v>7</v>
      </c>
      <c r="AM32" s="79">
        <f>((($W$25)^Q32)*((1-($W$25))^($U$32-Q32))*HLOOKUP($U$32,$AV$24:$BF$34,Q32+1))*V32</f>
        <v>5.8648254425071328E-5</v>
      </c>
      <c r="AN32" s="28">
        <v>7</v>
      </c>
      <c r="AO32" s="79">
        <f>((($W$25)^Q32)*((1-($W$25))^($U$33-Q32))*HLOOKUP($U$33,$AV$24:$BF$34,Q32+1))*V33</f>
        <v>8.3764279915783552E-5</v>
      </c>
      <c r="AP32" s="28">
        <v>7</v>
      </c>
      <c r="AQ32" s="79">
        <f>((($W$25)^Q32)*((1-($W$25))^($U$34-Q32))*HLOOKUP($U$34,$AV$24:$BF$34,Q32+1))*V34</f>
        <v>4.0579489299291777E-5</v>
      </c>
      <c r="AR32" s="28">
        <v>7</v>
      </c>
      <c r="AS32" s="79">
        <f>((($W$25)^Q32)*((1-($W$25))^($U$35-Q32))*HLOOKUP($U$35,$AV$24:$BF$34,Q32+1))*V35</f>
        <v>7.0886863112126929E-6</v>
      </c>
      <c r="AV32" s="14">
        <v>8</v>
      </c>
      <c r="BD32">
        <v>1</v>
      </c>
      <c r="BE32">
        <v>9</v>
      </c>
      <c r="BF32">
        <f t="shared" si="14"/>
        <v>45</v>
      </c>
      <c r="BH32">
        <f t="shared" si="15"/>
        <v>3</v>
      </c>
      <c r="BI32">
        <v>5</v>
      </c>
      <c r="BJ32" s="107">
        <f t="shared" si="16"/>
        <v>1.0419550673519256E-2</v>
      </c>
      <c r="BP32">
        <f t="shared" si="17"/>
        <v>8</v>
      </c>
      <c r="BQ32">
        <v>1</v>
      </c>
      <c r="BR32" s="107">
        <f t="shared" si="18"/>
        <v>1.214616673674016E-5</v>
      </c>
    </row>
    <row r="33" spans="1:70" x14ac:dyDescent="0.25">
      <c r="A33" s="26" t="s">
        <v>84</v>
      </c>
      <c r="B33" s="75">
        <f>IF(B17&lt;&gt;"CA",0.005,IF((B18-B16)&lt;0,0.1,0.1+0.055*(B18-B16)))</f>
        <v>5.0000000000000001E-3</v>
      </c>
      <c r="C33" s="58">
        <f>IF(C17&lt;&gt;"CA",0.005,IF((C18-C16)&lt;0,0.1,0.1+0.055*(C18-C16)))</f>
        <v>5.0000000000000001E-3</v>
      </c>
      <c r="G33" s="87">
        <v>8</v>
      </c>
      <c r="H33" s="128">
        <f>J33*L25+J32*L26+J31*L27+J30*L28</f>
        <v>6.4218993790413949E-5</v>
      </c>
      <c r="I33" s="93">
        <v>8</v>
      </c>
      <c r="J33" s="86">
        <f t="shared" si="11"/>
        <v>1.3787599710083673E-5</v>
      </c>
      <c r="K33" s="93">
        <v>8</v>
      </c>
      <c r="L33" s="86"/>
      <c r="M33" s="85"/>
      <c r="N33" s="73"/>
      <c r="O33" s="37"/>
      <c r="P33" s="37"/>
      <c r="Q33" s="28">
        <v>8</v>
      </c>
      <c r="R33" s="37">
        <f>P28*N30+P29*N29+P30*N28</f>
        <v>1.6273233454020378E-2</v>
      </c>
      <c r="S33" s="72">
        <v>8</v>
      </c>
      <c r="T33" s="135">
        <f t="shared" si="13"/>
        <v>0</v>
      </c>
      <c r="U33" s="93">
        <v>8</v>
      </c>
      <c r="V33" s="86">
        <f>T33*R25+T32*R26+T31*R27+T30*R28+T29*R29+T28*R30+T27*R31+T26*R32+T25*R33</f>
        <v>1.6906172264115518E-2</v>
      </c>
      <c r="W33" s="137"/>
      <c r="X33" s="28">
        <v>8</v>
      </c>
      <c r="Y33" s="73"/>
      <c r="Z33" s="28">
        <v>8</v>
      </c>
      <c r="AA33" s="79"/>
      <c r="AB33" s="28">
        <v>8</v>
      </c>
      <c r="AC33" s="79"/>
      <c r="AD33" s="28">
        <v>8</v>
      </c>
      <c r="AE33" s="79"/>
      <c r="AF33" s="28">
        <v>8</v>
      </c>
      <c r="AG33" s="79"/>
      <c r="AH33" s="28">
        <v>8</v>
      </c>
      <c r="AI33" s="79"/>
      <c r="AJ33" s="28">
        <v>8</v>
      </c>
      <c r="AK33" s="79"/>
      <c r="AL33" s="28">
        <v>8</v>
      </c>
      <c r="AM33" s="79"/>
      <c r="AN33" s="28">
        <v>8</v>
      </c>
      <c r="AO33" s="79">
        <f>((($W$25)^Q33)*((1-($W$25))^($U$33-Q33))*HLOOKUP($U$33,$AV$24:$BF$34,Q33+1))*V33</f>
        <v>6.2028712351058608E-6</v>
      </c>
      <c r="AP33" s="28">
        <v>8</v>
      </c>
      <c r="AQ33" s="79">
        <f>((($W$25)^Q33)*((1-($W$25))^($U$34-Q33))*HLOOKUP($U$34,$AV$24:$BF$34,Q33+1))*V34</f>
        <v>6.0099447440587116E-6</v>
      </c>
      <c r="AR33" s="28">
        <v>8</v>
      </c>
      <c r="AS33" s="79">
        <f>((($W$25)^Q33)*((1-($W$25))^($U$35-Q33))*HLOOKUP($U$35,$AV$24:$BF$34,Q33+1))*V35</f>
        <v>1.5747837309191023E-6</v>
      </c>
      <c r="AV33" s="29">
        <v>9</v>
      </c>
      <c r="BE33">
        <v>1</v>
      </c>
      <c r="BF33">
        <f t="shared" si="14"/>
        <v>10</v>
      </c>
      <c r="BH33">
        <f t="shared" si="15"/>
        <v>3</v>
      </c>
      <c r="BI33">
        <v>6</v>
      </c>
      <c r="BJ33" s="107">
        <f t="shared" si="16"/>
        <v>3.2771527997857261E-3</v>
      </c>
      <c r="BP33">
        <f t="shared" si="17"/>
        <v>8</v>
      </c>
      <c r="BQ33">
        <v>2</v>
      </c>
      <c r="BR33" s="107">
        <f t="shared" si="18"/>
        <v>1.7688983445621743E-5</v>
      </c>
    </row>
    <row r="34" spans="1:70" x14ac:dyDescent="0.25">
      <c r="A34" s="40" t="s">
        <v>86</v>
      </c>
      <c r="B34" s="56">
        <f>B23*2</f>
        <v>4.2677791699099652</v>
      </c>
      <c r="C34" s="57">
        <f>C23*2</f>
        <v>5.7322208300900348</v>
      </c>
      <c r="G34" s="87">
        <v>9</v>
      </c>
      <c r="H34" s="128">
        <f>J34*L25+J33*L26+J32*L27+J31*L28</f>
        <v>5.4134780884159974E-6</v>
      </c>
      <c r="I34" s="93">
        <v>9</v>
      </c>
      <c r="J34" s="86">
        <f t="shared" si="11"/>
        <v>6.0291172478750003E-7</v>
      </c>
      <c r="K34" s="93">
        <v>9</v>
      </c>
      <c r="L34" s="86"/>
      <c r="M34" s="85"/>
      <c r="N34" s="73"/>
      <c r="O34" s="37"/>
      <c r="P34" s="37"/>
      <c r="Q34" s="28">
        <v>9</v>
      </c>
      <c r="R34" s="37">
        <f>P29*N30+P30*N29</f>
        <v>2.6924048702840022E-3</v>
      </c>
      <c r="S34" s="72">
        <v>9</v>
      </c>
      <c r="T34" s="135">
        <f t="shared" si="13"/>
        <v>0</v>
      </c>
      <c r="U34" s="93">
        <v>9</v>
      </c>
      <c r="V34" s="86">
        <f>T34*R25+T33*R26+T32*R27+T31*R28+T30*R29+T29*R30+T28*R31+T27*R32+T26*R33+T25*R34</f>
        <v>2.8982507212050816E-3</v>
      </c>
      <c r="W34" s="137"/>
      <c r="X34" s="28">
        <v>9</v>
      </c>
      <c r="Y34" s="73"/>
      <c r="Z34" s="28">
        <v>9</v>
      </c>
      <c r="AA34" s="79"/>
      <c r="AB34" s="28">
        <v>9</v>
      </c>
      <c r="AC34" s="79"/>
      <c r="AD34" s="28">
        <v>9</v>
      </c>
      <c r="AE34" s="79"/>
      <c r="AF34" s="28">
        <v>9</v>
      </c>
      <c r="AG34" s="79"/>
      <c r="AH34" s="28">
        <v>9</v>
      </c>
      <c r="AI34" s="79"/>
      <c r="AJ34" s="28">
        <v>9</v>
      </c>
      <c r="AK34" s="79"/>
      <c r="AL34" s="28">
        <v>9</v>
      </c>
      <c r="AM34" s="79"/>
      <c r="AN34" s="28">
        <v>9</v>
      </c>
      <c r="AO34" s="79"/>
      <c r="AP34" s="28">
        <v>9</v>
      </c>
      <c r="AQ34" s="79">
        <f>((($W$25)^Q34)*((1-($W$25))^($U$34-Q34))*HLOOKUP($U$34,$AV$24:$BF$34,Q34+1))*V34</f>
        <v>3.9559597389751952E-7</v>
      </c>
      <c r="AR34" s="28">
        <v>9</v>
      </c>
      <c r="AS34" s="79">
        <f>((($W$25)^Q34)*((1-($W$25))^($U$35-Q34))*HLOOKUP($U$35,$AV$24:$BF$34,Q34+1))*V35</f>
        <v>2.0731575088998045E-7</v>
      </c>
      <c r="AV34" s="14">
        <v>10</v>
      </c>
      <c r="BF34">
        <f t="shared" si="14"/>
        <v>1</v>
      </c>
      <c r="BH34">
        <f t="shared" si="15"/>
        <v>3</v>
      </c>
      <c r="BI34">
        <v>7</v>
      </c>
      <c r="BJ34" s="107">
        <f t="shared" si="16"/>
        <v>7.696632804635303E-4</v>
      </c>
      <c r="BP34">
        <f t="shared" si="17"/>
        <v>8</v>
      </c>
      <c r="BQ34">
        <v>3</v>
      </c>
      <c r="BR34" s="107">
        <f t="shared" si="18"/>
        <v>1.5624500999796612E-5</v>
      </c>
    </row>
    <row r="35" spans="1:70" ht="15.75" thickBot="1" x14ac:dyDescent="0.3">
      <c r="G35" s="88">
        <v>10</v>
      </c>
      <c r="H35" s="129">
        <f>J35*L25+J34*L26+J33*L27+J32*L28</f>
        <v>3.3117416353307858E-7</v>
      </c>
      <c r="I35" s="94">
        <v>10</v>
      </c>
      <c r="J35" s="89">
        <f t="shared" si="11"/>
        <v>1.2281635170244181E-8</v>
      </c>
      <c r="K35" s="94">
        <v>10</v>
      </c>
      <c r="L35" s="89"/>
      <c r="M35" s="85"/>
      <c r="N35" s="73"/>
      <c r="O35" s="37"/>
      <c r="P35" s="37"/>
      <c r="Q35" s="28">
        <v>10</v>
      </c>
      <c r="R35" s="37">
        <f>P30*N30</f>
        <v>2.0045615413217998E-4</v>
      </c>
      <c r="S35" s="72">
        <v>10</v>
      </c>
      <c r="T35" s="135">
        <f t="shared" si="13"/>
        <v>0</v>
      </c>
      <c r="U35" s="94">
        <v>10</v>
      </c>
      <c r="V35" s="89">
        <f>IF(((T35*R25+T34*R26+T33*R27+T32*R28+T31*R29+T30*R30+T29*R31+T28*R32+T27*R33+T26*R34+T25*R35)+V23)&lt;&gt;1,1-V23,(T35*R25+T34*R26+T33*R27+T32*R28+T31*R29+T30*R30+T29*R31+T28*R32+T27*R33+T26*R34+T25*R35))</f>
        <v>2.4186434331086026E-4</v>
      </c>
      <c r="W35" s="137"/>
      <c r="X35" s="28">
        <v>10</v>
      </c>
      <c r="Y35" s="73"/>
      <c r="Z35" s="28">
        <v>10</v>
      </c>
      <c r="AA35" s="79"/>
      <c r="AB35" s="28">
        <v>10</v>
      </c>
      <c r="AC35" s="79"/>
      <c r="AD35" s="28">
        <v>10</v>
      </c>
      <c r="AE35" s="79"/>
      <c r="AF35" s="28">
        <v>10</v>
      </c>
      <c r="AG35" s="79"/>
      <c r="AH35" s="28">
        <v>10</v>
      </c>
      <c r="AI35" s="79"/>
      <c r="AJ35" s="28">
        <v>10</v>
      </c>
      <c r="AK35" s="79"/>
      <c r="AL35" s="28">
        <v>10</v>
      </c>
      <c r="AM35" s="79"/>
      <c r="AN35" s="28">
        <v>10</v>
      </c>
      <c r="AO35" s="79"/>
      <c r="AP35" s="28">
        <v>10</v>
      </c>
      <c r="AQ35" s="79"/>
      <c r="AR35" s="28">
        <v>10</v>
      </c>
      <c r="AS35" s="79">
        <f>((($W$25)^Q35)*((1-($W$25))^($U$35-Q35))*HLOOKUP($U$35,$AV$24:$BF$34,Q35+1))*V35</f>
        <v>1.2281635170244181E-8</v>
      </c>
      <c r="BH35">
        <f t="shared" si="15"/>
        <v>3</v>
      </c>
      <c r="BI35">
        <v>8</v>
      </c>
      <c r="BJ35" s="107">
        <f t="shared" si="16"/>
        <v>1.3541562844032764E-4</v>
      </c>
      <c r="BP35">
        <f t="shared" si="17"/>
        <v>8</v>
      </c>
      <c r="BQ35">
        <v>4</v>
      </c>
      <c r="BR35" s="107">
        <f t="shared" si="18"/>
        <v>9.338923397856267E-6</v>
      </c>
    </row>
    <row r="36" spans="1:70" x14ac:dyDescent="0.25">
      <c r="A36" s="1"/>
      <c r="B36" s="108">
        <f>SUM(B37:B39)</f>
        <v>0.99999895703580399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59">
        <f>SUM(V39:V49)</f>
        <v>1</v>
      </c>
      <c r="W36" s="13"/>
      <c r="X36" s="13"/>
      <c r="AS36" s="82">
        <f>Y37+AA37+AC37+AE37+AG37+AI37+AK37+AM37+AO37+AQ37+AS37</f>
        <v>1</v>
      </c>
      <c r="BH36">
        <f t="shared" si="15"/>
        <v>3</v>
      </c>
      <c r="BI36">
        <v>9</v>
      </c>
      <c r="BJ36" s="107">
        <f t="shared" si="16"/>
        <v>1.7719148949885894E-5</v>
      </c>
      <c r="BP36">
        <f t="shared" si="17"/>
        <v>8</v>
      </c>
      <c r="BQ36">
        <v>5</v>
      </c>
      <c r="BR36" s="107">
        <f t="shared" si="18"/>
        <v>3.9901932046069057E-6</v>
      </c>
    </row>
    <row r="37" spans="1:70" ht="15.75" thickBot="1" x14ac:dyDescent="0.3">
      <c r="A37" s="109" t="s">
        <v>104</v>
      </c>
      <c r="B37" s="107">
        <f>SUM(BN4:BN14)</f>
        <v>0.19832500138188314</v>
      </c>
      <c r="G37" s="13"/>
      <c r="H37" s="59">
        <f>SUM(H39:H49)</f>
        <v>0.99999930265413906</v>
      </c>
      <c r="I37" s="13"/>
      <c r="J37" s="59">
        <f>SUM(J39:J49)</f>
        <v>1</v>
      </c>
      <c r="K37" s="59"/>
      <c r="L37" s="59">
        <f>SUM(L39:L49)</f>
        <v>1</v>
      </c>
      <c r="M37" s="13"/>
      <c r="N37" s="74">
        <f>SUM(N39:N49)</f>
        <v>1</v>
      </c>
      <c r="O37" s="13"/>
      <c r="P37" s="74">
        <f>SUM(P39:P49)</f>
        <v>1</v>
      </c>
      <c r="Q37" s="13"/>
      <c r="R37" s="59">
        <f>SUM(R39:R49)</f>
        <v>1</v>
      </c>
      <c r="S37" s="13"/>
      <c r="T37" s="59">
        <f>SUM(T39:T49)</f>
        <v>1</v>
      </c>
      <c r="U37" s="13"/>
      <c r="V37" s="59">
        <f>SUM(V39:V48)</f>
        <v>0.99588288380291401</v>
      </c>
      <c r="W37" s="13"/>
      <c r="X37" s="13"/>
      <c r="Y37" s="80">
        <f>SUM(Y39:Y49)</f>
        <v>1.9845660399471149E-4</v>
      </c>
      <c r="Z37" s="81"/>
      <c r="AA37" s="80">
        <f>SUM(AA39:AA49)</f>
        <v>2.667542670436535E-3</v>
      </c>
      <c r="AB37" s="81"/>
      <c r="AC37" s="80">
        <f>SUM(AC39:AC49)</f>
        <v>1.6137702390179705E-2</v>
      </c>
      <c r="AD37" s="81"/>
      <c r="AE37" s="80">
        <f>SUM(AE39:AE49)</f>
        <v>5.7866491280477626E-2</v>
      </c>
      <c r="AF37" s="81"/>
      <c r="AG37" s="80">
        <f>SUM(AG39:AG49)</f>
        <v>0.13621440614823141</v>
      </c>
      <c r="AH37" s="81"/>
      <c r="AI37" s="80">
        <f>SUM(AI39:AI49)</f>
        <v>0.21997508653438402</v>
      </c>
      <c r="AJ37" s="81"/>
      <c r="AK37" s="80">
        <f>SUM(AK39:AK49)</f>
        <v>0.24688739984683841</v>
      </c>
      <c r="AL37" s="81"/>
      <c r="AM37" s="80">
        <f>SUM(AM39:AM49)</f>
        <v>0.19026383247544021</v>
      </c>
      <c r="AN37" s="81"/>
      <c r="AO37" s="80">
        <f>SUM(AO39:AO49)</f>
        <v>9.6483745132614707E-2</v>
      </c>
      <c r="AP37" s="81"/>
      <c r="AQ37" s="80">
        <f>SUM(AQ39:AQ49)</f>
        <v>2.9188220720316679E-2</v>
      </c>
      <c r="AR37" s="81"/>
      <c r="AS37" s="80">
        <f>SUM(AS39:AS49)</f>
        <v>4.1171161970859895E-3</v>
      </c>
      <c r="BH37">
        <f t="shared" si="15"/>
        <v>3</v>
      </c>
      <c r="BI37">
        <v>10</v>
      </c>
      <c r="BJ37" s="107">
        <f t="shared" si="16"/>
        <v>1.6887510363451836E-6</v>
      </c>
      <c r="BP37">
        <f t="shared" si="17"/>
        <v>8</v>
      </c>
      <c r="BQ37">
        <v>6</v>
      </c>
      <c r="BR37" s="107">
        <f t="shared" si="18"/>
        <v>1.2549939284231011E-6</v>
      </c>
    </row>
    <row r="38" spans="1:70" ht="15.75" thickBot="1" x14ac:dyDescent="0.3">
      <c r="A38" s="110" t="s">
        <v>105</v>
      </c>
      <c r="B38" s="107">
        <f>SUM(BJ4:BJ59)</f>
        <v>0.55248814107641242</v>
      </c>
      <c r="G38" s="103" t="str">
        <f t="shared" ref="G38:T38" si="19">G24</f>
        <v>G</v>
      </c>
      <c r="H38" s="104" t="str">
        <f t="shared" si="19"/>
        <v>p</v>
      </c>
      <c r="I38" s="103" t="str">
        <f t="shared" si="19"/>
        <v>GT</v>
      </c>
      <c r="J38" s="105" t="str">
        <f t="shared" si="19"/>
        <v>p(x)</v>
      </c>
      <c r="K38" s="106" t="str">
        <f t="shared" si="19"/>
        <v>EE(x)</v>
      </c>
      <c r="L38" s="105" t="str">
        <f t="shared" si="19"/>
        <v>p</v>
      </c>
      <c r="M38" s="90" t="str">
        <f t="shared" si="19"/>
        <v>OcaS</v>
      </c>
      <c r="N38" s="30" t="str">
        <f t="shared" si="19"/>
        <v>P</v>
      </c>
      <c r="O38" s="30" t="str">
        <f t="shared" si="19"/>
        <v>O_CA</v>
      </c>
      <c r="P38" s="30" t="str">
        <f t="shared" si="19"/>
        <v>p</v>
      </c>
      <c r="Q38" s="30" t="str">
        <f t="shared" si="19"/>
        <v>TotalN</v>
      </c>
      <c r="R38" s="30" t="str">
        <f t="shared" si="19"/>
        <v>p</v>
      </c>
      <c r="S38" s="30" t="str">
        <f t="shared" si="19"/>
        <v>OcaCA</v>
      </c>
      <c r="T38" s="141" t="str">
        <f t="shared" si="19"/>
        <v>p</v>
      </c>
      <c r="U38" s="142" t="str">
        <f>U24</f>
        <v>Total</v>
      </c>
      <c r="V38" s="143" t="str">
        <f>V24</f>
        <v>P</v>
      </c>
      <c r="W38" s="90" t="str">
        <f>W24</f>
        <v>E(x)</v>
      </c>
      <c r="X38" s="30" t="str">
        <f t="shared" ref="X38" si="20">X24</f>
        <v>G0</v>
      </c>
      <c r="Y38" s="30" t="str">
        <f>Y24</f>
        <v>p</v>
      </c>
      <c r="Z38" s="30" t="str">
        <f t="shared" ref="Z38" si="21">Z24</f>
        <v>G1</v>
      </c>
      <c r="AA38" s="30" t="str">
        <f>AA24</f>
        <v>p</v>
      </c>
      <c r="AB38" s="30" t="str">
        <f t="shared" ref="AB38" si="22">AB24</f>
        <v>G2</v>
      </c>
      <c r="AC38" s="30" t="str">
        <f>AC24</f>
        <v>p</v>
      </c>
      <c r="AD38" s="30" t="str">
        <f t="shared" ref="AD38" si="23">AD24</f>
        <v>G3</v>
      </c>
      <c r="AE38" s="30" t="str">
        <f>AE24</f>
        <v>p</v>
      </c>
      <c r="AF38" s="30" t="str">
        <f t="shared" ref="AF38" si="24">AF24</f>
        <v>G4</v>
      </c>
      <c r="AG38" s="30" t="str">
        <f>AG24</f>
        <v>p</v>
      </c>
      <c r="AH38" s="30" t="str">
        <f t="shared" ref="AH38" si="25">AH24</f>
        <v>G5</v>
      </c>
      <c r="AI38" s="30" t="str">
        <f>AI24</f>
        <v>p</v>
      </c>
      <c r="AJ38" s="30" t="str">
        <f t="shared" ref="AJ38" si="26">AJ24</f>
        <v>G6</v>
      </c>
      <c r="AK38" s="30" t="str">
        <f>AK24</f>
        <v>p</v>
      </c>
      <c r="AL38" s="30" t="str">
        <f t="shared" ref="AL38" si="27">AL24</f>
        <v>G7</v>
      </c>
      <c r="AM38" s="30" t="str">
        <f>AM24</f>
        <v>p</v>
      </c>
      <c r="AN38" s="30" t="str">
        <f t="shared" ref="AN38" si="28">AN24</f>
        <v>G8</v>
      </c>
      <c r="AO38" s="30" t="str">
        <f>AO24</f>
        <v>p</v>
      </c>
      <c r="AP38" s="30" t="str">
        <f t="shared" ref="AP38" si="29">AP24</f>
        <v>G9</v>
      </c>
      <c r="AQ38" s="30" t="str">
        <f>AQ24</f>
        <v>p</v>
      </c>
      <c r="AR38" s="30" t="str">
        <f t="shared" ref="AR38" si="30">AR24</f>
        <v>G10</v>
      </c>
      <c r="AS38" s="30" t="str">
        <f>AS24</f>
        <v>p</v>
      </c>
      <c r="AV38" s="14">
        <v>0</v>
      </c>
      <c r="AW38" s="14">
        <v>1</v>
      </c>
      <c r="AX38" s="14">
        <v>2</v>
      </c>
      <c r="AY38" s="14">
        <v>3</v>
      </c>
      <c r="AZ38" s="14">
        <v>4</v>
      </c>
      <c r="BA38" s="14">
        <v>5</v>
      </c>
      <c r="BB38" s="14">
        <v>6</v>
      </c>
      <c r="BC38" s="14">
        <v>7</v>
      </c>
      <c r="BD38" s="14">
        <v>8</v>
      </c>
      <c r="BE38" s="14">
        <v>9</v>
      </c>
      <c r="BF38" s="14">
        <v>10</v>
      </c>
      <c r="BH38">
        <f t="shared" ref="BH38:BH43" si="31">BH32+1</f>
        <v>4</v>
      </c>
      <c r="BI38">
        <v>5</v>
      </c>
      <c r="BJ38" s="107">
        <f t="shared" ref="BJ38:BJ43" si="32">$H$29*H44</f>
        <v>4.0583035102766717E-3</v>
      </c>
      <c r="BP38">
        <f>BL11+1</f>
        <v>8</v>
      </c>
      <c r="BQ38">
        <v>7</v>
      </c>
      <c r="BR38" s="107">
        <f t="shared" si="18"/>
        <v>2.947444940544405E-7</v>
      </c>
    </row>
    <row r="39" spans="1:70" x14ac:dyDescent="0.25">
      <c r="A39" s="111" t="s">
        <v>0</v>
      </c>
      <c r="B39" s="107">
        <f>SUM(BR4:BR47)</f>
        <v>0.24918581457750841</v>
      </c>
      <c r="G39" s="130">
        <v>0</v>
      </c>
      <c r="H39" s="131">
        <f>L39*J39</f>
        <v>5.9501909237606246E-2</v>
      </c>
      <c r="I39" s="97">
        <v>0</v>
      </c>
      <c r="J39" s="98">
        <f t="shared" ref="J39:J49" si="33">Y39+AA39+AC39+AE39+AG39+AI39+AK39+AM39+AO39+AQ39+AS39</f>
        <v>7.9611109044617184E-2</v>
      </c>
      <c r="K39" s="102">
        <v>0</v>
      </c>
      <c r="L39" s="98">
        <f>AC21</f>
        <v>0.74740711380190727</v>
      </c>
      <c r="M39" s="84">
        <v>0</v>
      </c>
      <c r="N39" s="71">
        <f>(1-$C$24)^$B$21</f>
        <v>1.4158253922436198E-2</v>
      </c>
      <c r="O39" s="70">
        <v>0</v>
      </c>
      <c r="P39" s="71">
        <f>N39</f>
        <v>1.4158253922436198E-2</v>
      </c>
      <c r="Q39" s="12">
        <v>0</v>
      </c>
      <c r="R39" s="73">
        <f>P39*N39</f>
        <v>2.0045615413217998E-4</v>
      </c>
      <c r="S39" s="70">
        <v>0</v>
      </c>
      <c r="T39" s="135">
        <f>(1-$C$33)^(INT(B23*2*(1-B31)))</f>
        <v>0.99002500000000004</v>
      </c>
      <c r="U39" s="140">
        <v>0</v>
      </c>
      <c r="V39" s="86">
        <f>R39*T39</f>
        <v>1.9845660399471149E-4</v>
      </c>
      <c r="W39" s="136">
        <f>C31</f>
        <v>0.38951074399685026</v>
      </c>
      <c r="X39" s="12">
        <v>0</v>
      </c>
      <c r="Y39" s="79">
        <f>V39</f>
        <v>1.9845660399471149E-4</v>
      </c>
      <c r="Z39" s="12">
        <v>0</v>
      </c>
      <c r="AA39" s="78">
        <f>((1-W39)^Z40)*V40</f>
        <v>1.6285061402314556E-3</v>
      </c>
      <c r="AB39" s="12">
        <v>0</v>
      </c>
      <c r="AC39" s="79">
        <f>(((1-$W$39)^AB41))*V41</f>
        <v>6.0144753929720291E-3</v>
      </c>
      <c r="AD39" s="12">
        <v>0</v>
      </c>
      <c r="AE39" s="79">
        <f>(((1-$W$39)^AB42))*V42</f>
        <v>1.3166223571486406E-2</v>
      </c>
      <c r="AF39" s="12">
        <v>0</v>
      </c>
      <c r="AG39" s="79">
        <f>(((1-$W$39)^AB43))*V43</f>
        <v>1.892061035824074E-2</v>
      </c>
      <c r="AH39" s="12">
        <v>0</v>
      </c>
      <c r="AI39" s="79">
        <f>(((1-$W$39)^AB44))*V44</f>
        <v>1.8653641385078329E-2</v>
      </c>
      <c r="AJ39" s="12">
        <v>0</v>
      </c>
      <c r="AK39" s="79">
        <f>(((1-$W$39)^AB45))*V45</f>
        <v>1.2781065986532022E-2</v>
      </c>
      <c r="AL39" s="12">
        <v>0</v>
      </c>
      <c r="AM39" s="79">
        <f>(((1-$W$39)^AB46))*V46</f>
        <v>6.0131552515432611E-3</v>
      </c>
      <c r="AN39" s="12">
        <v>0</v>
      </c>
      <c r="AO39" s="79">
        <f>(((1-$W$39)^AB47))*V47</f>
        <v>1.8615656403259207E-3</v>
      </c>
      <c r="AP39" s="12">
        <v>0</v>
      </c>
      <c r="AQ39" s="79">
        <f>(((1-$W$39)^AB48))*V48</f>
        <v>3.4380314767349518E-4</v>
      </c>
      <c r="AR39" s="12">
        <v>0</v>
      </c>
      <c r="AS39" s="79">
        <f>(((1-$W$39)^AB49))*V49</f>
        <v>2.9605566538797197E-5</v>
      </c>
      <c r="AV39" s="14">
        <v>1</v>
      </c>
      <c r="AW39">
        <v>1</v>
      </c>
      <c r="AX39">
        <v>2</v>
      </c>
      <c r="AY39">
        <v>3</v>
      </c>
      <c r="AZ39">
        <v>4</v>
      </c>
      <c r="BA39">
        <v>5</v>
      </c>
      <c r="BB39">
        <v>6</v>
      </c>
      <c r="BC39">
        <f>7</f>
        <v>7</v>
      </c>
      <c r="BD39">
        <v>8</v>
      </c>
      <c r="BE39">
        <v>9</v>
      </c>
      <c r="BF39">
        <v>10</v>
      </c>
      <c r="BH39">
        <f t="shared" si="31"/>
        <v>4</v>
      </c>
      <c r="BI39">
        <v>6</v>
      </c>
      <c r="BJ39" s="107">
        <f t="shared" si="32"/>
        <v>1.276415953797689E-3</v>
      </c>
      <c r="BP39">
        <f t="shared" ref="BP39:BP46" si="34">BP31+1</f>
        <v>9</v>
      </c>
      <c r="BQ39">
        <v>0</v>
      </c>
      <c r="BR39" s="107">
        <f t="shared" ref="BR39:BR47" si="35">$H$34*H39</f>
        <v>3.2211228187669883E-7</v>
      </c>
    </row>
    <row r="40" spans="1:70" x14ac:dyDescent="0.25">
      <c r="G40" s="91">
        <v>1</v>
      </c>
      <c r="H40" s="132">
        <f>L39*J40+L40*J39</f>
        <v>0.18913667156449956</v>
      </c>
      <c r="I40" s="93">
        <v>1</v>
      </c>
      <c r="J40" s="86">
        <f t="shared" si="33"/>
        <v>0.22916016937475037</v>
      </c>
      <c r="K40" s="95">
        <v>1</v>
      </c>
      <c r="L40" s="86">
        <f>AD21</f>
        <v>0.22434972942973719</v>
      </c>
      <c r="M40" s="85">
        <v>1</v>
      </c>
      <c r="N40" s="71">
        <f>(($C$24)^M26)*((1-($C$24))^($B$21-M26))*HLOOKUP($B$21,$AV$24:$BF$34,M26+1)</f>
        <v>9.508251812101709E-2</v>
      </c>
      <c r="O40" s="72">
        <v>1</v>
      </c>
      <c r="P40" s="71">
        <f t="shared" ref="P40:P44" si="36">N40</f>
        <v>9.508251812101709E-2</v>
      </c>
      <c r="Q40" s="28">
        <v>1</v>
      </c>
      <c r="R40" s="37">
        <f>P40*N39+P39*N40</f>
        <v>2.6924048702840022E-3</v>
      </c>
      <c r="S40" s="72">
        <v>1</v>
      </c>
      <c r="T40" s="135">
        <f t="shared" ref="T40:T49" si="37">(($C$33)^S40)*((1-($C$33))^(INT($B$23*2*(1-$B$31))-S40))*HLOOKUP(INT($B$23*2*(1-$B$31)),$AV$24:$BF$34,S40+1)</f>
        <v>9.9500000000000005E-3</v>
      </c>
      <c r="U40" s="93">
        <v>1</v>
      </c>
      <c r="V40" s="86">
        <f>R40*T39+T40*R39</f>
        <v>2.667542670436535E-3</v>
      </c>
      <c r="W40" s="137"/>
      <c r="X40" s="28">
        <v>1</v>
      </c>
      <c r="Y40" s="73"/>
      <c r="Z40" s="28">
        <v>1</v>
      </c>
      <c r="AA40" s="79">
        <f>(1-((1-W39)^Z40))*V40</f>
        <v>1.0390365302050794E-3</v>
      </c>
      <c r="AB40" s="28">
        <v>1</v>
      </c>
      <c r="AC40" s="79">
        <f>((($W$39)^M40)*((1-($W$39))^($U$27-M40))*HLOOKUP($U$27,$AV$24:$BF$34,M40+1))*V41</f>
        <v>7.6748370656180608E-3</v>
      </c>
      <c r="AD40" s="28">
        <v>1</v>
      </c>
      <c r="AE40" s="79">
        <f>((($W$39)^M40)*((1-($W$39))^($U$28-M40))*HLOOKUP($U$28,$AV$24:$BF$34,M40+1))*V42</f>
        <v>2.5201355250052484E-2</v>
      </c>
      <c r="AF40" s="28">
        <v>1</v>
      </c>
      <c r="AG40" s="79">
        <f>((($W$39)^M40)*((1-($W$39))^($U$29-M40))*HLOOKUP($U$29,$AV$24:$BF$34,M40+1))*V43</f>
        <v>4.8287703313650704E-2</v>
      </c>
      <c r="AH40" s="28">
        <v>1</v>
      </c>
      <c r="AI40" s="79">
        <f>((($W$39)^M40)*((1-($W$39))^($U$30-M40))*HLOOKUP($U$30,$AV$24:$BF$34,M40+1))*V44</f>
        <v>5.9507957451382321E-2</v>
      </c>
      <c r="AJ40" s="28">
        <v>1</v>
      </c>
      <c r="AK40" s="79">
        <f>((($W$39)^M40)*((1-($W$39))^($U$31-M40))*HLOOKUP($U$31,$AV$24:$BF$34,M40+1))*V45</f>
        <v>4.8928256861521968E-2</v>
      </c>
      <c r="AL40" s="28">
        <v>1</v>
      </c>
      <c r="AM40" s="79">
        <f>((($W$39)^Q40)*((1-($W$39))^($U$32-Q40))*HLOOKUP($U$32,$AV$24:$BF$34,Q40+1))*V46</f>
        <v>2.6856033696513883E-2</v>
      </c>
      <c r="AN40" s="28">
        <v>1</v>
      </c>
      <c r="AO40" s="79">
        <f>((($W$39)^Q40)*((1-($W$39))^($U$33-Q40))*HLOOKUP($U$33,$AV$24:$BF$34,Q40+1))*V47</f>
        <v>9.5018847317251548E-3</v>
      </c>
      <c r="AP40" s="28">
        <v>1</v>
      </c>
      <c r="AQ40" s="79">
        <f>((($W$39)^Q40)*((1-($W$39))^($U$34-Q40))*HLOOKUP($U$34,$AV$24:$BF$34,Q40+1))*V48</f>
        <v>1.9742119401731789E-3</v>
      </c>
      <c r="AR40" s="28">
        <v>1</v>
      </c>
      <c r="AS40" s="79">
        <f>((($W$39)^Q40)*((1-($W$39))^($U$35-Q40))*HLOOKUP($U$35,$AV$24:$BF$34,Q40+1))*V49</f>
        <v>1.8889253390751981E-4</v>
      </c>
      <c r="AV40" s="14">
        <v>2</v>
      </c>
      <c r="AX40">
        <v>1</v>
      </c>
      <c r="AY40">
        <v>3</v>
      </c>
      <c r="AZ40">
        <v>6</v>
      </c>
      <c r="BA40">
        <v>10</v>
      </c>
      <c r="BB40">
        <v>15</v>
      </c>
      <c r="BC40">
        <f>6+15</f>
        <v>21</v>
      </c>
      <c r="BD40">
        <f>21+7</f>
        <v>28</v>
      </c>
      <c r="BE40">
        <f>28+8</f>
        <v>36</v>
      </c>
      <c r="BF40">
        <f>36+9</f>
        <v>45</v>
      </c>
      <c r="BH40">
        <f t="shared" si="31"/>
        <v>4</v>
      </c>
      <c r="BI40">
        <v>7</v>
      </c>
      <c r="BJ40" s="107">
        <f t="shared" si="32"/>
        <v>2.9977561323968457E-4</v>
      </c>
      <c r="BP40">
        <f t="shared" si="34"/>
        <v>9</v>
      </c>
      <c r="BQ40">
        <v>1</v>
      </c>
      <c r="BR40" s="107">
        <f t="shared" si="35"/>
        <v>1.0238872272303514E-6</v>
      </c>
    </row>
    <row r="41" spans="1:70" x14ac:dyDescent="0.25">
      <c r="G41" s="91">
        <v>2</v>
      </c>
      <c r="H41" s="132">
        <f>L39*J41+J40*L40+J39*L41</f>
        <v>0.27544784496860492</v>
      </c>
      <c r="I41" s="93">
        <v>2</v>
      </c>
      <c r="J41" s="86">
        <f t="shared" si="33"/>
        <v>0.29692562742348416</v>
      </c>
      <c r="K41" s="95">
        <v>2</v>
      </c>
      <c r="L41" s="86">
        <f>AE21</f>
        <v>2.6522639770245798E-2</v>
      </c>
      <c r="M41" s="85">
        <v>2</v>
      </c>
      <c r="N41" s="71">
        <f>(($C$24)^M27)*((1-($C$24))^($B$21-M27))*HLOOKUP($B$21,$AV$24:$BF$34,M27+1)</f>
        <v>0.25541808479383232</v>
      </c>
      <c r="O41" s="72">
        <v>2</v>
      </c>
      <c r="P41" s="71">
        <f t="shared" si="36"/>
        <v>0.25541808479383232</v>
      </c>
      <c r="Q41" s="28">
        <v>2</v>
      </c>
      <c r="R41" s="37">
        <f>P41*N39+P40*N40+P39*N41</f>
        <v>1.6273233454020378E-2</v>
      </c>
      <c r="S41" s="72">
        <v>2</v>
      </c>
      <c r="T41" s="135">
        <f t="shared" si="37"/>
        <v>2.5000000000000001E-5</v>
      </c>
      <c r="U41" s="93">
        <v>2</v>
      </c>
      <c r="V41" s="86">
        <f>R41*T39+T40*R40+R39*T41</f>
        <v>1.6137702390179705E-2</v>
      </c>
      <c r="W41" s="137"/>
      <c r="X41" s="28">
        <v>2</v>
      </c>
      <c r="Y41" s="73"/>
      <c r="Z41" s="28">
        <v>2</v>
      </c>
      <c r="AA41" s="79"/>
      <c r="AB41" s="28">
        <v>2</v>
      </c>
      <c r="AC41" s="79">
        <f>((($W$39)^M41)*((1-($W$39))^($U$27-M41))*HLOOKUP($U$27,$AV$24:$BF$34,M41+1))*V41</f>
        <v>2.4483899315896154E-3</v>
      </c>
      <c r="AD41" s="28">
        <v>2</v>
      </c>
      <c r="AE41" s="79">
        <f>((($W$39)^M41)*((1-($W$39))^($U$28-M41))*HLOOKUP($U$28,$AV$24:$BF$34,M41+1))*V42</f>
        <v>1.6079232413430424E-2</v>
      </c>
      <c r="AF41" s="28">
        <v>2</v>
      </c>
      <c r="AG41" s="79">
        <f>((($W$39)^M41)*((1-($W$39))^($U$29-M41))*HLOOKUP($U$29,$AV$24:$BF$34,M41+1))*V43</f>
        <v>4.6213538711733407E-2</v>
      </c>
      <c r="AH41" s="28">
        <v>2</v>
      </c>
      <c r="AI41" s="79">
        <f>((($W$39)^M41)*((1-($W$39))^($U$30-M41))*HLOOKUP($U$30,$AV$24:$BF$34,M41+1))*V44</f>
        <v>7.5935779549578974E-2</v>
      </c>
      <c r="AJ41" s="28">
        <v>2</v>
      </c>
      <c r="AK41" s="79">
        <f>((($W$39)^M41)*((1-($W$39))^($U$31-M41))*HLOOKUP($U$31,$AV$24:$BF$34,M41+1))*V45</f>
        <v>7.8044296214862835E-2</v>
      </c>
      <c r="AL41" s="28">
        <v>2</v>
      </c>
      <c r="AM41" s="79">
        <f>((($W$39)^Q41)*((1-($W$39))^($U$32-Q41))*HLOOKUP($U$32,$AV$24:$BF$34,Q41+1))*V46</f>
        <v>5.1404903017062915E-2</v>
      </c>
      <c r="AN41" s="28">
        <v>2</v>
      </c>
      <c r="AO41" s="79">
        <f>((($W$39)^Q41)*((1-($W$39))^($U$33-Q41))*HLOOKUP($U$33,$AV$24:$BF$34,Q41+1))*V47</f>
        <v>2.121872177423903E-2</v>
      </c>
      <c r="AP41" s="28">
        <v>2</v>
      </c>
      <c r="AQ41" s="79">
        <f>((($W$39)^Q41)*((1-($W$39))^($U$34-Q41))*HLOOKUP($U$34,$AV$24:$BF$34,Q41+1))*V48</f>
        <v>5.0384294502332895E-3</v>
      </c>
      <c r="AR41" s="28">
        <v>2</v>
      </c>
      <c r="AS41" s="79">
        <f>((($W$39)^Q41)*((1-($W$39))^($U$35-Q41))*HLOOKUP($U$35,$AV$24:$BF$34,Q41+1))*V49</f>
        <v>5.4233636075365951E-4</v>
      </c>
      <c r="AV41" s="14">
        <v>3</v>
      </c>
      <c r="AY41">
        <v>1</v>
      </c>
      <c r="AZ41">
        <v>4</v>
      </c>
      <c r="BA41">
        <v>10</v>
      </c>
      <c r="BB41">
        <v>20</v>
      </c>
      <c r="BC41">
        <f>15+20</f>
        <v>35</v>
      </c>
      <c r="BD41">
        <f>21+35</f>
        <v>56</v>
      </c>
      <c r="BE41">
        <f>28+56</f>
        <v>84</v>
      </c>
      <c r="BF41">
        <f>36+84</f>
        <v>120</v>
      </c>
      <c r="BH41">
        <f t="shared" si="31"/>
        <v>4</v>
      </c>
      <c r="BI41">
        <v>8</v>
      </c>
      <c r="BJ41" s="107">
        <f t="shared" si="32"/>
        <v>5.2742938487969098E-5</v>
      </c>
      <c r="BP41">
        <f t="shared" si="34"/>
        <v>9</v>
      </c>
      <c r="BQ41">
        <v>2</v>
      </c>
      <c r="BR41" s="107">
        <f t="shared" si="35"/>
        <v>1.4911308732389493E-6</v>
      </c>
    </row>
    <row r="42" spans="1:70" ht="15" customHeight="1" x14ac:dyDescent="0.25">
      <c r="G42" s="91">
        <v>3</v>
      </c>
      <c r="H42" s="132">
        <f>J42*L39+J41*L40+L42*J39+L41*J40</f>
        <v>0.24330030848488476</v>
      </c>
      <c r="I42" s="93">
        <v>3</v>
      </c>
      <c r="J42" s="86">
        <f t="shared" si="33"/>
        <v>0.22808214730009638</v>
      </c>
      <c r="K42" s="95">
        <v>3</v>
      </c>
      <c r="L42" s="86">
        <f>AF21</f>
        <v>1.720516998109739E-3</v>
      </c>
      <c r="M42" s="85">
        <v>3</v>
      </c>
      <c r="N42" s="71">
        <f>(($C$24)^M28)*((1-($C$24))^($B$21-M28))*HLOOKUP($B$21,$AV$24:$BF$34,M28+1)</f>
        <v>0.34306200197977804</v>
      </c>
      <c r="O42" s="72">
        <v>3</v>
      </c>
      <c r="P42" s="71">
        <f t="shared" si="36"/>
        <v>0.34306200197977804</v>
      </c>
      <c r="Q42" s="28">
        <v>3</v>
      </c>
      <c r="R42" s="37">
        <f>P42*N39+P41*N40+P40*N41+P39*N42</f>
        <v>5.8285907222028095E-2</v>
      </c>
      <c r="S42" s="72">
        <v>3</v>
      </c>
      <c r="T42" s="135">
        <f t="shared" si="37"/>
        <v>0</v>
      </c>
      <c r="U42" s="93">
        <v>3</v>
      </c>
      <c r="V42" s="86">
        <f>R42*T39+R41*T40+R40*T41+R39*T42</f>
        <v>5.7866491280477626E-2</v>
      </c>
      <c r="W42" s="137"/>
      <c r="X42" s="28">
        <v>3</v>
      </c>
      <c r="Y42" s="73"/>
      <c r="Z42" s="28">
        <v>3</v>
      </c>
      <c r="AA42" s="79"/>
      <c r="AB42" s="28">
        <v>3</v>
      </c>
      <c r="AC42" s="79"/>
      <c r="AD42" s="28">
        <v>3</v>
      </c>
      <c r="AE42" s="79">
        <f>((($W$39)^M42)*((1-($W$39))^($U$28-M42))*HLOOKUP($U$28,$AV$24:$BF$34,M42+1))*V42</f>
        <v>3.4196800455083094E-3</v>
      </c>
      <c r="AF42" s="28">
        <v>3</v>
      </c>
      <c r="AG42" s="79">
        <f>((($W$39)^M42)*((1-($W$39))^($U$29-M42))*HLOOKUP($U$29,$AV$24:$BF$34,M42+1))*V43</f>
        <v>1.9657097067996721E-2</v>
      </c>
      <c r="AH42" s="28">
        <v>3</v>
      </c>
      <c r="AI42" s="79">
        <f>((($W$39)^M42)*((1-($W$39))^($U$30-M42))*HLOOKUP($U$30,$AV$24:$BF$34,M42+1))*V44</f>
        <v>4.8449340750043791E-2</v>
      </c>
      <c r="AJ42" s="28">
        <v>3</v>
      </c>
      <c r="AK42" s="79">
        <f>((($W$39)^M42)*((1-($W$39))^($U$31-M42))*HLOOKUP($U$31,$AV$24:$BF$34,M42+1))*V45</f>
        <v>6.6392851491787627E-2</v>
      </c>
      <c r="AL42" s="28">
        <v>3</v>
      </c>
      <c r="AM42" s="79">
        <f>((($W$39)^Q42)*((1-($W$39))^($U$32-Q42))*HLOOKUP($U$32,$AV$24:$BF$34,Q42+1))*V46</f>
        <v>5.4663156974430596E-2</v>
      </c>
      <c r="AN42" s="28">
        <v>3</v>
      </c>
      <c r="AO42" s="79">
        <f>((($W$39)^Q42)*((1-($W$39))^($U$33-Q42))*HLOOKUP($U$33,$AV$24:$BF$34,Q42+1))*V47</f>
        <v>2.7076381848408385E-2</v>
      </c>
      <c r="AP42" s="28">
        <v>3</v>
      </c>
      <c r="AQ42" s="79">
        <f>((($W$39)^Q42)*((1-($W$39))^($U$34-Q42))*HLOOKUP($U$34,$AV$24:$BF$34,Q42+1))*V48</f>
        <v>7.5009001338216252E-3</v>
      </c>
      <c r="AR42" s="28">
        <v>3</v>
      </c>
      <c r="AS42" s="79">
        <f>((($W$39)^Q42)*((1-($W$39))^($U$35-Q42))*HLOOKUP($U$35,$AV$24:$BF$34,Q42+1))*V49</f>
        <v>9.2273898809935113E-4</v>
      </c>
      <c r="AV42" s="14">
        <v>4</v>
      </c>
      <c r="AZ42">
        <v>1</v>
      </c>
      <c r="BA42">
        <v>5</v>
      </c>
      <c r="BB42">
        <v>15</v>
      </c>
      <c r="BC42">
        <f>20+15</f>
        <v>35</v>
      </c>
      <c r="BD42">
        <f>35+35</f>
        <v>70</v>
      </c>
      <c r="BE42">
        <f>56+70</f>
        <v>126</v>
      </c>
      <c r="BF42">
        <f>BE41+BE42</f>
        <v>210</v>
      </c>
      <c r="BH42">
        <f t="shared" si="31"/>
        <v>4</v>
      </c>
      <c r="BI42">
        <v>9</v>
      </c>
      <c r="BJ42" s="107">
        <f t="shared" si="32"/>
        <v>6.9014189417199946E-6</v>
      </c>
      <c r="BP42">
        <f t="shared" si="34"/>
        <v>9</v>
      </c>
      <c r="BQ42">
        <v>3</v>
      </c>
      <c r="BR42" s="107">
        <f t="shared" si="35"/>
        <v>1.3171008888877764E-6</v>
      </c>
    </row>
    <row r="43" spans="1:70" ht="15" customHeight="1" x14ac:dyDescent="0.25">
      <c r="G43" s="91">
        <v>4</v>
      </c>
      <c r="H43" s="132">
        <f>J43*L39+J42*L40+J41*L41+J40*L42</f>
        <v>0.1454230726245091</v>
      </c>
      <c r="I43" s="93">
        <v>4</v>
      </c>
      <c r="J43" s="86">
        <f t="shared" si="33"/>
        <v>0.1150422274296974</v>
      </c>
      <c r="K43" s="95">
        <v>4</v>
      </c>
      <c r="L43" s="86"/>
      <c r="M43" s="85">
        <v>4</v>
      </c>
      <c r="N43" s="71">
        <f>(($C$24)^M29)*((1-($C$24))^($B$21-M29))*HLOOKUP($B$21,$AV$24:$BF$34,M29+1)</f>
        <v>0.23038998451768047</v>
      </c>
      <c r="O43" s="72">
        <v>4</v>
      </c>
      <c r="P43" s="71">
        <f t="shared" si="36"/>
        <v>0.23038998451768047</v>
      </c>
      <c r="Q43" s="28">
        <v>4</v>
      </c>
      <c r="R43" s="37">
        <f>P43*N39+P42*N40+P41*N41+P40*N42+P39*N43</f>
        <v>0.13700063588347353</v>
      </c>
      <c r="S43" s="72">
        <v>4</v>
      </c>
      <c r="T43" s="135">
        <f t="shared" si="37"/>
        <v>0</v>
      </c>
      <c r="U43" s="93">
        <v>4</v>
      </c>
      <c r="V43" s="86">
        <f>T43*R39+T42*R40+T41*R41+T40*R42+T39*R43</f>
        <v>0.13621440614823141</v>
      </c>
      <c r="W43" s="137"/>
      <c r="X43" s="28">
        <v>4</v>
      </c>
      <c r="Y43" s="73"/>
      <c r="Z43" s="28">
        <v>4</v>
      </c>
      <c r="AA43" s="79"/>
      <c r="AB43" s="28">
        <v>4</v>
      </c>
      <c r="AC43" s="79"/>
      <c r="AD43" s="28">
        <v>4</v>
      </c>
      <c r="AE43" s="79"/>
      <c r="AF43" s="28">
        <v>4</v>
      </c>
      <c r="AG43" s="79">
        <f>((($W$39)^M43)*((1-($W$39))^($U$29-M43))*HLOOKUP($U$29,$AV$24:$BF$34,M43+1))*V43</f>
        <v>3.1354566966098267E-3</v>
      </c>
      <c r="AH43" s="28">
        <v>4</v>
      </c>
      <c r="AI43" s="79">
        <f>((($W$39)^M43)*((1-($W$39))^($U$30-M43))*HLOOKUP($U$30,$AV$24:$BF$34,M43+1))*V44</f>
        <v>1.545607770827756E-2</v>
      </c>
      <c r="AJ43" s="28">
        <v>4</v>
      </c>
      <c r="AK43" s="79">
        <f>((($W$39)^M43)*((1-($W$39))^($U$31-M43))*HLOOKUP($U$31,$AV$24:$BF$34,M43+1))*V45</f>
        <v>3.1770496441593188E-2</v>
      </c>
      <c r="AL43" s="28">
        <v>4</v>
      </c>
      <c r="AM43" s="79">
        <f>((($W$39)^Q43)*((1-($W$39))^($U$32-Q43))*HLOOKUP($U$32,$AV$24:$BF$34,Q43+1))*V46</f>
        <v>3.4876759472761663E-2</v>
      </c>
      <c r="AN43" s="28">
        <v>4</v>
      </c>
      <c r="AO43" s="79">
        <f>((($W$39)^Q43)*((1-($W$39))^($U$33-Q43))*HLOOKUP($U$33,$AV$24:$BF$34,Q43+1))*V47</f>
        <v>2.1594445632762183E-2</v>
      </c>
      <c r="AP43" s="28">
        <v>4</v>
      </c>
      <c r="AQ43" s="79">
        <f>((($W$39)^Q43)*((1-($W$39))^($U$34-Q43))*HLOOKUP($U$34,$AV$24:$BF$34,Q43+1))*V48</f>
        <v>7.1787042025089967E-3</v>
      </c>
      <c r="AR43" s="28">
        <v>4</v>
      </c>
      <c r="AS43" s="79">
        <f>((($W$39)^Q43)*((1-($W$39))^($U$35-Q43))*HLOOKUP($U$35,$AV$24:$BF$34,Q43+1))*V49</f>
        <v>1.030287275183993E-3</v>
      </c>
      <c r="AV43" s="14">
        <v>5</v>
      </c>
      <c r="BA43">
        <v>1</v>
      </c>
      <c r="BB43">
        <v>6</v>
      </c>
      <c r="BC43">
        <f>15+6</f>
        <v>21</v>
      </c>
      <c r="BD43">
        <f>35+21</f>
        <v>56</v>
      </c>
      <c r="BE43">
        <f>70+56</f>
        <v>126</v>
      </c>
      <c r="BF43">
        <f t="shared" ref="BF43:BF48" si="38">BE42+BE43</f>
        <v>252</v>
      </c>
      <c r="BH43">
        <f t="shared" si="31"/>
        <v>4</v>
      </c>
      <c r="BI43">
        <v>10</v>
      </c>
      <c r="BJ43" s="107">
        <f t="shared" si="32"/>
        <v>6.577504609868396E-7</v>
      </c>
      <c r="BP43">
        <f t="shared" si="34"/>
        <v>9</v>
      </c>
      <c r="BQ43">
        <v>4</v>
      </c>
      <c r="BR43" s="107">
        <f t="shared" si="35"/>
        <v>7.8724461720290824E-7</v>
      </c>
    </row>
    <row r="44" spans="1:70" ht="15" customHeight="1" thickBot="1" x14ac:dyDescent="0.3">
      <c r="G44" s="91">
        <v>5</v>
      </c>
      <c r="H44" s="132">
        <f>J44*L39+J43*L40+J42*L41+J41*L42</f>
        <v>6.2134159523416999E-2</v>
      </c>
      <c r="I44" s="93">
        <v>5</v>
      </c>
      <c r="J44" s="86">
        <f t="shared" si="33"/>
        <v>3.9823357520835309E-2</v>
      </c>
      <c r="K44" s="95">
        <v>5</v>
      </c>
      <c r="L44" s="86"/>
      <c r="M44" s="85">
        <v>5</v>
      </c>
      <c r="N44" s="71">
        <f>(($C$24)^M30)*((1-($C$24))^($B$21-M30))*HLOOKUP($B$21,$AV$24:$BF$34,M30+1)</f>
        <v>6.1889156665255927E-2</v>
      </c>
      <c r="O44" s="72">
        <v>5</v>
      </c>
      <c r="P44" s="71">
        <f t="shared" si="36"/>
        <v>6.1889156665255927E-2</v>
      </c>
      <c r="Q44" s="28">
        <v>5</v>
      </c>
      <c r="R44" s="37">
        <f>P44*N39+P43*N40+P42*N41+P41*N42+P40*N43+P39*N44</f>
        <v>0.2208130835682563</v>
      </c>
      <c r="S44" s="72">
        <v>5</v>
      </c>
      <c r="T44" s="135">
        <f t="shared" si="37"/>
        <v>0</v>
      </c>
      <c r="U44" s="93">
        <v>5</v>
      </c>
      <c r="V44" s="86">
        <f>T44*R39+T43*R40+T42*R41+T41*R42+T40*R43+T39*R44</f>
        <v>0.21997508653438405</v>
      </c>
      <c r="W44" s="137"/>
      <c r="X44" s="28">
        <v>5</v>
      </c>
      <c r="Y44" s="73"/>
      <c r="Z44" s="28">
        <v>5</v>
      </c>
      <c r="AA44" s="79"/>
      <c r="AB44" s="28">
        <v>5</v>
      </c>
      <c r="AC44" s="79"/>
      <c r="AD44" s="28">
        <v>5</v>
      </c>
      <c r="AE44" s="79"/>
      <c r="AF44" s="28">
        <v>5</v>
      </c>
      <c r="AG44" s="79"/>
      <c r="AH44" s="28">
        <v>5</v>
      </c>
      <c r="AI44" s="79">
        <f>((($W$39)^M44)*((1-($W$39))^($U$30-M44))*HLOOKUP($U$30,$AV$24:$BF$34,M44+1))*V44</f>
        <v>1.9722896900230672E-3</v>
      </c>
      <c r="AJ44" s="28">
        <v>5</v>
      </c>
      <c r="AK44" s="79">
        <f>((($W$39)^M44)*((1-($W$39))^($U$31-M44))*HLOOKUP($U$31,$AV$24:$BF$34,M44+1))*V45</f>
        <v>8.1082178494885082E-3</v>
      </c>
      <c r="AL44" s="28">
        <v>5</v>
      </c>
      <c r="AM44" s="79">
        <f>((($W$39)^Q44)*((1-($W$39))^($U$32-Q44))*HLOOKUP($U$32,$AV$24:$BF$34,Q44+1))*V46</f>
        <v>1.3351461042286879E-2</v>
      </c>
      <c r="AN44" s="28">
        <v>5</v>
      </c>
      <c r="AO44" s="79">
        <f>((($W$39)^Q44)*((1-($W$39))^($U$33-Q44))*HLOOKUP($U$33,$AV$24:$BF$34,Q44+1))*V47</f>
        <v>1.1022331353950428E-2</v>
      </c>
      <c r="AP44" s="28">
        <v>5</v>
      </c>
      <c r="AQ44" s="79">
        <f>((($W$39)^Q44)*((1-($W$39))^($U$34-Q44))*HLOOKUP($U$34,$AV$24:$BF$34,Q44+1))*V48</f>
        <v>4.580231981737232E-3</v>
      </c>
      <c r="AR44" s="28">
        <v>5</v>
      </c>
      <c r="AS44" s="79">
        <f>((($W$39)^Q44)*((1-($W$39))^($U$35-Q44))*HLOOKUP($U$35,$AV$24:$BF$34,Q44+1))*V49</f>
        <v>7.8882560334919477E-4</v>
      </c>
      <c r="AV44" s="29">
        <v>6</v>
      </c>
      <c r="BB44">
        <v>1</v>
      </c>
      <c r="BC44">
        <v>7</v>
      </c>
      <c r="BD44">
        <f>28</f>
        <v>28</v>
      </c>
      <c r="BE44">
        <f>56+28</f>
        <v>84</v>
      </c>
      <c r="BF44">
        <f t="shared" si="38"/>
        <v>210</v>
      </c>
      <c r="BH44">
        <f>BH39+1</f>
        <v>5</v>
      </c>
      <c r="BI44">
        <v>6</v>
      </c>
      <c r="BJ44" s="107">
        <f>$H$30*H45</f>
        <v>3.5488659726808173E-4</v>
      </c>
      <c r="BP44">
        <f t="shared" si="34"/>
        <v>9</v>
      </c>
      <c r="BQ44">
        <v>5</v>
      </c>
      <c r="BR44" s="107">
        <f t="shared" si="35"/>
        <v>3.3636191112216208E-7</v>
      </c>
    </row>
    <row r="45" spans="1:70" ht="15" customHeight="1" thickBot="1" x14ac:dyDescent="0.3">
      <c r="A45" s="112" t="s">
        <v>108</v>
      </c>
      <c r="B45" s="112" t="s">
        <v>109</v>
      </c>
      <c r="C45" s="112" t="s">
        <v>110</v>
      </c>
      <c r="D45" s="112" t="s">
        <v>111</v>
      </c>
      <c r="E45" s="112" t="s">
        <v>23</v>
      </c>
      <c r="G45" s="91">
        <v>6</v>
      </c>
      <c r="H45" s="132">
        <f>J45*L39+J44*L40+J43*L41+J42*L42</f>
        <v>1.9542410342318937E-2</v>
      </c>
      <c r="I45" s="93">
        <v>6</v>
      </c>
      <c r="J45" s="86">
        <f t="shared" si="33"/>
        <v>9.5856835683731014E-3</v>
      </c>
      <c r="K45" s="95">
        <v>6</v>
      </c>
      <c r="L45" s="86"/>
      <c r="M45" s="85"/>
      <c r="N45" s="37"/>
      <c r="O45" s="37"/>
      <c r="P45" s="37"/>
      <c r="Q45" s="28">
        <v>6</v>
      </c>
      <c r="R45" s="37">
        <f>P44*N40+P43*N41+P42*N42+P41*N43+P40*N44</f>
        <v>0.24715222812498383</v>
      </c>
      <c r="S45" s="70">
        <v>6</v>
      </c>
      <c r="T45" s="135">
        <f t="shared" si="37"/>
        <v>0</v>
      </c>
      <c r="U45" s="93">
        <v>6</v>
      </c>
      <c r="V45" s="86">
        <f>T45*R39+T44*R40+T43*R41+T42*R42+T41*R43+T40*R44+T39*R45</f>
        <v>0.24688739984683838</v>
      </c>
      <c r="W45" s="137"/>
      <c r="X45" s="28">
        <v>6</v>
      </c>
      <c r="Y45" s="73"/>
      <c r="Z45" s="28">
        <v>6</v>
      </c>
      <c r="AA45" s="79"/>
      <c r="AB45" s="28">
        <v>6</v>
      </c>
      <c r="AC45" s="79"/>
      <c r="AD45" s="28">
        <v>6</v>
      </c>
      <c r="AE45" s="79"/>
      <c r="AF45" s="28">
        <v>6</v>
      </c>
      <c r="AG45" s="79"/>
      <c r="AH45" s="28">
        <v>6</v>
      </c>
      <c r="AI45" s="79"/>
      <c r="AJ45" s="28">
        <v>6</v>
      </c>
      <c r="AK45" s="79">
        <f>((($W$39)^Q45)*((1-($W$39))^($U$31-Q45))*HLOOKUP($U$31,$AV$24:$BF$34,Q45+1))*V45</f>
        <v>8.6221500105223691E-4</v>
      </c>
      <c r="AL45" s="28">
        <v>6</v>
      </c>
      <c r="AM45" s="79">
        <f>((($W$39)^Q45)*((1-($W$39))^($U$32-Q45))*HLOOKUP($U$32,$AV$24:$BF$34,Q45+1))*V46</f>
        <v>2.8395462998938741E-3</v>
      </c>
      <c r="AN45" s="28">
        <v>6</v>
      </c>
      <c r="AO45" s="79">
        <f>((($W$39)^Q45)*((1-($W$39))^($U$33-Q45))*HLOOKUP($U$33,$AV$24:$BF$34,Q45+1))*V47</f>
        <v>3.5162916005805106E-3</v>
      </c>
      <c r="AP45" s="28">
        <v>6</v>
      </c>
      <c r="AQ45" s="79">
        <f>((($W$39)^Q45)*((1-($W$39))^($U$34-Q45))*HLOOKUP($U$34,$AV$24:$BF$34,Q45+1))*V48</f>
        <v>1.9482183613022588E-3</v>
      </c>
      <c r="AR45" s="28">
        <v>6</v>
      </c>
      <c r="AS45" s="79">
        <f>((($W$39)^Q45)*((1-($W$39))^($U$35-Q45))*HLOOKUP($U$35,$AV$24:$BF$34,Q45+1))*V49</f>
        <v>4.1941230554422173E-4</v>
      </c>
      <c r="AV45" s="14">
        <v>7</v>
      </c>
      <c r="BC45">
        <v>1</v>
      </c>
      <c r="BD45">
        <v>8</v>
      </c>
      <c r="BE45">
        <f>28+8</f>
        <v>36</v>
      </c>
      <c r="BF45">
        <f t="shared" si="38"/>
        <v>120</v>
      </c>
      <c r="BH45">
        <f>BH40+1</f>
        <v>5</v>
      </c>
      <c r="BI45">
        <v>7</v>
      </c>
      <c r="BJ45" s="107">
        <f>$H$30*H46</f>
        <v>8.3347710446626347E-5</v>
      </c>
      <c r="BP45">
        <f t="shared" si="34"/>
        <v>9</v>
      </c>
      <c r="BQ45">
        <v>6</v>
      </c>
      <c r="BR45" s="107">
        <f t="shared" si="35"/>
        <v>1.0579241018297774E-7</v>
      </c>
    </row>
    <row r="46" spans="1:70" ht="15" customHeight="1" thickBot="1" x14ac:dyDescent="0.3">
      <c r="A46" s="113" t="s">
        <v>112</v>
      </c>
      <c r="B46" s="113" t="s">
        <v>21</v>
      </c>
      <c r="C46" s="113" t="s">
        <v>113</v>
      </c>
      <c r="D46" s="113" t="s">
        <v>114</v>
      </c>
      <c r="E46" s="113" t="s">
        <v>115</v>
      </c>
      <c r="G46" s="91">
        <v>7</v>
      </c>
      <c r="H46" s="132">
        <f>J46*L39+J45*L40+J44*L41+J43*L42</f>
        <v>4.5896778609825772E-3</v>
      </c>
      <c r="I46" s="93">
        <v>7</v>
      </c>
      <c r="J46" s="86">
        <f t="shared" si="33"/>
        <v>1.585454099080246E-3</v>
      </c>
      <c r="K46" s="95">
        <v>7</v>
      </c>
      <c r="L46" s="86"/>
      <c r="M46" s="85"/>
      <c r="N46" s="37"/>
      <c r="O46" s="37"/>
      <c r="P46" s="37"/>
      <c r="Q46" s="28">
        <v>7</v>
      </c>
      <c r="R46" s="37">
        <f>P44*N41+P43*N42+P42*N43+P41*N44</f>
        <v>0.18969131837934131</v>
      </c>
      <c r="S46" s="72">
        <v>7</v>
      </c>
      <c r="T46" s="135">
        <f t="shared" si="37"/>
        <v>0</v>
      </c>
      <c r="U46" s="93">
        <v>7</v>
      </c>
      <c r="V46" s="86">
        <f>T46*R39+T45*R40+T44*R41+T43*R42+T42*R43+T41*R44+T40*R45+T39*R46</f>
        <v>0.19026383247544018</v>
      </c>
      <c r="W46" s="137"/>
      <c r="X46" s="28">
        <v>7</v>
      </c>
      <c r="Y46" s="73"/>
      <c r="Z46" s="28">
        <v>7</v>
      </c>
      <c r="AA46" s="79"/>
      <c r="AB46" s="28">
        <v>7</v>
      </c>
      <c r="AC46" s="79"/>
      <c r="AD46" s="28">
        <v>7</v>
      </c>
      <c r="AE46" s="79"/>
      <c r="AF46" s="28">
        <v>7</v>
      </c>
      <c r="AG46" s="79"/>
      <c r="AH46" s="28">
        <v>7</v>
      </c>
      <c r="AI46" s="79"/>
      <c r="AJ46" s="28">
        <v>7</v>
      </c>
      <c r="AK46" s="79"/>
      <c r="AL46" s="28">
        <v>7</v>
      </c>
      <c r="AM46" s="79">
        <f>((($W$39)^Q46)*((1-($W$39))^($U$32-Q46))*HLOOKUP($U$32,$AV$24:$BF$34,Q46+1))*V46</f>
        <v>2.588167209470946E-4</v>
      </c>
      <c r="AN46" s="28">
        <v>7</v>
      </c>
      <c r="AO46" s="79">
        <f>((($W$39)^Q46)*((1-($W$39))^($U$33-Q46))*HLOOKUP($U$33,$AV$24:$BF$34,Q46+1))*V47</f>
        <v>6.4100033303917021E-4</v>
      </c>
      <c r="AP46" s="28">
        <v>7</v>
      </c>
      <c r="AQ46" s="79">
        <f>((($W$39)^Q46)*((1-($W$39))^($U$34-Q46))*HLOOKUP($U$34,$AV$24:$BF$34,Q46+1))*V48</f>
        <v>5.3272400028837484E-4</v>
      </c>
      <c r="AR46" s="28">
        <v>7</v>
      </c>
      <c r="AS46" s="79">
        <f>((($W$39)^Q46)*((1-($W$39))^($U$35-Q46))*HLOOKUP($U$35,$AV$24:$BF$34,Q46+1))*V49</f>
        <v>1.5291304480560632E-4</v>
      </c>
      <c r="AV46" s="14">
        <v>8</v>
      </c>
      <c r="BD46">
        <v>1</v>
      </c>
      <c r="BE46">
        <v>9</v>
      </c>
      <c r="BF46">
        <f t="shared" si="38"/>
        <v>45</v>
      </c>
      <c r="BH46">
        <f>BH41+1</f>
        <v>5</v>
      </c>
      <c r="BI46">
        <v>8</v>
      </c>
      <c r="BJ46" s="107">
        <f>$H$30*H47</f>
        <v>1.4664312142311134E-5</v>
      </c>
      <c r="BP46">
        <f t="shared" si="34"/>
        <v>9</v>
      </c>
      <c r="BQ46">
        <v>7</v>
      </c>
      <c r="BR46" s="107">
        <f t="shared" si="35"/>
        <v>2.4846120533317187E-8</v>
      </c>
    </row>
    <row r="47" spans="1:70" ht="15" customHeight="1" thickBot="1" x14ac:dyDescent="0.3">
      <c r="A47" s="113" t="s">
        <v>116</v>
      </c>
      <c r="B47" s="113" t="s">
        <v>21</v>
      </c>
      <c r="C47" s="113" t="s">
        <v>117</v>
      </c>
      <c r="D47" s="113" t="s">
        <v>118</v>
      </c>
      <c r="E47" s="113" t="s">
        <v>115</v>
      </c>
      <c r="G47" s="91">
        <v>8</v>
      </c>
      <c r="H47" s="132">
        <f>J47*L39+J46*L40+J45*L41+J44*L42</f>
        <v>8.0751430873681157E-4</v>
      </c>
      <c r="I47" s="93">
        <v>8</v>
      </c>
      <c r="J47" s="86">
        <f t="shared" si="33"/>
        <v>1.7268194592963838E-4</v>
      </c>
      <c r="K47" s="95">
        <v>8</v>
      </c>
      <c r="L47" s="86"/>
      <c r="M47" s="85"/>
      <c r="N47" s="37"/>
      <c r="O47" s="37"/>
      <c r="P47" s="37"/>
      <c r="Q47" s="28">
        <v>8</v>
      </c>
      <c r="R47" s="37">
        <f>P44*N42+P43*N43+P42*N44</f>
        <v>9.5543180938902683E-2</v>
      </c>
      <c r="S47" s="72">
        <v>8</v>
      </c>
      <c r="T47" s="135">
        <f t="shared" si="37"/>
        <v>0</v>
      </c>
      <c r="U47" s="93">
        <v>8</v>
      </c>
      <c r="V47" s="86">
        <f>T47*R39+T46*R40+T45*R41+T44*R42+T43*R43+T42*R44+T41*R45+T40*R46+T39*R47</f>
        <v>9.6483745132614707E-2</v>
      </c>
      <c r="W47" s="137"/>
      <c r="X47" s="28">
        <v>8</v>
      </c>
      <c r="Y47" s="73"/>
      <c r="Z47" s="28">
        <v>8</v>
      </c>
      <c r="AA47" s="79"/>
      <c r="AB47" s="28">
        <v>8</v>
      </c>
      <c r="AC47" s="79"/>
      <c r="AD47" s="28">
        <v>8</v>
      </c>
      <c r="AE47" s="79"/>
      <c r="AF47" s="28">
        <v>8</v>
      </c>
      <c r="AG47" s="79"/>
      <c r="AH47" s="28">
        <v>8</v>
      </c>
      <c r="AI47" s="79"/>
      <c r="AJ47" s="28">
        <v>8</v>
      </c>
      <c r="AK47" s="79"/>
      <c r="AL47" s="28">
        <v>8</v>
      </c>
      <c r="AM47" s="79"/>
      <c r="AN47" s="28">
        <v>8</v>
      </c>
      <c r="AO47" s="79">
        <f>((($W$39)^Q47)*((1-($W$39))^($U$33-Q47))*HLOOKUP($U$33,$AV$24:$BF$34,Q47+1))*V47</f>
        <v>5.1122217583921701E-5</v>
      </c>
      <c r="AP47" s="28">
        <v>8</v>
      </c>
      <c r="AQ47" s="79">
        <f>((($W$39)^Q47)*((1-($W$39))^($U$34-Q47))*HLOOKUP($U$34,$AV$24:$BF$34,Q47+1))*V48</f>
        <v>8.4973535429521373E-5</v>
      </c>
      <c r="AR47" s="28">
        <v>8</v>
      </c>
      <c r="AS47" s="79">
        <f>((($W$39)^Q47)*((1-($W$39))^($U$35-Q47))*HLOOKUP($U$35,$AV$24:$BF$34,Q47+1))*V49</f>
        <v>3.6586192916195312E-5</v>
      </c>
      <c r="AV47" s="29">
        <v>9</v>
      </c>
      <c r="BE47">
        <v>1</v>
      </c>
      <c r="BF47">
        <f t="shared" si="38"/>
        <v>10</v>
      </c>
      <c r="BH47">
        <f>BH42+1</f>
        <v>5</v>
      </c>
      <c r="BI47">
        <v>9</v>
      </c>
      <c r="BJ47" s="107">
        <f>$H$30*H48</f>
        <v>1.9188267564827806E-6</v>
      </c>
      <c r="BP47">
        <f>BL12+1</f>
        <v>9</v>
      </c>
      <c r="BQ47">
        <v>8</v>
      </c>
      <c r="BR47" s="107">
        <f t="shared" si="35"/>
        <v>4.3714610164291201E-9</v>
      </c>
    </row>
    <row r="48" spans="1:70" ht="15" customHeight="1" thickBot="1" x14ac:dyDescent="0.3">
      <c r="A48" s="114" t="s">
        <v>112</v>
      </c>
      <c r="B48" s="114" t="s">
        <v>119</v>
      </c>
      <c r="C48" s="114" t="s">
        <v>117</v>
      </c>
      <c r="D48" s="115" t="s">
        <v>120</v>
      </c>
      <c r="E48" s="114" t="s">
        <v>115</v>
      </c>
      <c r="G48" s="91">
        <v>9</v>
      </c>
      <c r="H48" s="132">
        <f>J48*L39+J47*L40+J46*L41+J45*L42</f>
        <v>1.0566333059538167E-4</v>
      </c>
      <c r="I48" s="93">
        <v>9</v>
      </c>
      <c r="J48" s="86">
        <f t="shared" si="33"/>
        <v>1.1211323967723943E-5</v>
      </c>
      <c r="K48" s="95">
        <v>9</v>
      </c>
      <c r="L48" s="86"/>
      <c r="M48" s="85"/>
      <c r="N48" s="37"/>
      <c r="O48" s="37"/>
      <c r="P48" s="37"/>
      <c r="Q48" s="28">
        <v>9</v>
      </c>
      <c r="R48" s="37">
        <f>P44*N43+P43*N44</f>
        <v>2.8517283691841228E-2</v>
      </c>
      <c r="S48" s="72">
        <v>9</v>
      </c>
      <c r="T48" s="135">
        <f t="shared" si="37"/>
        <v>0</v>
      </c>
      <c r="U48" s="93">
        <v>9</v>
      </c>
      <c r="V48" s="86">
        <f>T48*R39+T47*R40+T46*R41+T45*R42+T44*R43+T43*R44+T42*R45+T41*R46+T40*R47+T39*R48</f>
        <v>2.9188220720316679E-2</v>
      </c>
      <c r="W48" s="137"/>
      <c r="X48" s="28">
        <v>9</v>
      </c>
      <c r="Y48" s="73"/>
      <c r="Z48" s="28">
        <v>9</v>
      </c>
      <c r="AA48" s="79"/>
      <c r="AB48" s="28">
        <v>9</v>
      </c>
      <c r="AC48" s="79"/>
      <c r="AD48" s="28">
        <v>9</v>
      </c>
      <c r="AE48" s="79"/>
      <c r="AF48" s="28">
        <v>9</v>
      </c>
      <c r="AG48" s="79"/>
      <c r="AH48" s="28">
        <v>9</v>
      </c>
      <c r="AI48" s="79"/>
      <c r="AJ48" s="28">
        <v>9</v>
      </c>
      <c r="AK48" s="79"/>
      <c r="AL48" s="28">
        <v>9</v>
      </c>
      <c r="AM48" s="79"/>
      <c r="AN48" s="28">
        <v>9</v>
      </c>
      <c r="AO48" s="79"/>
      <c r="AP48" s="28">
        <v>9</v>
      </c>
      <c r="AQ48" s="79">
        <f>((($W$39)^Q48)*((1-($W$39))^($U$34-Q48))*HLOOKUP($U$34,$AV$24:$BF$34,Q48+1))*V48</f>
        <v>6.0239671487036541E-6</v>
      </c>
      <c r="AR48" s="28">
        <v>9</v>
      </c>
      <c r="AS48" s="79">
        <f>((($W$39)^Q48)*((1-($W$39))^($U$35-Q48))*HLOOKUP($U$35,$AV$24:$BF$34,Q48+1))*V49</f>
        <v>5.1873568190202897E-6</v>
      </c>
      <c r="AV48" s="14">
        <v>10</v>
      </c>
      <c r="BF48">
        <f t="shared" si="38"/>
        <v>1</v>
      </c>
      <c r="BH48">
        <f>BH43+1</f>
        <v>5</v>
      </c>
      <c r="BI48">
        <v>10</v>
      </c>
      <c r="BJ48" s="107">
        <f>$H$30*H49</f>
        <v>1.8287676697915169E-7</v>
      </c>
    </row>
    <row r="49" spans="1:62" ht="15" customHeight="1" thickBot="1" x14ac:dyDescent="0.3">
      <c r="A49" s="114" t="s">
        <v>116</v>
      </c>
      <c r="B49" s="114" t="s">
        <v>119</v>
      </c>
      <c r="C49" s="114" t="s">
        <v>113</v>
      </c>
      <c r="D49" s="114" t="s">
        <v>121</v>
      </c>
      <c r="E49" s="114" t="s">
        <v>122</v>
      </c>
      <c r="G49" s="92">
        <v>10</v>
      </c>
      <c r="H49" s="133">
        <f>J49*L39+J48*L40+J47*L41+J46*L42</f>
        <v>1.0070407983549551E-5</v>
      </c>
      <c r="I49" s="94">
        <v>10</v>
      </c>
      <c r="J49" s="89">
        <f t="shared" si="33"/>
        <v>3.3096916843091875E-7</v>
      </c>
      <c r="K49" s="96">
        <v>10</v>
      </c>
      <c r="L49" s="89"/>
      <c r="M49" s="85"/>
      <c r="N49" s="37"/>
      <c r="O49" s="37"/>
      <c r="P49" s="37"/>
      <c r="Q49" s="28">
        <v>10</v>
      </c>
      <c r="R49" s="37">
        <f>P44*N44</f>
        <v>3.830267712736592E-3</v>
      </c>
      <c r="S49" s="72">
        <v>10</v>
      </c>
      <c r="T49" s="135">
        <f t="shared" si="37"/>
        <v>0</v>
      </c>
      <c r="U49" s="94">
        <v>10</v>
      </c>
      <c r="V49" s="89">
        <f>IF(((T49*R39+T48*R40+T47*R41+T46*R42+T45*R43+T44*R44+T43*R45+T42*R46+T41*R47+T40*R48+T39*R49)+V37)&lt;&gt;1,1-V37,(T49*R39+T48*R40+T47*R41+T46*R42+T45*R43+T44*R44+T43*R45+T42*R46+T41*R47+T40*R48+T39*R49))</f>
        <v>4.1171161970859904E-3</v>
      </c>
      <c r="W49" s="137"/>
      <c r="X49" s="28">
        <v>10</v>
      </c>
      <c r="Y49" s="73"/>
      <c r="Z49" s="28">
        <v>10</v>
      </c>
      <c r="AA49" s="79"/>
      <c r="AB49" s="28">
        <v>10</v>
      </c>
      <c r="AC49" s="79"/>
      <c r="AD49" s="28">
        <v>10</v>
      </c>
      <c r="AE49" s="79"/>
      <c r="AF49" s="28">
        <v>10</v>
      </c>
      <c r="AG49" s="79"/>
      <c r="AH49" s="28">
        <v>10</v>
      </c>
      <c r="AI49" s="79"/>
      <c r="AJ49" s="28">
        <v>10</v>
      </c>
      <c r="AK49" s="79"/>
      <c r="AL49" s="28">
        <v>10</v>
      </c>
      <c r="AM49" s="79"/>
      <c r="AN49" s="28">
        <v>10</v>
      </c>
      <c r="AO49" s="79"/>
      <c r="AP49" s="28">
        <v>10</v>
      </c>
      <c r="AQ49" s="79"/>
      <c r="AR49" s="28">
        <v>10</v>
      </c>
      <c r="AS49" s="79">
        <f>((($W$39)^Q49)*((1-($W$39))^($U$35-Q49))*HLOOKUP($U$35,$AV$24:$BF$34,Q49+1))*V49</f>
        <v>3.3096916843091875E-7</v>
      </c>
      <c r="BH49">
        <f>BP14+1</f>
        <v>6</v>
      </c>
      <c r="BI49">
        <v>0</v>
      </c>
      <c r="BJ49" s="107">
        <f>$H$31*H39</f>
        <v>2.2075843092514172E-4</v>
      </c>
    </row>
    <row r="50" spans="1:62" ht="15.75" thickBot="1" x14ac:dyDescent="0.3">
      <c r="A50" s="116" t="s">
        <v>112</v>
      </c>
      <c r="B50" s="116" t="s">
        <v>123</v>
      </c>
      <c r="C50" s="116" t="s">
        <v>113</v>
      </c>
      <c r="D50" s="116" t="s">
        <v>124</v>
      </c>
      <c r="E50" s="116" t="s">
        <v>115</v>
      </c>
      <c r="G50" s="76"/>
      <c r="H50" s="77"/>
      <c r="I50" s="33"/>
      <c r="J50" s="33"/>
      <c r="K50" s="77"/>
      <c r="L50" s="77"/>
      <c r="M50" s="31"/>
      <c r="N50" s="31"/>
      <c r="O50" s="32"/>
      <c r="P50" s="32"/>
      <c r="Q50" s="32"/>
      <c r="R50" s="32"/>
      <c r="S50" s="76"/>
      <c r="T50" s="76"/>
      <c r="U50" s="76"/>
      <c r="V50" s="77"/>
      <c r="W50" s="33"/>
      <c r="X50" s="13"/>
      <c r="Y50" s="13"/>
      <c r="BH50">
        <f>BH45+1</f>
        <v>6</v>
      </c>
      <c r="BI50">
        <v>7</v>
      </c>
      <c r="BJ50" s="107">
        <f>$H$31*H46</f>
        <v>1.7028194490303986E-5</v>
      </c>
    </row>
    <row r="51" spans="1:62" ht="15.75" thickBot="1" x14ac:dyDescent="0.3">
      <c r="A51" s="116" t="s">
        <v>116</v>
      </c>
      <c r="B51" s="116" t="s">
        <v>123</v>
      </c>
      <c r="C51" s="116" t="s">
        <v>113</v>
      </c>
      <c r="D51" s="116" t="s">
        <v>125</v>
      </c>
      <c r="E51" s="116" t="s">
        <v>122</v>
      </c>
      <c r="BH51">
        <f>BH46+1</f>
        <v>6</v>
      </c>
      <c r="BI51">
        <v>8</v>
      </c>
      <c r="BJ51" s="107">
        <f>$H$31*H47</f>
        <v>2.9959642309035693E-6</v>
      </c>
    </row>
    <row r="52" spans="1:62" x14ac:dyDescent="0.25">
      <c r="H52" s="107"/>
      <c r="BH52">
        <f>BH47+1</f>
        <v>6</v>
      </c>
      <c r="BI52">
        <v>9</v>
      </c>
      <c r="BJ52" s="107">
        <f>$H$31*H48</f>
        <v>3.9202222865511844E-7</v>
      </c>
    </row>
    <row r="53" spans="1:62" x14ac:dyDescent="0.25">
      <c r="BH53">
        <f>BH48+1</f>
        <v>6</v>
      </c>
      <c r="BI53">
        <v>10</v>
      </c>
      <c r="BJ53" s="107">
        <f>$H$31*H49</f>
        <v>3.7362287928390769E-8</v>
      </c>
    </row>
    <row r="54" spans="1:62" x14ac:dyDescent="0.25">
      <c r="BH54">
        <f>BH51+1</f>
        <v>7</v>
      </c>
      <c r="BI54">
        <v>8</v>
      </c>
      <c r="BJ54" s="107">
        <f>$H$32*H47</f>
        <v>4.5602894917266877E-7</v>
      </c>
    </row>
    <row r="55" spans="1:62" x14ac:dyDescent="0.25">
      <c r="BH55">
        <f>BH52+1</f>
        <v>7</v>
      </c>
      <c r="BI55">
        <v>9</v>
      </c>
      <c r="BJ55" s="107">
        <f>$H$32*H48</f>
        <v>5.9671435039798209E-8</v>
      </c>
    </row>
    <row r="56" spans="1:62" x14ac:dyDescent="0.25">
      <c r="BH56">
        <f>BH53+1</f>
        <v>7</v>
      </c>
      <c r="BI56">
        <v>10</v>
      </c>
      <c r="BJ56" s="107">
        <f>$H$32*H49</f>
        <v>5.6870788799544717E-9</v>
      </c>
    </row>
    <row r="57" spans="1:62" x14ac:dyDescent="0.25">
      <c r="BH57">
        <f>BH55+1</f>
        <v>8</v>
      </c>
      <c r="BI57">
        <v>9</v>
      </c>
      <c r="BJ57" s="107">
        <f>$H$33*H48</f>
        <v>6.7855927713792716E-9</v>
      </c>
    </row>
    <row r="58" spans="1:62" x14ac:dyDescent="0.25">
      <c r="BH58">
        <f>BH56+1</f>
        <v>8</v>
      </c>
      <c r="BI58">
        <v>10</v>
      </c>
      <c r="BJ58" s="107">
        <f>$H$33*H49</f>
        <v>6.467114677625036E-10</v>
      </c>
    </row>
    <row r="59" spans="1:62" x14ac:dyDescent="0.25">
      <c r="BH59">
        <f t="shared" ref="BH59" si="39">BH58+1</f>
        <v>9</v>
      </c>
      <c r="BI59">
        <v>10</v>
      </c>
      <c r="BJ59" s="107">
        <f>$H$34*H49</f>
        <v>5.4515932960355024E-11</v>
      </c>
    </row>
  </sheetData>
  <mergeCells count="2">
    <mergeCell ref="P1:Q1"/>
    <mergeCell ref="B3:C3"/>
  </mergeCells>
  <conditionalFormatting sqref="V25:V35 V39:V49">
    <cfRule type="cellIs" dxfId="27" priority="14" operator="greaterThan">
      <formula>0.15</formula>
    </cfRule>
  </conditionalFormatting>
  <conditionalFormatting sqref="V35">
    <cfRule type="cellIs" dxfId="26" priority="13" operator="greaterThan">
      <formula>0.15</formula>
    </cfRule>
  </conditionalFormatting>
  <conditionalFormatting sqref="V49">
    <cfRule type="cellIs" dxfId="25" priority="12" operator="greaterThan">
      <formula>0.15</formula>
    </cfRule>
  </conditionalFormatting>
  <conditionalFormatting sqref="V25:V35 V39:V49">
    <cfRule type="cellIs" dxfId="24" priority="11" operator="greaterThan">
      <formula>0.15</formula>
    </cfRule>
  </conditionalFormatting>
  <conditionalFormatting sqref="V35">
    <cfRule type="cellIs" dxfId="23" priority="10" operator="greaterThan">
      <formula>0.15</formula>
    </cfRule>
  </conditionalFormatting>
  <conditionalFormatting sqref="V49">
    <cfRule type="cellIs" dxfId="22" priority="9" operator="greaterThan">
      <formula>0.15</formula>
    </cfRule>
  </conditionalFormatting>
  <conditionalFormatting sqref="H25:H35">
    <cfRule type="cellIs" dxfId="21" priority="8" operator="greaterThan">
      <formula>0.15</formula>
    </cfRule>
  </conditionalFormatting>
  <conditionalFormatting sqref="H35">
    <cfRule type="cellIs" dxfId="20" priority="7" operator="greaterThan">
      <formula>0.15</formula>
    </cfRule>
  </conditionalFormatting>
  <conditionalFormatting sqref="H25:H35">
    <cfRule type="cellIs" dxfId="19" priority="6" operator="greaterThan">
      <formula>0.15</formula>
    </cfRule>
  </conditionalFormatting>
  <conditionalFormatting sqref="H35">
    <cfRule type="cellIs" dxfId="18" priority="5" operator="greaterThan">
      <formula>0.15</formula>
    </cfRule>
  </conditionalFormatting>
  <conditionalFormatting sqref="H39:H49">
    <cfRule type="cellIs" dxfId="17" priority="4" operator="greaterThan">
      <formula>0.15</formula>
    </cfRule>
  </conditionalFormatting>
  <conditionalFormatting sqref="H49">
    <cfRule type="cellIs" dxfId="16" priority="3" operator="greaterThan">
      <formula>0.15</formula>
    </cfRule>
  </conditionalFormatting>
  <conditionalFormatting sqref="H39:H49">
    <cfRule type="cellIs" dxfId="15" priority="2" operator="greaterThan">
      <formula>0.15</formula>
    </cfRule>
  </conditionalFormatting>
  <conditionalFormatting sqref="H49">
    <cfRule type="cellIs" dxfId="14" priority="1" operator="greaterThan">
      <formula>0.15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BR59"/>
  <sheetViews>
    <sheetView topLeftCell="A4" zoomScale="80" zoomScaleNormal="80" workbookViewId="0">
      <selection activeCell="C5" sqref="C5"/>
    </sheetView>
  </sheetViews>
  <sheetFormatPr baseColWidth="10" defaultColWidth="9.140625" defaultRowHeight="15" x14ac:dyDescent="0.25"/>
  <cols>
    <col min="1" max="1" width="22.7109375" bestFit="1" customWidth="1"/>
    <col min="2" max="3" width="9.140625" bestFit="1" customWidth="1"/>
    <col min="4" max="4" width="11.28515625" bestFit="1" customWidth="1"/>
    <col min="5" max="5" width="10.140625" bestFit="1" customWidth="1"/>
    <col min="6" max="6" width="4.85546875" bestFit="1" customWidth="1"/>
    <col min="7" max="7" width="6" bestFit="1" customWidth="1"/>
    <col min="8" max="8" width="9.140625" bestFit="1" customWidth="1"/>
    <col min="9" max="9" width="4.42578125" bestFit="1" customWidth="1"/>
    <col min="10" max="10" width="9.140625" bestFit="1" customWidth="1"/>
    <col min="11" max="11" width="6" bestFit="1" customWidth="1"/>
    <col min="12" max="12" width="9.140625" bestFit="1" customWidth="1"/>
    <col min="13" max="13" width="5.7109375" bestFit="1" customWidth="1"/>
    <col min="14" max="14" width="9.140625" bestFit="1" customWidth="1"/>
    <col min="15" max="15" width="7.140625" bestFit="1" customWidth="1"/>
    <col min="16" max="16" width="9.140625" bestFit="1" customWidth="1"/>
    <col min="17" max="17" width="8.85546875" bestFit="1" customWidth="1"/>
    <col min="18" max="18" width="9.140625" bestFit="1" customWidth="1"/>
    <col min="19" max="19" width="7.7109375" bestFit="1" customWidth="1"/>
    <col min="20" max="20" width="9.140625" bestFit="1" customWidth="1"/>
    <col min="21" max="21" width="7.140625" bestFit="1" customWidth="1"/>
    <col min="22" max="22" width="9.140625" bestFit="1" customWidth="1"/>
    <col min="23" max="23" width="17.42578125" customWidth="1"/>
    <col min="24" max="24" width="7.140625" bestFit="1" customWidth="1"/>
    <col min="25" max="25" width="9.140625" bestFit="1" customWidth="1"/>
    <col min="26" max="26" width="8.7109375" bestFit="1" customWidth="1"/>
    <col min="27" max="27" width="8" bestFit="1" customWidth="1"/>
    <col min="28" max="28" width="10" customWidth="1"/>
    <col min="29" max="29" width="8.42578125" bestFit="1" customWidth="1"/>
    <col min="30" max="30" width="7.140625" bestFit="1" customWidth="1"/>
    <col min="31" max="31" width="8.42578125" bestFit="1" customWidth="1"/>
    <col min="32" max="32" width="8.7109375" bestFit="1" customWidth="1"/>
    <col min="33" max="33" width="8.42578125" bestFit="1" customWidth="1"/>
    <col min="34" max="34" width="3.7109375" bestFit="1" customWidth="1"/>
    <col min="35" max="35" width="8.42578125" bestFit="1" customWidth="1"/>
    <col min="36" max="36" width="3.7109375" bestFit="1" customWidth="1"/>
    <col min="37" max="37" width="8.42578125" bestFit="1" customWidth="1"/>
    <col min="38" max="38" width="4.85546875" bestFit="1" customWidth="1"/>
    <col min="39" max="39" width="9.140625" bestFit="1" customWidth="1"/>
    <col min="42" max="42" width="4.5703125" bestFit="1" customWidth="1"/>
    <col min="43" max="43" width="8.42578125" bestFit="1" customWidth="1"/>
    <col min="44" max="44" width="5.42578125" bestFit="1" customWidth="1"/>
    <col min="45" max="45" width="8.42578125" bestFit="1" customWidth="1"/>
    <col min="46" max="46" width="2.28515625" bestFit="1" customWidth="1"/>
    <col min="47" max="47" width="3.42578125" bestFit="1" customWidth="1"/>
    <col min="48" max="48" width="4.28515625" bestFit="1" customWidth="1"/>
    <col min="49" max="52" width="3" bestFit="1" customWidth="1"/>
    <col min="53" max="56" width="3.42578125" bestFit="1" customWidth="1"/>
    <col min="57" max="58" width="4.42578125" bestFit="1" customWidth="1"/>
    <col min="60" max="60" width="2.42578125" bestFit="1" customWidth="1"/>
    <col min="61" max="61" width="3.42578125" bestFit="1" customWidth="1"/>
    <col min="62" max="62" width="6.140625" bestFit="1" customWidth="1"/>
    <col min="63" max="63" width="4.7109375" customWidth="1"/>
    <col min="64" max="65" width="3.42578125" bestFit="1" customWidth="1"/>
    <col min="66" max="66" width="6.140625" bestFit="1" customWidth="1"/>
    <col min="67" max="67" width="4.42578125" customWidth="1"/>
    <col min="68" max="69" width="2.42578125" bestFit="1" customWidth="1"/>
    <col min="70" max="70" width="5.28515625" bestFit="1" customWidth="1"/>
  </cols>
  <sheetData>
    <row r="1" spans="1:70" x14ac:dyDescent="0.25">
      <c r="A1" s="155" t="s">
        <v>142</v>
      </c>
      <c r="F1" s="10" t="s">
        <v>123</v>
      </c>
      <c r="G1" s="70">
        <f>IF(D3="SI",COUNTIF($F$6:$F$18,"RAP"),0)</f>
        <v>0</v>
      </c>
      <c r="H1" s="70">
        <f>G1+G2+G3</f>
        <v>0</v>
      </c>
      <c r="J1" s="11" t="s">
        <v>123</v>
      </c>
      <c r="K1" s="70">
        <f>IF(D3="SI",COUNTIF($J$6:$J$18,"RAP"),0)</f>
        <v>0</v>
      </c>
      <c r="L1" s="70">
        <f>K1+K2+K3</f>
        <v>0</v>
      </c>
      <c r="M1" s="150">
        <f>L1+H1</f>
        <v>0</v>
      </c>
      <c r="P1" s="199" t="s">
        <v>135</v>
      </c>
      <c r="Q1" s="199"/>
      <c r="R1" s="152">
        <v>-0.12364059050405629</v>
      </c>
      <c r="S1" s="153">
        <f>1+R1</f>
        <v>0.87635940949594371</v>
      </c>
      <c r="AF1">
        <f>COUNTA(J16:J18)</f>
        <v>0</v>
      </c>
    </row>
    <row r="2" spans="1:70" x14ac:dyDescent="0.25">
      <c r="A2" s="155" t="s">
        <v>143</v>
      </c>
      <c r="F2" s="10" t="s">
        <v>21</v>
      </c>
      <c r="G2" s="70">
        <f>IF(D3="SI",COUNTIF($F$6:$F$18,"TEC"),0)</f>
        <v>0</v>
      </c>
      <c r="H2" s="13"/>
      <c r="J2" s="11" t="s">
        <v>21</v>
      </c>
      <c r="K2" s="70">
        <f>IF(D3="SI",COUNTIF($J$6:$J$18,"TEC"),0)</f>
        <v>0</v>
      </c>
      <c r="L2" s="13" t="s">
        <v>134</v>
      </c>
      <c r="M2" s="149" t="str">
        <f>IF(M1&lt;&gt;0,"SI","NO")</f>
        <v>NO</v>
      </c>
      <c r="R2" s="152">
        <v>7.3959748117051513E-2</v>
      </c>
      <c r="S2" s="153">
        <f>1+R2</f>
        <v>1.0739597481170515</v>
      </c>
    </row>
    <row r="3" spans="1:70" x14ac:dyDescent="0.25">
      <c r="A3" s="148" t="s">
        <v>108</v>
      </c>
      <c r="B3" s="201" t="s">
        <v>130</v>
      </c>
      <c r="C3" s="201"/>
      <c r="D3" t="str">
        <f>IF(B3="Sol","SI",IF(B3="Lluvia","SI","NO"))</f>
        <v>NO</v>
      </c>
      <c r="F3" s="10" t="s">
        <v>131</v>
      </c>
      <c r="G3" s="70">
        <f>IF(D3="SI",COUNTIF($F$6:$F$18,"POT"),0)</f>
        <v>0</v>
      </c>
      <c r="H3" s="13"/>
      <c r="J3" s="11" t="s">
        <v>131</v>
      </c>
      <c r="K3" s="70">
        <f>IF(D3="SI",COUNTIF($J$6:$J$18,"POT"),0)</f>
        <v>0</v>
      </c>
      <c r="L3" s="13"/>
      <c r="O3" t="s">
        <v>132</v>
      </c>
      <c r="P3" s="16" t="s">
        <v>138</v>
      </c>
      <c r="Q3" t="s">
        <v>133</v>
      </c>
      <c r="R3" s="16" t="s">
        <v>139</v>
      </c>
      <c r="Y3" t="s">
        <v>132</v>
      </c>
      <c r="Z3" s="19" t="s">
        <v>138</v>
      </c>
      <c r="AA3" t="s">
        <v>133</v>
      </c>
      <c r="AB3" s="19" t="s">
        <v>139</v>
      </c>
    </row>
    <row r="4" spans="1:70" ht="15.75" x14ac:dyDescent="0.25">
      <c r="A4" s="124"/>
      <c r="B4" s="8" t="s">
        <v>106</v>
      </c>
      <c r="C4" s="9" t="s">
        <v>107</v>
      </c>
      <c r="D4" s="13"/>
      <c r="E4" s="13"/>
      <c r="F4" s="8" t="s">
        <v>13</v>
      </c>
      <c r="G4" s="8" t="s">
        <v>128</v>
      </c>
      <c r="H4" s="8" t="s">
        <v>127</v>
      </c>
      <c r="I4" s="8" t="s">
        <v>129</v>
      </c>
      <c r="J4" s="9" t="s">
        <v>14</v>
      </c>
      <c r="K4" s="9" t="s">
        <v>128</v>
      </c>
      <c r="L4" s="9" t="s">
        <v>127</v>
      </c>
      <c r="M4" s="9" t="s">
        <v>129</v>
      </c>
      <c r="N4" s="13"/>
      <c r="O4" s="8" t="s">
        <v>28</v>
      </c>
      <c r="P4" s="8" t="s">
        <v>29</v>
      </c>
      <c r="Q4" s="8" t="s">
        <v>30</v>
      </c>
      <c r="R4" s="8" t="s">
        <v>70</v>
      </c>
      <c r="S4" s="8" t="s">
        <v>31</v>
      </c>
      <c r="T4" s="8" t="s">
        <v>32</v>
      </c>
      <c r="U4" s="8" t="s">
        <v>33</v>
      </c>
      <c r="V4" s="155"/>
      <c r="W4" s="125"/>
      <c r="X4" s="12" t="s">
        <v>72</v>
      </c>
      <c r="Y4" s="9" t="s">
        <v>28</v>
      </c>
      <c r="Z4" s="9" t="s">
        <v>29</v>
      </c>
      <c r="AA4" s="9" t="s">
        <v>34</v>
      </c>
      <c r="AB4" s="9" t="s">
        <v>35</v>
      </c>
      <c r="AC4" s="9" t="s">
        <v>31</v>
      </c>
      <c r="AD4" s="9" t="s">
        <v>32</v>
      </c>
      <c r="AE4" s="9" t="s">
        <v>33</v>
      </c>
      <c r="AF4" s="14"/>
      <c r="BH4">
        <v>0</v>
      </c>
      <c r="BI4">
        <v>1</v>
      </c>
      <c r="BJ4" s="107" t="e">
        <f t="shared" ref="BJ4:BJ13" si="0">$H$24*H39</f>
        <v>#DIV/0!</v>
      </c>
      <c r="BL4">
        <v>0</v>
      </c>
      <c r="BM4">
        <v>0</v>
      </c>
      <c r="BN4" s="107" t="e">
        <f>H24*H38</f>
        <v>#DIV/0!</v>
      </c>
      <c r="BP4">
        <v>1</v>
      </c>
      <c r="BQ4">
        <v>0</v>
      </c>
      <c r="BR4" s="107" t="e">
        <f>$H$25*H38</f>
        <v>#DIV/0!</v>
      </c>
    </row>
    <row r="5" spans="1:70" x14ac:dyDescent="0.25">
      <c r="A5" s="25" t="s">
        <v>140</v>
      </c>
      <c r="B5" s="156">
        <v>352</v>
      </c>
      <c r="C5" s="156">
        <v>352</v>
      </c>
      <c r="E5" s="50" t="s">
        <v>15</v>
      </c>
      <c r="F5" s="10" t="s">
        <v>16</v>
      </c>
      <c r="G5" s="10">
        <v>12</v>
      </c>
      <c r="H5" s="10"/>
      <c r="I5" s="10"/>
      <c r="J5" s="11" t="s">
        <v>16</v>
      </c>
      <c r="K5" s="11">
        <v>12</v>
      </c>
      <c r="L5" s="10"/>
      <c r="M5" s="10"/>
      <c r="O5" s="66">
        <f>COUNTIF(F5:F18,"IMP")*0.017</f>
        <v>0</v>
      </c>
      <c r="P5" s="16" t="str">
        <f>P3</f>
        <v>0,6</v>
      </c>
      <c r="Q5" s="17">
        <f>P5*O5</f>
        <v>0</v>
      </c>
      <c r="R5" s="157" t="e">
        <f>IF($M$2="SI",Q5*$B$22/0.5*$S$1,Q5*$B$22/0.5*$S$2)</f>
        <v>#DIV/0!</v>
      </c>
      <c r="S5" s="41" t="e">
        <f>(1-R5)</f>
        <v>#DIV/0!</v>
      </c>
      <c r="T5" s="42" t="e">
        <f>R5*PRODUCT(S6:S19)</f>
        <v>#DIV/0!</v>
      </c>
      <c r="U5" s="42" t="e">
        <f>R5*R6*PRODUCT(S7:S19)+R5*R7*PRODUCT(S8:S19)*PRODUCT(S6)+R5*R8*PRODUCT(S9:S19)*PRODUCT(S6:S7)+R5*R9*PRODUCT(S10:S19)*PRODUCT(S6:S8)+R5*R10*PRODUCT(S11:S19)*PRODUCT(S6:S9)+R5*R11*PRODUCT(S12:S19)*PRODUCT(S6:S10)+R5*R12*PRODUCT(S13:S19)*PRODUCT(S6:S11)+R5*R13*PRODUCT(S14:S19)*PRODUCT(S6:S12)+R5*R14*PRODUCT(S15:S19)*PRODUCT(S6:S13)+R5*R15*PRODUCT(S16:S19)*PRODUCT(S6:S14)+R5*R16*PRODUCT(S17:S19)*PRODUCT(S6:S15)+R5*R17*PRODUCT(S18:S19)*PRODUCT(S6:S16)+R5*R18*PRODUCT(S19)*PRODUCT(S6:S17)+R5*R19*PRODUCT(S6:S18)</f>
        <v>#DIV/0!</v>
      </c>
      <c r="V5" s="18"/>
      <c r="W5" s="48" t="s">
        <v>36</v>
      </c>
      <c r="X5" s="15" t="s">
        <v>37</v>
      </c>
      <c r="Y5" s="68">
        <f>COUNTIF(J5:J18,"IMP")*0.017</f>
        <v>0</v>
      </c>
      <c r="Z5" s="146" t="str">
        <f>Z3</f>
        <v>0,6</v>
      </c>
      <c r="AA5" s="20">
        <f>Z5*Y5</f>
        <v>0</v>
      </c>
      <c r="AB5" s="157" t="e">
        <f>IF($M$2="SI",AA5*$C$22/0.5*$S$1,AA5*$C$22/0.5*$S$2)</f>
        <v>#DIV/0!</v>
      </c>
      <c r="AC5" s="41" t="e">
        <f>(1-AB5)</f>
        <v>#DIV/0!</v>
      </c>
      <c r="AD5" s="42" t="e">
        <f>AB5*PRODUCT(AC6:AC19)</f>
        <v>#DIV/0!</v>
      </c>
      <c r="AE5" s="42" t="e">
        <f>AB5*AB6*PRODUCT(AC7:AC19)+AB5*AB7*PRODUCT(AC8:AC19)*PRODUCT(AC6)+AB5*AB8*PRODUCT(AC9:AC19)*PRODUCT(AC6:AC7)+AB5*AB9*PRODUCT(AC10:AC19)*PRODUCT(AC6:AC8)+AB5*AB10*PRODUCT(AC11:AC19)*PRODUCT(AC6:AC9)+AB5*AB11*PRODUCT(AC12:AC19)*PRODUCT(AC6:AC10)+AB5*AB12*PRODUCT(AC13:AC19)*PRODUCT(AC6:AC11)+AB5*AB13*PRODUCT(AC14:AC19)*PRODUCT(AC6:AC12)+AB5*AB14*PRODUCT(AC15:AC19)*PRODUCT(AC6:AC13)+AB5*AB15*PRODUCT(AC16:AC19)*PRODUCT(AC6:AC14)+AB5*AB16*PRODUCT(AC17:AC19)*PRODUCT(AC6:AC15)+AB5*AB17*PRODUCT(AC18:AC19)*PRODUCT(AC6:AC16)+AB5*AB18*PRODUCT(AC19)*PRODUCT(AC6:AC17)+AB5*AB19*PRODUCT(AC6:AC18)</f>
        <v>#DIV/0!</v>
      </c>
      <c r="AF5" s="18"/>
      <c r="BH5">
        <v>0</v>
      </c>
      <c r="BI5">
        <v>2</v>
      </c>
      <c r="BJ5" s="107" t="e">
        <f t="shared" si="0"/>
        <v>#DIV/0!</v>
      </c>
      <c r="BL5">
        <v>1</v>
      </c>
      <c r="BM5">
        <v>1</v>
      </c>
      <c r="BN5" s="107" t="e">
        <f>$H$25*H39</f>
        <v>#DIV/0!</v>
      </c>
      <c r="BP5">
        <f>BP4+1</f>
        <v>2</v>
      </c>
      <c r="BQ5">
        <v>0</v>
      </c>
      <c r="BR5" s="107" t="e">
        <f>$H$26*H38</f>
        <v>#DIV/0!</v>
      </c>
    </row>
    <row r="6" spans="1:70" x14ac:dyDescent="0.25">
      <c r="A6" s="2" t="s">
        <v>1</v>
      </c>
      <c r="B6" s="3"/>
      <c r="C6" s="4"/>
      <c r="E6" s="50" t="s">
        <v>17</v>
      </c>
      <c r="F6" s="10"/>
      <c r="G6" s="10"/>
      <c r="H6" s="154"/>
      <c r="I6" s="10"/>
      <c r="J6" s="11"/>
      <c r="K6" s="11"/>
      <c r="L6" s="154"/>
      <c r="M6" s="10"/>
      <c r="O6" s="66">
        <f>COUNTIF(F14:F18,"IMP")*0.017</f>
        <v>0</v>
      </c>
      <c r="P6" s="16" t="str">
        <f>P3</f>
        <v>0,6</v>
      </c>
      <c r="Q6" s="17">
        <f t="shared" ref="Q6:Q19" si="1">P6*O6</f>
        <v>0</v>
      </c>
      <c r="R6" s="157" t="e">
        <f>IF($M$2="SI",Q6*$B$22/0.5*$S$1,Q6*$B$22/0.5*$S$2)</f>
        <v>#DIV/0!</v>
      </c>
      <c r="S6" s="41" t="e">
        <f t="shared" ref="S6:S19" si="2">(1-R6)</f>
        <v>#DIV/0!</v>
      </c>
      <c r="T6" s="42" t="e">
        <f>R6*S5*PRODUCT(S7:S19)</f>
        <v>#DIV/0!</v>
      </c>
      <c r="U6" s="42" t="e">
        <f>R6*R7*PRODUCT(S8:S19)*PRODUCT(S5)+R6*R8*PRODUCT(S9:S19)*S5*PRODUCT(S7)+R6*R9*PRODUCT(S10:S19)*S5*PRODUCT(S7:S8)+R6*R10*PRODUCT(S11:S19)*S5*PRODUCT(S7:S9)+R6*R11*PRODUCT(S12:S19)*S5*PRODUCT(S7:S10)+R6*R12*PRODUCT(S13:S19)*S5*PRODUCT(S7:S11)+R6*R13*PRODUCT(S14:S19)*S5*PRODUCT(S7:S12)+R6*R14*PRODUCT(S15:S19)*S5*PRODUCT(S7:S13)+R6*R15*PRODUCT(S16:S19)*S5*PRODUCT(S7:S14)+R6*R16*PRODUCT(S17:S19)*S5*PRODUCT(S7:S15)+R6*R17*PRODUCT(S18:S19)*S5*PRODUCT(S7:S16)+R6*R18*PRODUCT(S19)*S5*PRODUCT(S7:S17)+R6*R19*S5*PRODUCT(S7:S18)</f>
        <v>#DIV/0!</v>
      </c>
      <c r="V6" s="18"/>
      <c r="W6" s="48" t="s">
        <v>38</v>
      </c>
      <c r="X6" s="15" t="s">
        <v>39</v>
      </c>
      <c r="Y6" s="68">
        <f>COUNTIF(J14:J18,"IMP")*0.017</f>
        <v>0</v>
      </c>
      <c r="Z6" s="146" t="str">
        <f>Z3</f>
        <v>0,6</v>
      </c>
      <c r="AA6" s="20">
        <f t="shared" ref="AA6:AA19" si="3">Z6*Y6</f>
        <v>0</v>
      </c>
      <c r="AB6" s="157" t="e">
        <f t="shared" ref="AB6:AB19" si="4">IF($M$2="SI",AA6*$C$22/0.5*$S$1,AA6*$C$22/0.5*$S$2)</f>
        <v>#DIV/0!</v>
      </c>
      <c r="AC6" s="41" t="e">
        <f t="shared" ref="AC6:AC19" si="5">(1-AB6)</f>
        <v>#DIV/0!</v>
      </c>
      <c r="AD6" s="42" t="e">
        <f>AB6*AC5*PRODUCT(AC7:AC19)</f>
        <v>#DIV/0!</v>
      </c>
      <c r="AE6" s="42" t="e">
        <f>AB6*AB7*PRODUCT(AC8:AC19)*PRODUCT(AC5)+AB6*AB8*PRODUCT(AC9:AC19)*AC5*PRODUCT(AC7)+AB6*AB9*PRODUCT(AC10:AC19)*AC5*PRODUCT(AC7:AC8)+AB6*AB10*PRODUCT(AC11:AC19)*AC5*PRODUCT(AC7:AC9)+AB6*AB11*PRODUCT(AC12:AC19)*AC5*PRODUCT(AC7:AC10)+AB6*AB12*PRODUCT(AC13:AC19)*AC5*PRODUCT(AC7:AC11)+AB6*AB13*PRODUCT(AC14:AC19)*AC5*PRODUCT(AC7:AC12)+AB6*AB14*PRODUCT(AC15:AC19)*AC5*PRODUCT(AC7:AC13)+AB6*AB15*PRODUCT(AC16:AC19)*AC5*PRODUCT(AC7:AC14)+AB6*AB16*PRODUCT(AC17:AC19)*AC5*PRODUCT(AC7:AC15)+AB6*AB17*PRODUCT(AC18:AC19)*AC5*PRODUCT(AC7:AC16)+AB6*AB18*PRODUCT(AC19)*AC5*PRODUCT(AC7:AC17)+AB6*AB19*AC5*PRODUCT(AC7:AC18)</f>
        <v>#DIV/0!</v>
      </c>
      <c r="AF6" s="18"/>
      <c r="BH6">
        <v>0</v>
      </c>
      <c r="BI6">
        <v>3</v>
      </c>
      <c r="BJ6" s="107" t="e">
        <f t="shared" si="0"/>
        <v>#DIV/0!</v>
      </c>
      <c r="BL6">
        <f>BH14+1</f>
        <v>2</v>
      </c>
      <c r="BM6">
        <v>2</v>
      </c>
      <c r="BN6" s="107" t="e">
        <f>$H$26*H40</f>
        <v>#DIV/0!</v>
      </c>
      <c r="BP6">
        <f>BL5+1</f>
        <v>2</v>
      </c>
      <c r="BQ6">
        <v>1</v>
      </c>
      <c r="BR6" s="107" t="e">
        <f>$H$26*H39</f>
        <v>#DIV/0!</v>
      </c>
    </row>
    <row r="7" spans="1:70" x14ac:dyDescent="0.25">
      <c r="A7" s="5" t="s">
        <v>2</v>
      </c>
      <c r="B7" s="3"/>
      <c r="C7" s="4"/>
      <c r="E7" s="50" t="s">
        <v>18</v>
      </c>
      <c r="F7" s="10"/>
      <c r="G7" s="10"/>
      <c r="H7" s="154"/>
      <c r="I7" s="10"/>
      <c r="J7" s="11"/>
      <c r="K7" s="11"/>
      <c r="L7" s="154"/>
      <c r="M7" s="10"/>
      <c r="O7" s="66">
        <v>0</v>
      </c>
      <c r="P7" s="144">
        <v>0.5</v>
      </c>
      <c r="Q7" s="17">
        <f t="shared" si="1"/>
        <v>0</v>
      </c>
      <c r="R7" s="157" t="e">
        <f t="shared" ref="R7:R19" si="6">IF($M$2="SI",Q7*$B$22/0.5*$S$1,Q7*$B$22/0.5*$S$2)</f>
        <v>#DIV/0!</v>
      </c>
      <c r="S7" s="41" t="e">
        <f t="shared" si="2"/>
        <v>#DIV/0!</v>
      </c>
      <c r="T7" s="42" t="e">
        <f>R7*PRODUCT(S5:S6)*PRODUCT(S8:S19)</f>
        <v>#DIV/0!</v>
      </c>
      <c r="U7" s="42" t="e">
        <f>R7*R8*PRODUCT(S9:S19)*PRODUCT(S5:S6)+R7*R9*PRODUCT(S10:S19)*PRODUCT(S5:S6)*PRODUCT(S8)+R7*R10*PRODUCT(S11:S19)*PRODUCT(S5:S6)*PRODUCT(S8:S9)+R7*R11*PRODUCT(S12:S19)*PRODUCT(S5:S6)*PRODUCT(S8:S10)+R7*R12*PRODUCT(S13:S19)*PRODUCT(S5:S6)*PRODUCT(S8:S11)+R7*R13*PRODUCT(S14:S19)*PRODUCT(S5:S6)*PRODUCT(S8:S12)+R7*R14*PRODUCT(S15:S19)*PRODUCT(S5:S6)*PRODUCT(S8:S13)+R7*R15*PRODUCT(S16:S19)*PRODUCT(S5:S6)*PRODUCT(S8:S14)+R7*R16*PRODUCT(S17:S19)*PRODUCT(S5:S6)*PRODUCT(S8:S15)+R7*R17*PRODUCT(S18:S19)*PRODUCT(S5:S6)*PRODUCT(S8:S16)+R7*R18*PRODUCT(S19)*PRODUCT(S5:S6)*PRODUCT(S8:S17)+R7*R19*PRODUCT(S5:S6)*PRODUCT(S8:S18)</f>
        <v>#DIV/0!</v>
      </c>
      <c r="W7" s="48" t="s">
        <v>40</v>
      </c>
      <c r="X7" s="15" t="s">
        <v>41</v>
      </c>
      <c r="Y7" s="68">
        <v>0</v>
      </c>
      <c r="Z7" s="146">
        <v>0.5</v>
      </c>
      <c r="AA7" s="20">
        <f t="shared" si="3"/>
        <v>0</v>
      </c>
      <c r="AB7" s="157" t="e">
        <f t="shared" si="4"/>
        <v>#DIV/0!</v>
      </c>
      <c r="AC7" s="41" t="e">
        <f t="shared" si="5"/>
        <v>#DIV/0!</v>
      </c>
      <c r="AD7" s="42" t="e">
        <f>AB7*PRODUCT(AC5:AC6)*PRODUCT(AC8:AC19)</f>
        <v>#DIV/0!</v>
      </c>
      <c r="AE7" s="42" t="e">
        <f>AB7*AB8*PRODUCT(AC9:AC19)*PRODUCT(AC5:AC6)+AB7*AB9*PRODUCT(AC10:AC19)*PRODUCT(AC5:AC6)*PRODUCT(AC8)+AB7*AB10*PRODUCT(AC11:AC19)*PRODUCT(AC5:AC6)*PRODUCT(AC8:AC9)+AB7*AB11*PRODUCT(AC12:AC19)*PRODUCT(AC5:AC6)*PRODUCT(AC8:AC10)+AB7*AB12*PRODUCT(AC13:AC19)*PRODUCT(AC5:AC6)*PRODUCT(AC8:AC11)+AB7*AB13*PRODUCT(AC14:AC19)*PRODUCT(AC5:AC6)*PRODUCT(AC8:AC12)+AB7*AB14*PRODUCT(AC15:AC19)*PRODUCT(AC5:AC6)*PRODUCT(AC8:AC13)+AB7*AB15*PRODUCT(AC16:AC19)*PRODUCT(AC5:AC6)*PRODUCT(AC8:AC14)+AB7*AB16*PRODUCT(AC17:AC19)*PRODUCT(AC5:AC6)*PRODUCT(AC8:AC15)+AB7*AB17*PRODUCT(AC18:AC19)*PRODUCT(AC5:AC6)*PRODUCT(AC8:AC16)+AB7*AB18*PRODUCT(AC19)*PRODUCT(AC5:AC6)*PRODUCT(AC8:AC17)+AB7*AB19*PRODUCT(AC5:AC6)*PRODUCT(AC8:AC18)</f>
        <v>#DIV/0!</v>
      </c>
      <c r="BH7">
        <v>0</v>
      </c>
      <c r="BI7">
        <v>4</v>
      </c>
      <c r="BJ7" s="107" t="e">
        <f t="shared" si="0"/>
        <v>#DIV/0!</v>
      </c>
      <c r="BL7">
        <f>BH23+1</f>
        <v>3</v>
      </c>
      <c r="BM7">
        <v>3</v>
      </c>
      <c r="BN7" s="107" t="e">
        <f>$H$27*H41</f>
        <v>#DIV/0!</v>
      </c>
      <c r="BP7">
        <f>BP5+1</f>
        <v>3</v>
      </c>
      <c r="BQ7">
        <v>0</v>
      </c>
      <c r="BR7" s="107" t="e">
        <f>$H$27*H38</f>
        <v>#DIV/0!</v>
      </c>
    </row>
    <row r="8" spans="1:70" x14ac:dyDescent="0.25">
      <c r="A8" s="5" t="s">
        <v>3</v>
      </c>
      <c r="B8" s="3"/>
      <c r="C8" s="4"/>
      <c r="E8" s="50" t="s">
        <v>18</v>
      </c>
      <c r="F8" s="10"/>
      <c r="G8" s="10"/>
      <c r="H8" s="154"/>
      <c r="I8" s="10"/>
      <c r="J8" s="11"/>
      <c r="K8" s="11"/>
      <c r="L8" s="154"/>
      <c r="M8" s="10"/>
      <c r="O8" s="66">
        <f>COUNTIF(F6:F18,"IMP")*0.01</f>
        <v>0</v>
      </c>
      <c r="P8" s="16" t="str">
        <f>P3</f>
        <v>0,6</v>
      </c>
      <c r="Q8" s="17">
        <f t="shared" si="1"/>
        <v>0</v>
      </c>
      <c r="R8" s="157" t="e">
        <f t="shared" si="6"/>
        <v>#DIV/0!</v>
      </c>
      <c r="S8" s="41" t="e">
        <f t="shared" si="2"/>
        <v>#DIV/0!</v>
      </c>
      <c r="T8" s="42" t="e">
        <f>R8*PRODUCT(S5:S7)*PRODUCT(S9:S19)</f>
        <v>#DIV/0!</v>
      </c>
      <c r="U8" s="42" t="e">
        <f>R8*R9*PRODUCT(S5:S7)*PRODUCT(S10:S19)+R8*R10*PRODUCT(S5:S7)*PRODUCT(S9)*PRODUCT(S11:S19)+R8*R11*PRODUCT(S5:S7)*PRODUCT(S9:S10)*PRODUCT(S12:S19)+R8*R12*PRODUCT(S5:S7)*PRODUCT(S9:S11)*PRODUCT(S13:S19)+R8*R13*PRODUCT(S5:S7)*PRODUCT(S9:S12)*PRODUCT(S14:S19)+R8*R14*PRODUCT(S5:S7)*PRODUCT(S9:S13)*PRODUCT(S15:S19)+R8*R15*PRODUCT(S5:S7)*PRODUCT(S9:S14)*PRODUCT(S16:S19)+R8*R16*PRODUCT(S5:S7)*PRODUCT(S9:S15)*PRODUCT(S17:S19)+R8*R17*PRODUCT(S5:S7)*PRODUCT(S9:S16)*PRODUCT(S18:S19)+R8*R18*PRODUCT(S5:S7)*PRODUCT(S9:S17)*PRODUCT(S19)+R8*R19*PRODUCT(S5:S7)*PRODUCT(S9:S18)</f>
        <v>#DIV/0!</v>
      </c>
      <c r="W8" s="48" t="s">
        <v>42</v>
      </c>
      <c r="X8" s="15" t="s">
        <v>43</v>
      </c>
      <c r="Y8" s="68">
        <f>COUNTIF(J6:J18,"IMP")*0.01</f>
        <v>0</v>
      </c>
      <c r="Z8" s="146" t="str">
        <f>Z3</f>
        <v>0,6</v>
      </c>
      <c r="AA8" s="20">
        <f t="shared" si="3"/>
        <v>0</v>
      </c>
      <c r="AB8" s="157" t="e">
        <f t="shared" si="4"/>
        <v>#DIV/0!</v>
      </c>
      <c r="AC8" s="41" t="e">
        <f t="shared" si="5"/>
        <v>#DIV/0!</v>
      </c>
      <c r="AD8" s="42" t="e">
        <f>AB8*PRODUCT(AC5:AC7)*PRODUCT(AC9:AC19)</f>
        <v>#DIV/0!</v>
      </c>
      <c r="AE8" s="42" t="e">
        <f>AB8*AB9*PRODUCT(AC5:AC7)*PRODUCT(AC10:AC19)+AB8*AB10*PRODUCT(AC5:AC7)*PRODUCT(AC9)*PRODUCT(AC11:AC19)+AB8*AB11*PRODUCT(AC5:AC7)*PRODUCT(AC9:AC10)*PRODUCT(AC12:AC19)+AB8*AB12*PRODUCT(AC5:AC7)*PRODUCT(AC9:AC11)*PRODUCT(AC13:AC19)+AB8*AB13*PRODUCT(AC5:AC7)*PRODUCT(AC9:AC12)*PRODUCT(AC14:AC19)+AB8*AB14*PRODUCT(AC5:AC7)*PRODUCT(AC9:AC13)*PRODUCT(AC15:AC19)+AB8*AB15*PRODUCT(AC5:AC7)*PRODUCT(AC9:AC14)*PRODUCT(AC16:AC19)+AB8*AB16*PRODUCT(AC5:AC7)*PRODUCT(AC9:AC15)*PRODUCT(AC17:AC19)+AB8*AB17*PRODUCT(AC5:AC7)*PRODUCT(AC9:AC16)*PRODUCT(AC18:AC19)+AB8*AB18*PRODUCT(AC5:AC7)*PRODUCT(AC9:AC17)*PRODUCT(AC19)+AB8*AB19*PRODUCT(AC5:AC7)*PRODUCT(AC9:AC18)</f>
        <v>#DIV/0!</v>
      </c>
      <c r="BH8">
        <v>0</v>
      </c>
      <c r="BI8">
        <v>5</v>
      </c>
      <c r="BJ8" s="107" t="e">
        <f t="shared" si="0"/>
        <v>#DIV/0!</v>
      </c>
      <c r="BL8">
        <f>BH31+1</f>
        <v>4</v>
      </c>
      <c r="BM8">
        <v>4</v>
      </c>
      <c r="BN8" s="107" t="e">
        <f>$H$28*H42</f>
        <v>#DIV/0!</v>
      </c>
      <c r="BP8">
        <f>BP6+1</f>
        <v>3</v>
      </c>
      <c r="BQ8">
        <v>1</v>
      </c>
      <c r="BR8" s="107" t="e">
        <f>$H$27*H39</f>
        <v>#DIV/0!</v>
      </c>
    </row>
    <row r="9" spans="1:70" x14ac:dyDescent="0.25">
      <c r="A9" s="5" t="s">
        <v>4</v>
      </c>
      <c r="B9" s="3"/>
      <c r="C9" s="4"/>
      <c r="E9" s="50" t="s">
        <v>18</v>
      </c>
      <c r="F9" s="10"/>
      <c r="G9" s="10"/>
      <c r="H9" s="154"/>
      <c r="I9" s="10"/>
      <c r="J9" s="11"/>
      <c r="K9" s="11"/>
      <c r="L9" s="154"/>
      <c r="M9" s="10"/>
      <c r="O9" s="66">
        <f>COUNTIF(J6:J13,"IMP")*0.025</f>
        <v>0</v>
      </c>
      <c r="P9" s="144">
        <v>0.5</v>
      </c>
      <c r="Q9" s="17">
        <f t="shared" si="1"/>
        <v>0</v>
      </c>
      <c r="R9" s="157" t="e">
        <f t="shared" si="6"/>
        <v>#DIV/0!</v>
      </c>
      <c r="S9" s="41" t="e">
        <f t="shared" si="2"/>
        <v>#DIV/0!</v>
      </c>
      <c r="T9" s="42" t="e">
        <f>R9*PRODUCT(S5:S8)*PRODUCT(S10:S19)</f>
        <v>#DIV/0!</v>
      </c>
      <c r="U9" s="42" t="e">
        <f>R9*R10*PRODUCT(S5:S8)*PRODUCT(S11:S19)+R9*R11*PRODUCT(S5:S8)*PRODUCT(S10)*PRODUCT(S12:S19)+R9*R12*PRODUCT(S5:S8)*PRODUCT(S10:S11)*PRODUCT(S13:S19)+R9*R13*PRODUCT(S5:S8)*PRODUCT(S10:S12)*PRODUCT(S14:S19)+R9*R14*PRODUCT(S5:S8)*PRODUCT(S10:S13)*PRODUCT(S15:S19)+R9*R15*PRODUCT(S5:S8)*PRODUCT(S10:S14)*PRODUCT(S16:S19)+R9*R16*PRODUCT(S5:S8)*PRODUCT(S10:S15)*PRODUCT(S17:S19)+R9*R17*PRODUCT(S5:S8)*PRODUCT(S10:S16)*PRODUCT(S18:S19)+R9*R18*PRODUCT(S5:S8)*PRODUCT(S10:S17)*PRODUCT(S19)+R9*R19*PRODUCT(S5:S8)*PRODUCT(S10:S18)</f>
        <v>#DIV/0!</v>
      </c>
      <c r="W9" s="49" t="s">
        <v>44</v>
      </c>
      <c r="X9" s="15" t="s">
        <v>45</v>
      </c>
      <c r="Y9" s="68">
        <f>COUNTIF(F6:F13,"IMP")*0.025</f>
        <v>0</v>
      </c>
      <c r="Z9" s="146">
        <v>0.5</v>
      </c>
      <c r="AA9" s="20">
        <f t="shared" si="3"/>
        <v>0</v>
      </c>
      <c r="AB9" s="157" t="e">
        <f t="shared" si="4"/>
        <v>#DIV/0!</v>
      </c>
      <c r="AC9" s="41" t="e">
        <f t="shared" si="5"/>
        <v>#DIV/0!</v>
      </c>
      <c r="AD9" s="42" t="e">
        <f>AB9*PRODUCT(AC5:AC8)*PRODUCT(AC10:AC19)</f>
        <v>#DIV/0!</v>
      </c>
      <c r="AE9" s="42" t="e">
        <f>AB9*AB10*PRODUCT(AC5:AC8)*PRODUCT(AC11:AC19)+AB9*AB11*PRODUCT(AC5:AC8)*PRODUCT(AC10)*PRODUCT(AC12:AC19)+AB9*AB12*PRODUCT(AC5:AC8)*PRODUCT(AC10:AC11)*PRODUCT(AC13:AC19)+AB9*AB13*PRODUCT(AC5:AC8)*PRODUCT(AC10:AC12)*PRODUCT(AC14:AC19)+AB9*AB14*PRODUCT(AC5:AC8)*PRODUCT(AC10:AC13)*PRODUCT(AC15:AC19)+AB9*AB15*PRODUCT(AC5:AC8)*PRODUCT(AC10:AC14)*PRODUCT(AC16:AC19)+AB9*AB16*PRODUCT(AC5:AC8)*PRODUCT(AC10:AC15)*PRODUCT(AC17:AC19)+AB9*AB17*PRODUCT(AC5:AC8)*PRODUCT(AC10:AC16)*PRODUCT(AC18:AC19)+AB9*AB18*PRODUCT(AC5:AC8)*PRODUCT(AC10:AC17)*PRODUCT(AC19)+AB9*AB19*PRODUCT(AC5:AC8)*PRODUCT(AC10:AC18)</f>
        <v>#DIV/0!</v>
      </c>
      <c r="BH9">
        <v>0</v>
      </c>
      <c r="BI9">
        <v>6</v>
      </c>
      <c r="BJ9" s="107" t="e">
        <f t="shared" si="0"/>
        <v>#DIV/0!</v>
      </c>
      <c r="BL9">
        <f>BH38+1</f>
        <v>5</v>
      </c>
      <c r="BM9">
        <v>5</v>
      </c>
      <c r="BN9" s="107" t="e">
        <f>$H$29*H43</f>
        <v>#DIV/0!</v>
      </c>
      <c r="BP9">
        <f>BL6+1</f>
        <v>3</v>
      </c>
      <c r="BQ9">
        <v>2</v>
      </c>
      <c r="BR9" s="107" t="e">
        <f>$H$27*H40</f>
        <v>#DIV/0!</v>
      </c>
    </row>
    <row r="10" spans="1:70" x14ac:dyDescent="0.25">
      <c r="A10" s="6" t="s">
        <v>5</v>
      </c>
      <c r="B10" s="3"/>
      <c r="C10" s="4"/>
      <c r="E10" s="50" t="s">
        <v>17</v>
      </c>
      <c r="F10" s="10"/>
      <c r="G10" s="10"/>
      <c r="H10" s="154"/>
      <c r="I10" s="10"/>
      <c r="J10" s="11"/>
      <c r="K10" s="11"/>
      <c r="L10" s="154"/>
      <c r="M10" s="10"/>
      <c r="O10" s="66">
        <f>COUNTIF(F14:F18,"RAP")*0.0785</f>
        <v>0</v>
      </c>
      <c r="P10" s="16" t="str">
        <f>R3</f>
        <v>0,72</v>
      </c>
      <c r="Q10" s="17">
        <f t="shared" si="1"/>
        <v>0</v>
      </c>
      <c r="R10" s="157" t="e">
        <f t="shared" si="6"/>
        <v>#DIV/0!</v>
      </c>
      <c r="S10" s="41" t="e">
        <f t="shared" si="2"/>
        <v>#DIV/0!</v>
      </c>
      <c r="T10" s="42" t="e">
        <f>R10*PRODUCT(S5:S9)*PRODUCT(S11:S19)</f>
        <v>#DIV/0!</v>
      </c>
      <c r="U10" s="42" t="e">
        <f>R10*R11*PRODUCT(S5:S9)*PRODUCT(S12:S19)+R10*R12*PRODUCT(S5:S9)*S11*PRODUCT(S13:S19)+R10*R13*PRODUCT(S5:S9)*PRODUCT(S11:S12)*PRODUCT(S14:S19)+R10*R14*PRODUCT(S5:S9)*PRODUCT(S11:S13)*PRODUCT(S15:S19)+R10*R15*PRODUCT(S5:S9)*PRODUCT(S11:S14)*PRODUCT(S16:S19)+R10*R16*PRODUCT(S5:S9)*PRODUCT(S11:S15)*PRODUCT(S17:S19)+R10*R17*PRODUCT(S5:S9)*PRODUCT(S11:S16)*PRODUCT(S18:S19)+R10*R18*PRODUCT(S5:S9)*PRODUCT(S11:S17)*PRODUCT(S19)+R10*R19*PRODUCT(S5:S9)*PRODUCT(S11:S18)</f>
        <v>#DIV/0!</v>
      </c>
      <c r="W10" s="48" t="s">
        <v>46</v>
      </c>
      <c r="X10" s="15" t="s">
        <v>47</v>
      </c>
      <c r="Y10" s="68">
        <f>COUNTIF(J14:J18,"RAP")*0.0785</f>
        <v>0</v>
      </c>
      <c r="Z10" s="146" t="str">
        <f>AB3</f>
        <v>0,72</v>
      </c>
      <c r="AA10" s="20">
        <f t="shared" si="3"/>
        <v>0</v>
      </c>
      <c r="AB10" s="157" t="e">
        <f t="shared" si="4"/>
        <v>#DIV/0!</v>
      </c>
      <c r="AC10" s="41" t="e">
        <f t="shared" si="5"/>
        <v>#DIV/0!</v>
      </c>
      <c r="AD10" s="42" t="e">
        <f>AB10*PRODUCT(AC5:AC9)*PRODUCT(AC11:AC19)</f>
        <v>#DIV/0!</v>
      </c>
      <c r="AE10" s="42" t="e">
        <f>AB10*AB11*PRODUCT(AC5:AC9)*PRODUCT(AC12:AC19)+AB10*AB12*PRODUCT(AC5:AC9)*AC11*PRODUCT(AC13:AC19)+AB10*AB13*PRODUCT(AC5:AC9)*PRODUCT(AC11:AC12)*PRODUCT(AC14:AC19)+AB10*AB14*PRODUCT(AC5:AC9)*PRODUCT(AC11:AC13)*PRODUCT(AC15:AC19)+AB10*AB15*PRODUCT(AC5:AC9)*PRODUCT(AC11:AC14)*PRODUCT(AC16:AC19)+AB10*AB16*PRODUCT(AC5:AC9)*PRODUCT(AC11:AC15)*PRODUCT(AC17:AC19)+AB10*AB17*PRODUCT(AC5:AC9)*PRODUCT(AC11:AC16)*PRODUCT(AC18:AC19)+AB10*AB18*PRODUCT(AC5:AC9)*PRODUCT(AC11:AC17)*PRODUCT(AC19)+AB10*AB19*PRODUCT(AC5:AC9)*PRODUCT(AC11:AC18)</f>
        <v>#DIV/0!</v>
      </c>
      <c r="BH10">
        <v>0</v>
      </c>
      <c r="BI10">
        <v>7</v>
      </c>
      <c r="BJ10" s="107" t="e">
        <f t="shared" si="0"/>
        <v>#DIV/0!</v>
      </c>
      <c r="BL10">
        <f>BH44+1</f>
        <v>6</v>
      </c>
      <c r="BM10">
        <v>6</v>
      </c>
      <c r="BN10" s="107" t="e">
        <f>$H$30*H44</f>
        <v>#DIV/0!</v>
      </c>
      <c r="BP10">
        <f>BP7+1</f>
        <v>4</v>
      </c>
      <c r="BQ10">
        <v>0</v>
      </c>
      <c r="BR10" s="107" t="e">
        <f>$H$28*H38</f>
        <v>#DIV/0!</v>
      </c>
    </row>
    <row r="11" spans="1:70" x14ac:dyDescent="0.25">
      <c r="A11" s="6" t="s">
        <v>6</v>
      </c>
      <c r="B11" s="3"/>
      <c r="C11" s="4"/>
      <c r="E11" s="50" t="s">
        <v>19</v>
      </c>
      <c r="F11" s="10"/>
      <c r="G11" s="10"/>
      <c r="H11" s="154"/>
      <c r="I11" s="10"/>
      <c r="J11" s="11"/>
      <c r="K11" s="11"/>
      <c r="L11" s="154"/>
      <c r="M11" s="10"/>
      <c r="O11" s="66">
        <f>IF(COUNTA(F16:F18)=0,0,COUNTIF(F14:F15,"RAP")*0.035)+IF(COUNTA(F17:F18)=0,0,COUNTIF(F16:F16,"RAP")*0.035)+IF(COUNTA(F16:F17)=0,0,COUNTIF(F18:F18,"RAP")*0.035)+IF(COUNTA(F16,F18)=0,0,COUNTIF(F17:F17,"RAP")*0.035)</f>
        <v>0</v>
      </c>
      <c r="P11" s="16" t="str">
        <f>R3</f>
        <v>0,72</v>
      </c>
      <c r="Q11" s="17">
        <f t="shared" si="1"/>
        <v>0</v>
      </c>
      <c r="R11" s="157" t="e">
        <f t="shared" si="6"/>
        <v>#DIV/0!</v>
      </c>
      <c r="S11" s="41" t="e">
        <f t="shared" si="2"/>
        <v>#DIV/0!</v>
      </c>
      <c r="T11" s="42" t="e">
        <f>R11*PRODUCT(S5:S10)*PRODUCT(S12:S19)</f>
        <v>#DIV/0!</v>
      </c>
      <c r="U11" s="42" t="e">
        <f>R11*R12*PRODUCT(S5:S10)*PRODUCT(S13:S19)+R11*R13*PRODUCT(S5:S10)*S12*PRODUCT(S14:S19)+R11*R14*PRODUCT(S5:S10)*PRODUCT(S12:S13)*PRODUCT(S15:S19)+R11*R15*PRODUCT(S5:S10)*PRODUCT(S12:S14)*PRODUCT(S16:S19)+R11*R16*PRODUCT(S5:S10)*PRODUCT(S12:S15)*PRODUCT(S17:S19)+R11*R17*PRODUCT(S5:S10)*PRODUCT(S12:S16)*PRODUCT(S18:S19)+R11*R18*PRODUCT(S5:S10)*PRODUCT(S12:S17)*PRODUCT(S19)+R11*R19*PRODUCT(S5:S10)*PRODUCT(S12:S18)</f>
        <v>#DIV/0!</v>
      </c>
      <c r="W11" s="48" t="s">
        <v>48</v>
      </c>
      <c r="X11" s="15" t="s">
        <v>49</v>
      </c>
      <c r="Y11" s="68">
        <f>IF(COUNTA(J16:J18)=0,0,COUNTIF(J14:J15,"RAP")*0.035)+IF(COUNTA(J17:J18)=0,0,COUNTIF(J16:J16,"RAP")*0.035)+IF(COUNTA(J16:J17)=0,0,COUNTIF(J18:J18,"RAP")*0.035)+IF(COUNTA(J16,J18)=0,0,COUNTIF(J17:J17,"RAP")*0.035)</f>
        <v>0</v>
      </c>
      <c r="Z11" s="146" t="str">
        <f>AB3</f>
        <v>0,72</v>
      </c>
      <c r="AA11" s="20">
        <f t="shared" si="3"/>
        <v>0</v>
      </c>
      <c r="AB11" s="157" t="e">
        <f t="shared" si="4"/>
        <v>#DIV/0!</v>
      </c>
      <c r="AC11" s="41" t="e">
        <f t="shared" si="5"/>
        <v>#DIV/0!</v>
      </c>
      <c r="AD11" s="42" t="e">
        <f>AB11*PRODUCT(AC5:AC10)*PRODUCT(AC12:AC19)</f>
        <v>#DIV/0!</v>
      </c>
      <c r="AE11" s="42" t="e">
        <f>AB11*AB12*PRODUCT(AC5:AC10)*PRODUCT(AC13:AC19)+AB11*AB13*PRODUCT(AC5:AC10)*AC12*PRODUCT(AC14:AC19)+AB11*AB14*PRODUCT(AC5:AC10)*PRODUCT(AC12:AC13)*PRODUCT(AC15:AC19)+AB11*AB15*PRODUCT(AC5:AC10)*PRODUCT(AC12:AC14)*PRODUCT(AC16:AC19)+AB11*AB16*PRODUCT(AC5:AC10)*PRODUCT(AC12:AC15)*PRODUCT(AC17:AC19)+AB11*AB17*PRODUCT(AC5:AC10)*PRODUCT(AC12:AC16)*PRODUCT(AC18:AC19)+AB11*AB18*PRODUCT(AC5:AC10)*PRODUCT(AC12:AC17)*PRODUCT(AC19)+AB11*AB19*PRODUCT(AC5:AC10)*PRODUCT(AC12:AC18)</f>
        <v>#DIV/0!</v>
      </c>
      <c r="BH11">
        <v>0</v>
      </c>
      <c r="BI11">
        <v>8</v>
      </c>
      <c r="BJ11" s="107" t="e">
        <f t="shared" si="0"/>
        <v>#DIV/0!</v>
      </c>
      <c r="BL11">
        <f>BH50+1</f>
        <v>7</v>
      </c>
      <c r="BM11">
        <v>7</v>
      </c>
      <c r="BN11" s="107" t="e">
        <f>$H$31*H45</f>
        <v>#DIV/0!</v>
      </c>
      <c r="BP11">
        <f>BP8+1</f>
        <v>4</v>
      </c>
      <c r="BQ11">
        <v>1</v>
      </c>
      <c r="BR11" s="107" t="e">
        <f>$H$28*H39</f>
        <v>#DIV/0!</v>
      </c>
    </row>
    <row r="12" spans="1:70" x14ac:dyDescent="0.25">
      <c r="A12" s="6" t="s">
        <v>7</v>
      </c>
      <c r="B12" s="3"/>
      <c r="C12" s="4"/>
      <c r="E12" s="50" t="s">
        <v>19</v>
      </c>
      <c r="F12" s="10"/>
      <c r="G12" s="10"/>
      <c r="H12" s="154"/>
      <c r="I12" s="10"/>
      <c r="J12" s="11"/>
      <c r="K12" s="11"/>
      <c r="L12" s="154"/>
      <c r="M12" s="10"/>
      <c r="O12" s="67"/>
      <c r="P12" s="144">
        <v>0.5</v>
      </c>
      <c r="Q12" s="17">
        <f t="shared" si="1"/>
        <v>0</v>
      </c>
      <c r="R12" s="157" t="e">
        <f t="shared" si="6"/>
        <v>#DIV/0!</v>
      </c>
      <c r="S12" s="41" t="e">
        <f t="shared" si="2"/>
        <v>#DIV/0!</v>
      </c>
      <c r="T12" s="42" t="e">
        <f>R12*PRODUCT(S5:S11)*PRODUCT(S13:S19)</f>
        <v>#DIV/0!</v>
      </c>
      <c r="U12" s="42" t="e">
        <f>R12*R13*PRODUCT(S5:S11)*PRODUCT(S14:S19)+R12*R14*PRODUCT(S5:S11)*S13*PRODUCT(S15:S19)+R12*R15*PRODUCT(S5:S11)*PRODUCT(S13:S14)*PRODUCT(S16:S19)+R12*R16*PRODUCT(S5:S11)*PRODUCT(S13:S15)*PRODUCT(S17:S19)+R12*R17*PRODUCT(S5:S11)*PRODUCT(S13:S16)*PRODUCT(S18:S19)+R12*R18*PRODUCT(S5:S11)*PRODUCT(S13:S17)*PRODUCT(S19)+R12*R19*PRODUCT(S5:S11)*PRODUCT(S13:S18)</f>
        <v>#DIV/0!</v>
      </c>
      <c r="W12" s="49" t="s">
        <v>50</v>
      </c>
      <c r="X12" s="15" t="s">
        <v>51</v>
      </c>
      <c r="Y12" s="69"/>
      <c r="Z12" s="146">
        <v>0.5</v>
      </c>
      <c r="AA12" s="20">
        <f t="shared" si="3"/>
        <v>0</v>
      </c>
      <c r="AB12" s="157" t="e">
        <f t="shared" si="4"/>
        <v>#DIV/0!</v>
      </c>
      <c r="AC12" s="41" t="e">
        <f t="shared" si="5"/>
        <v>#DIV/0!</v>
      </c>
      <c r="AD12" s="42" t="e">
        <f>AB12*PRODUCT(AC5:AC11)*PRODUCT(AC13:AC19)</f>
        <v>#DIV/0!</v>
      </c>
      <c r="AE12" s="42" t="e">
        <f>AB12*AB13*PRODUCT(AC5:AC11)*PRODUCT(AC14:AC19)+AB12*AB14*PRODUCT(AC5:AC11)*AC13*PRODUCT(AC15:AC19)+AB12*AB15*PRODUCT(AC5:AC11)*PRODUCT(AC13:AC14)*PRODUCT(AC16:AC19)+AB12*AB16*PRODUCT(AC5:AC11)*PRODUCT(AC13:AC15)*PRODUCT(AC17:AC19)+AB12*AB17*PRODUCT(AC5:AC11)*PRODUCT(AC13:AC16)*PRODUCT(AC18:AC19)+AB12*AB18*PRODUCT(AC5:AC11)*PRODUCT(AC13:AC17)*PRODUCT(AC19)+AB12*AB19*PRODUCT(AC5:AC11)*PRODUCT(AC13:AC18)</f>
        <v>#DIV/0!</v>
      </c>
      <c r="BH12">
        <v>0</v>
      </c>
      <c r="BI12">
        <v>9</v>
      </c>
      <c r="BJ12" s="107" t="e">
        <f t="shared" si="0"/>
        <v>#DIV/0!</v>
      </c>
      <c r="BL12">
        <f>BH54+1</f>
        <v>8</v>
      </c>
      <c r="BM12">
        <v>8</v>
      </c>
      <c r="BN12" s="107" t="e">
        <f>$H$32*H46</f>
        <v>#DIV/0!</v>
      </c>
      <c r="BP12">
        <f>BP9+1</f>
        <v>4</v>
      </c>
      <c r="BQ12">
        <v>2</v>
      </c>
      <c r="BR12" s="107" t="e">
        <f>$H$28*H40</f>
        <v>#DIV/0!</v>
      </c>
    </row>
    <row r="13" spans="1:70" x14ac:dyDescent="0.25">
      <c r="A13" s="7" t="s">
        <v>8</v>
      </c>
      <c r="B13" s="3">
        <v>8.25</v>
      </c>
      <c r="C13" s="4">
        <v>11</v>
      </c>
      <c r="E13" s="50" t="s">
        <v>19</v>
      </c>
      <c r="F13" s="10"/>
      <c r="G13" s="10"/>
      <c r="H13" s="154"/>
      <c r="I13" s="10"/>
      <c r="J13" s="11"/>
      <c r="K13" s="11"/>
      <c r="L13" s="154"/>
      <c r="M13" s="10"/>
      <c r="O13" s="66">
        <v>9.7500000000000003E-2</v>
      </c>
      <c r="P13" s="16" t="str">
        <f>P3</f>
        <v>0,6</v>
      </c>
      <c r="Q13" s="17">
        <f t="shared" si="1"/>
        <v>5.8499999999999996E-2</v>
      </c>
      <c r="R13" s="157" t="e">
        <f t="shared" si="6"/>
        <v>#DIV/0!</v>
      </c>
      <c r="S13" s="41" t="e">
        <f t="shared" si="2"/>
        <v>#DIV/0!</v>
      </c>
      <c r="T13" s="42" t="e">
        <f>R13*PRODUCT(S5:S12)*PRODUCT(S14:S19)</f>
        <v>#DIV/0!</v>
      </c>
      <c r="U13" s="42" t="e">
        <f>R13*R14*PRODUCT(S5:S12)*PRODUCT(S15:S19)+R13*R15*PRODUCT(S5:S12)*S14*PRODUCT(S16:S19)+R13*R16*PRODUCT(S5:S12)*PRODUCT(S14:S15)*PRODUCT(S17:S19)+R13*R17*PRODUCT(S5:S12)*PRODUCT(S14:S16)*PRODUCT(S18:S19)+R13*R18*PRODUCT(S5:S12)*PRODUCT(S14:S17)*PRODUCT(S19)+R13*R19*PRODUCT(S5:S12)*PRODUCT(S14:S18)</f>
        <v>#DIV/0!</v>
      </c>
      <c r="W13" s="48" t="s">
        <v>52</v>
      </c>
      <c r="X13" s="15" t="s">
        <v>53</v>
      </c>
      <c r="Y13" s="68">
        <v>9.7500000000000003E-2</v>
      </c>
      <c r="Z13" s="146" t="str">
        <f>Z3</f>
        <v>0,6</v>
      </c>
      <c r="AA13" s="20">
        <f t="shared" si="3"/>
        <v>5.8499999999999996E-2</v>
      </c>
      <c r="AB13" s="157" t="e">
        <f t="shared" si="4"/>
        <v>#DIV/0!</v>
      </c>
      <c r="AC13" s="41" t="e">
        <f t="shared" si="5"/>
        <v>#DIV/0!</v>
      </c>
      <c r="AD13" s="42" t="e">
        <f>AB13*PRODUCT(AC5:AC12)*PRODUCT(AC14:AC19)</f>
        <v>#DIV/0!</v>
      </c>
      <c r="AE13" s="42" t="e">
        <f>AB13*AB14*PRODUCT(AC5:AC12)*PRODUCT(AC15:AC19)+AB13*AB15*PRODUCT(AC5:AC12)*AC14*PRODUCT(AC16:AC19)+AB13*AB16*PRODUCT(AC5:AC12)*PRODUCT(AC14:AC15)*PRODUCT(AC17:AC19)+AB13*AB17*PRODUCT(AC5:AC12)*PRODUCT(AC14:AC16)*PRODUCT(AC18:AC19)+AB13*AB18*PRODUCT(AC5:AC12)*PRODUCT(AC14:AC17)*PRODUCT(AC19)+AB13*AB19*PRODUCT(AC5:AC12)*PRODUCT(AC14:AC18)</f>
        <v>#DIV/0!</v>
      </c>
      <c r="BH13">
        <v>0</v>
      </c>
      <c r="BI13">
        <v>10</v>
      </c>
      <c r="BJ13" s="107" t="e">
        <f t="shared" si="0"/>
        <v>#DIV/0!</v>
      </c>
      <c r="BL13">
        <f>BH57+1</f>
        <v>9</v>
      </c>
      <c r="BM13">
        <v>9</v>
      </c>
      <c r="BN13" s="107" t="e">
        <f>$H$33*H47</f>
        <v>#DIV/0!</v>
      </c>
      <c r="BP13">
        <f>BL7+1</f>
        <v>4</v>
      </c>
      <c r="BQ13">
        <v>3</v>
      </c>
      <c r="BR13" s="107" t="e">
        <f>$H$28*H41</f>
        <v>#DIV/0!</v>
      </c>
    </row>
    <row r="14" spans="1:70" x14ac:dyDescent="0.25">
      <c r="A14" s="7" t="s">
        <v>9</v>
      </c>
      <c r="B14" s="3">
        <v>7.75</v>
      </c>
      <c r="C14" s="4">
        <v>10</v>
      </c>
      <c r="E14" s="50" t="s">
        <v>20</v>
      </c>
      <c r="F14" s="10"/>
      <c r="G14" s="10"/>
      <c r="H14" s="10"/>
      <c r="I14" s="10"/>
      <c r="J14" s="11"/>
      <c r="K14" s="11"/>
      <c r="L14" s="10"/>
      <c r="M14" s="10"/>
      <c r="O14" s="66">
        <f>COUNTIF(F6:F18,"CAB")*0.071</f>
        <v>0</v>
      </c>
      <c r="P14" s="145">
        <v>0.95</v>
      </c>
      <c r="Q14" s="17">
        <f t="shared" si="1"/>
        <v>0</v>
      </c>
      <c r="R14" s="157" t="e">
        <f t="shared" si="6"/>
        <v>#DIV/0!</v>
      </c>
      <c r="S14" s="41" t="e">
        <f t="shared" si="2"/>
        <v>#DIV/0!</v>
      </c>
      <c r="T14" s="42" t="e">
        <f>R14*PRODUCT(S5:S13)*PRODUCT(S15:S19)</f>
        <v>#DIV/0!</v>
      </c>
      <c r="U14" s="42" t="e">
        <f>R14*R15*PRODUCT(S5:S13)*PRODUCT(S16:S19)+R14*R16*PRODUCT(S5:S13)*S15*PRODUCT(S17:S19)+R14*R17*PRODUCT(S5:S13)*PRODUCT(S15:S16)*PRODUCT(S18:S19)+R14*R18*PRODUCT(S5:S13)*PRODUCT(S15:S17)*PRODUCT(S19)+R14*R19*PRODUCT(S5:S13)*PRODUCT(S15:S18)</f>
        <v>#DIV/0!</v>
      </c>
      <c r="W14" s="48" t="s">
        <v>54</v>
      </c>
      <c r="X14" s="15" t="s">
        <v>55</v>
      </c>
      <c r="Y14" s="68">
        <f>COUNTIF(J6:J18,"CAB")*0.071</f>
        <v>0</v>
      </c>
      <c r="Z14" s="147">
        <v>0.95</v>
      </c>
      <c r="AA14" s="20">
        <f t="shared" si="3"/>
        <v>0</v>
      </c>
      <c r="AB14" s="157" t="e">
        <f t="shared" si="4"/>
        <v>#DIV/0!</v>
      </c>
      <c r="AC14" s="41" t="e">
        <f t="shared" si="5"/>
        <v>#DIV/0!</v>
      </c>
      <c r="AD14" s="42" t="e">
        <f>AB14*PRODUCT(AC5:AC13)*PRODUCT(AC15:AC19)</f>
        <v>#DIV/0!</v>
      </c>
      <c r="AE14" s="42" t="e">
        <f>AB14*AB15*PRODUCT(AC5:AC13)*PRODUCT(AC16:AC19)+AB14*AB16*PRODUCT(AC5:AC13)*AC15*PRODUCT(AC17:AC19)+AB14*AB17*PRODUCT(AC5:AC13)*PRODUCT(AC15:AC16)*PRODUCT(AC18:AC19)+AB14*AB18*PRODUCT(AC5:AC13)*PRODUCT(AC15:AC17)*PRODUCT(AC19)+AB14*AB19*PRODUCT(AC5:AC13)*PRODUCT(AC15:AC18)</f>
        <v>#DIV/0!</v>
      </c>
      <c r="BH14">
        <v>1</v>
      </c>
      <c r="BI14">
        <v>2</v>
      </c>
      <c r="BJ14" s="107" t="e">
        <f t="shared" ref="BJ14:BJ22" si="7">$H$25*H40</f>
        <v>#DIV/0!</v>
      </c>
      <c r="BL14">
        <f>BP39+1</f>
        <v>10</v>
      </c>
      <c r="BM14">
        <v>10</v>
      </c>
      <c r="BN14" s="107" t="e">
        <f>$H$34*H48</f>
        <v>#DIV/0!</v>
      </c>
      <c r="BP14">
        <f>BP10+1</f>
        <v>5</v>
      </c>
      <c r="BQ14">
        <v>0</v>
      </c>
      <c r="BR14" s="107" t="e">
        <f>$H$29*H38</f>
        <v>#DIV/0!</v>
      </c>
    </row>
    <row r="15" spans="1:70" x14ac:dyDescent="0.25">
      <c r="A15" s="51" t="s">
        <v>71</v>
      </c>
      <c r="B15" s="52"/>
      <c r="C15" s="54"/>
      <c r="E15" s="50" t="s">
        <v>20</v>
      </c>
      <c r="F15" s="10"/>
      <c r="G15" s="10"/>
      <c r="H15" s="10"/>
      <c r="I15" s="10"/>
      <c r="J15" s="11"/>
      <c r="K15" s="11"/>
      <c r="L15" s="10"/>
      <c r="M15" s="10"/>
      <c r="O15" s="67"/>
      <c r="P15" s="144">
        <v>0.5</v>
      </c>
      <c r="Q15" s="17">
        <f t="shared" si="1"/>
        <v>0</v>
      </c>
      <c r="R15" s="157" t="e">
        <f t="shared" si="6"/>
        <v>#DIV/0!</v>
      </c>
      <c r="S15" s="41" t="e">
        <f t="shared" si="2"/>
        <v>#DIV/0!</v>
      </c>
      <c r="T15" s="42" t="e">
        <f>R15*PRODUCT(S5:S14)*PRODUCT(S16:S19)</f>
        <v>#DIV/0!</v>
      </c>
      <c r="U15" s="42" t="e">
        <f>R15*R16*PRODUCT(S5:S14)*PRODUCT(S17:S19)+R15*R17*PRODUCT(S5:S14)*S16*PRODUCT(S18:S19)+R15*R18*PRODUCT(S5:S14)*S16*S17*S19+R15*R19*PRODUCT(S5:S14)*S16*S17*S18</f>
        <v>#DIV/0!</v>
      </c>
      <c r="W15" s="48" t="s">
        <v>56</v>
      </c>
      <c r="X15" s="15" t="s">
        <v>57</v>
      </c>
      <c r="Y15" s="69"/>
      <c r="Z15" s="146">
        <v>0.5</v>
      </c>
      <c r="AA15" s="20">
        <f t="shared" si="3"/>
        <v>0</v>
      </c>
      <c r="AB15" s="157" t="e">
        <f t="shared" si="4"/>
        <v>#DIV/0!</v>
      </c>
      <c r="AC15" s="41" t="e">
        <f t="shared" si="5"/>
        <v>#DIV/0!</v>
      </c>
      <c r="AD15" s="42" t="e">
        <f>AB15*PRODUCT(AC5:AC14)*PRODUCT(AC16:AC19)</f>
        <v>#DIV/0!</v>
      </c>
      <c r="AE15" s="42" t="e">
        <f>AB15*AB16*PRODUCT(AC5:AC14)*PRODUCT(AC17:AC19)+AB15*AB17*PRODUCT(AC5:AC14)*AC16*PRODUCT(AC18:AC19)+AB15*AB18*PRODUCT(AC5:AC14)*AC16*AC17*AC19+AB15*AB19*PRODUCT(AC5:AC14)*AC16*AC17*AC18</f>
        <v>#DIV/0!</v>
      </c>
      <c r="BH15">
        <v>1</v>
      </c>
      <c r="BI15">
        <v>3</v>
      </c>
      <c r="BJ15" s="107" t="e">
        <f t="shared" si="7"/>
        <v>#DIV/0!</v>
      </c>
      <c r="BP15">
        <f>BP11+1</f>
        <v>5</v>
      </c>
      <c r="BQ15">
        <v>1</v>
      </c>
      <c r="BR15" s="107" t="e">
        <f>$H$29*H39</f>
        <v>#DIV/0!</v>
      </c>
    </row>
    <row r="16" spans="1:70" x14ac:dyDescent="0.25">
      <c r="A16" s="51" t="s">
        <v>82</v>
      </c>
      <c r="B16" s="52">
        <f>AVERAGE(G5:G18)</f>
        <v>12</v>
      </c>
      <c r="C16" s="54">
        <f>AVERAGE(K5:K18)</f>
        <v>12</v>
      </c>
      <c r="E16" s="50" t="s">
        <v>22</v>
      </c>
      <c r="F16" s="10"/>
      <c r="G16" s="10"/>
      <c r="H16" s="10"/>
      <c r="I16" s="10"/>
      <c r="J16" s="11"/>
      <c r="K16" s="11"/>
      <c r="L16" s="10"/>
      <c r="M16" s="10"/>
      <c r="O16" s="66">
        <f>COUNTA(L6:L13)*0.03</f>
        <v>0</v>
      </c>
      <c r="P16" s="144">
        <v>0.25</v>
      </c>
      <c r="Q16" s="17">
        <f t="shared" si="1"/>
        <v>0</v>
      </c>
      <c r="R16" s="157" t="e">
        <f t="shared" si="6"/>
        <v>#DIV/0!</v>
      </c>
      <c r="S16" s="41" t="e">
        <f t="shared" si="2"/>
        <v>#DIV/0!</v>
      </c>
      <c r="T16" s="42" t="e">
        <f>R16*PRODUCT(S5:S15)*PRODUCT(S17:S19)</f>
        <v>#DIV/0!</v>
      </c>
      <c r="U16" s="42" t="e">
        <f>R16*R17*PRODUCT(S5:S15)*PRODUCT(S18:S19)+R16*R18*PRODUCT(S5:S15)*S17*S19+R16*R19*PRODUCT(S5:S15)*S17*S18</f>
        <v>#DIV/0!</v>
      </c>
      <c r="W16" s="49" t="s">
        <v>58</v>
      </c>
      <c r="X16" s="15" t="s">
        <v>59</v>
      </c>
      <c r="Y16" s="68">
        <f>COUNTA(H6:H13)*0.03</f>
        <v>0</v>
      </c>
      <c r="Z16" s="146">
        <v>0.25</v>
      </c>
      <c r="AA16" s="20">
        <f t="shared" si="3"/>
        <v>0</v>
      </c>
      <c r="AB16" s="157" t="e">
        <f t="shared" si="4"/>
        <v>#DIV/0!</v>
      </c>
      <c r="AC16" s="41" t="e">
        <f t="shared" si="5"/>
        <v>#DIV/0!</v>
      </c>
      <c r="AD16" s="42" t="e">
        <f>AB16*PRODUCT(AC5:AC15)*PRODUCT(AC17:AC19)</f>
        <v>#DIV/0!</v>
      </c>
      <c r="AE16" s="42" t="e">
        <f>AB16*AB17*PRODUCT(AC5:AC15)*PRODUCT(AC18:AC19)+AB16*AB18*PRODUCT(AC5:AC15)*AC17*AC19+AB16*AB19*PRODUCT(AC5:AC15)*AC17*AC18</f>
        <v>#DIV/0!</v>
      </c>
      <c r="BH16">
        <v>1</v>
      </c>
      <c r="BI16">
        <v>4</v>
      </c>
      <c r="BJ16" s="107" t="e">
        <f t="shared" si="7"/>
        <v>#DIV/0!</v>
      </c>
      <c r="BP16">
        <f>BP12+1</f>
        <v>5</v>
      </c>
      <c r="BQ16">
        <v>2</v>
      </c>
      <c r="BR16" s="107" t="e">
        <f>$H$29*H40</f>
        <v>#DIV/0!</v>
      </c>
    </row>
    <row r="17" spans="1:70" x14ac:dyDescent="0.25">
      <c r="A17" s="25" t="s">
        <v>10</v>
      </c>
      <c r="B17" s="53" t="s">
        <v>11</v>
      </c>
      <c r="C17" s="55" t="s">
        <v>11</v>
      </c>
      <c r="E17" s="50" t="s">
        <v>22</v>
      </c>
      <c r="F17" s="10"/>
      <c r="G17" s="10"/>
      <c r="H17" s="10"/>
      <c r="I17" s="10"/>
      <c r="J17" s="11"/>
      <c r="K17" s="11"/>
      <c r="L17" s="10"/>
      <c r="M17" s="10"/>
      <c r="O17" s="66">
        <f>(0.02*2)*IF(COUNTBLANK(F14:F15)&lt;&gt;0, (2-COUNTBLANK(F14:F15))/2,1)</f>
        <v>0</v>
      </c>
      <c r="P17" s="16" t="str">
        <f>P3</f>
        <v>0,6</v>
      </c>
      <c r="Q17" s="17">
        <f t="shared" si="1"/>
        <v>0</v>
      </c>
      <c r="R17" s="157" t="e">
        <f t="shared" si="6"/>
        <v>#DIV/0!</v>
      </c>
      <c r="S17" s="41" t="e">
        <f t="shared" si="2"/>
        <v>#DIV/0!</v>
      </c>
      <c r="T17" s="42" t="e">
        <f>R17*PRODUCT(S5:S16)*PRODUCT(S18:S19)</f>
        <v>#DIV/0!</v>
      </c>
      <c r="U17" s="42" t="e">
        <f>R17*R18*PRODUCT(S5:S16)*S19+R17*R19*PRODUCT(S5:S16)*S18</f>
        <v>#DIV/0!</v>
      </c>
      <c r="W17" s="48" t="s">
        <v>60</v>
      </c>
      <c r="X17" s="15" t="s">
        <v>61</v>
      </c>
      <c r="Y17" s="68">
        <f>(0.02*2)*IF(COUNTBLANK(J14:J15)&lt;&gt;0, (2-COUNTBLANK(J14:J15))/2,1)</f>
        <v>0</v>
      </c>
      <c r="Z17" s="146" t="str">
        <f>Z3</f>
        <v>0,6</v>
      </c>
      <c r="AA17" s="20">
        <f t="shared" si="3"/>
        <v>0</v>
      </c>
      <c r="AB17" s="157" t="e">
        <f t="shared" si="4"/>
        <v>#DIV/0!</v>
      </c>
      <c r="AC17" s="41" t="e">
        <f t="shared" si="5"/>
        <v>#DIV/0!</v>
      </c>
      <c r="AD17" s="42" t="e">
        <f>AB17*PRODUCT(AC5:AC16)*PRODUCT(AC18:AC19)</f>
        <v>#DIV/0!</v>
      </c>
      <c r="AE17" s="42" t="e">
        <f>AB17*AB18*PRODUCT(AC5:AC16)*AC19+AB17*AB19*PRODUCT(AC5:AC16)*AC18</f>
        <v>#DIV/0!</v>
      </c>
      <c r="BH17">
        <v>1</v>
      </c>
      <c r="BI17">
        <v>5</v>
      </c>
      <c r="BJ17" s="107" t="e">
        <f t="shared" si="7"/>
        <v>#DIV/0!</v>
      </c>
      <c r="BP17">
        <f>BP13+1</f>
        <v>5</v>
      </c>
      <c r="BQ17">
        <v>3</v>
      </c>
      <c r="BR17" s="107" t="e">
        <f>$H$29*H41</f>
        <v>#DIV/0!</v>
      </c>
    </row>
    <row r="18" spans="1:70" x14ac:dyDescent="0.25">
      <c r="A18" s="25" t="s">
        <v>12</v>
      </c>
      <c r="B18" s="53">
        <v>20</v>
      </c>
      <c r="C18" s="55">
        <v>20</v>
      </c>
      <c r="E18" s="50" t="s">
        <v>22</v>
      </c>
      <c r="F18" s="10"/>
      <c r="G18" s="10"/>
      <c r="H18" s="10"/>
      <c r="I18" s="10"/>
      <c r="J18" s="11"/>
      <c r="K18" s="11"/>
      <c r="L18" s="10"/>
      <c r="M18" s="10"/>
      <c r="O18" s="66">
        <v>0</v>
      </c>
      <c r="P18" s="144">
        <v>0.5</v>
      </c>
      <c r="Q18" s="17">
        <f t="shared" si="1"/>
        <v>0</v>
      </c>
      <c r="R18" s="157" t="e">
        <f t="shared" si="6"/>
        <v>#DIV/0!</v>
      </c>
      <c r="S18" s="41" t="e">
        <f t="shared" si="2"/>
        <v>#DIV/0!</v>
      </c>
      <c r="T18" s="42" t="e">
        <f>R18*PRODUCT(S5:S17)*PRODUCT(S19:S19)</f>
        <v>#DIV/0!</v>
      </c>
      <c r="U18" s="42" t="e">
        <f>R18*R19*PRODUCT(S5:S17)</f>
        <v>#DIV/0!</v>
      </c>
      <c r="W18" s="48" t="s">
        <v>62</v>
      </c>
      <c r="X18" s="15" t="s">
        <v>63</v>
      </c>
      <c r="Y18" s="68">
        <v>0</v>
      </c>
      <c r="Z18" s="146">
        <v>0.5</v>
      </c>
      <c r="AA18" s="20">
        <f t="shared" si="3"/>
        <v>0</v>
      </c>
      <c r="AB18" s="157" t="e">
        <f t="shared" si="4"/>
        <v>#DIV/0!</v>
      </c>
      <c r="AC18" s="41" t="e">
        <f t="shared" si="5"/>
        <v>#DIV/0!</v>
      </c>
      <c r="AD18" s="42" t="e">
        <f>AB18*PRODUCT(AC5:AC17)*PRODUCT(AC19:AC19)</f>
        <v>#DIV/0!</v>
      </c>
      <c r="AE18" s="42" t="e">
        <f>AB18*AB19*PRODUCT(AC5:AC17)</f>
        <v>#DIV/0!</v>
      </c>
      <c r="BH18">
        <v>1</v>
      </c>
      <c r="BI18">
        <v>6</v>
      </c>
      <c r="BJ18" s="107" t="e">
        <f t="shared" si="7"/>
        <v>#DIV/0!</v>
      </c>
      <c r="BP18">
        <f>BL8+1</f>
        <v>5</v>
      </c>
      <c r="BQ18">
        <v>4</v>
      </c>
      <c r="BR18" s="107" t="e">
        <f>$H$29*H42</f>
        <v>#DIV/0!</v>
      </c>
    </row>
    <row r="19" spans="1:70" x14ac:dyDescent="0.25">
      <c r="H19" s="13" t="s">
        <v>141</v>
      </c>
      <c r="L19" s="13" t="s">
        <v>141</v>
      </c>
      <c r="O19" s="66">
        <f>COUNTIF(F14:F18,"TEC")*0.06*IF(COUNTIF(J6:J13,"CAB")&lt;&gt;0,1,0)</f>
        <v>0</v>
      </c>
      <c r="P19" s="16" t="str">
        <f>P3</f>
        <v>0,6</v>
      </c>
      <c r="Q19" s="17">
        <f t="shared" si="1"/>
        <v>0</v>
      </c>
      <c r="R19" s="157" t="e">
        <f t="shared" si="6"/>
        <v>#DIV/0!</v>
      </c>
      <c r="S19" s="43" t="e">
        <f t="shared" si="2"/>
        <v>#DIV/0!</v>
      </c>
      <c r="T19" s="44" t="e">
        <f>R19*PRODUCT(S5:S18)</f>
        <v>#DIV/0!</v>
      </c>
      <c r="U19" s="44">
        <v>0</v>
      </c>
      <c r="V19" s="1" t="s">
        <v>66</v>
      </c>
      <c r="W19" s="48" t="s">
        <v>64</v>
      </c>
      <c r="X19" s="15" t="s">
        <v>65</v>
      </c>
      <c r="Y19" s="68">
        <f>COUNTIF(J14:J18,"TEC")*0.06*IF(COUNTIF(F6:F13,"CAB")&lt;&gt;0,1,0)</f>
        <v>0</v>
      </c>
      <c r="Z19" s="146" t="str">
        <f>Z3</f>
        <v>0,6</v>
      </c>
      <c r="AA19" s="20">
        <f t="shared" si="3"/>
        <v>0</v>
      </c>
      <c r="AB19" s="157" t="e">
        <f t="shared" si="4"/>
        <v>#DIV/0!</v>
      </c>
      <c r="AC19" s="43" t="e">
        <f t="shared" si="5"/>
        <v>#DIV/0!</v>
      </c>
      <c r="AD19" s="44" t="e">
        <f>AB19*PRODUCT(AC5:AC18)</f>
        <v>#DIV/0!</v>
      </c>
      <c r="AE19" s="44">
        <v>0</v>
      </c>
      <c r="AF19" s="1" t="s">
        <v>66</v>
      </c>
      <c r="BH19">
        <v>1</v>
      </c>
      <c r="BI19">
        <v>7</v>
      </c>
      <c r="BJ19" s="107" t="e">
        <f t="shared" si="7"/>
        <v>#DIV/0!</v>
      </c>
      <c r="BP19">
        <f>BP15+1</f>
        <v>6</v>
      </c>
      <c r="BQ19">
        <v>1</v>
      </c>
      <c r="BR19" s="107" t="e">
        <f>$H$30*H39</f>
        <v>#DIV/0!</v>
      </c>
    </row>
    <row r="20" spans="1:70" x14ac:dyDescent="0.25">
      <c r="A20" s="38" t="s">
        <v>81</v>
      </c>
      <c r="B20">
        <f>IF(B17="Pres",IF(C17="Pres",2,1),IF(C17="Pres",1,0))</f>
        <v>0</v>
      </c>
      <c r="D20" s="36"/>
      <c r="O20" s="22"/>
      <c r="P20" s="22"/>
      <c r="Q20" s="22"/>
      <c r="S20" s="45" t="e">
        <f>PRODUCT(S5:S19)</f>
        <v>#DIV/0!</v>
      </c>
      <c r="T20" s="46" t="e">
        <f>SUM(T5:T19)</f>
        <v>#DIV/0!</v>
      </c>
      <c r="U20" s="46" t="e">
        <f>SUM(U5:U19)</f>
        <v>#DIV/0!</v>
      </c>
      <c r="V20" s="46" t="e">
        <f>1-S20-T20-U20</f>
        <v>#DIV/0!</v>
      </c>
      <c r="W20" s="21"/>
      <c r="X20" s="22"/>
      <c r="Y20" s="22"/>
      <c r="Z20" s="22"/>
      <c r="AA20" s="22"/>
      <c r="AB20" s="23"/>
      <c r="AC20" s="47" t="e">
        <f>PRODUCT(AC5:AC19)</f>
        <v>#DIV/0!</v>
      </c>
      <c r="AD20" s="46" t="e">
        <f>SUM(AD5:AD19)</f>
        <v>#DIV/0!</v>
      </c>
      <c r="AE20" s="46" t="e">
        <f>SUM(AE5:AE19)</f>
        <v>#DIV/0!</v>
      </c>
      <c r="AF20" s="46" t="e">
        <f>1-AC20-AD20-AE20</f>
        <v>#DIV/0!</v>
      </c>
      <c r="BH20">
        <v>1</v>
      </c>
      <c r="BI20">
        <v>8</v>
      </c>
      <c r="BJ20" s="107" t="e">
        <f t="shared" si="7"/>
        <v>#DIV/0!</v>
      </c>
      <c r="BP20">
        <f>BP16+1</f>
        <v>6</v>
      </c>
      <c r="BQ20">
        <v>2</v>
      </c>
      <c r="BR20" s="107" t="e">
        <f>$H$30*H40</f>
        <v>#DIV/0!</v>
      </c>
    </row>
    <row r="21" spans="1:70" x14ac:dyDescent="0.25">
      <c r="A21" s="38" t="s">
        <v>78</v>
      </c>
      <c r="B21" s="39">
        <f>5-B20</f>
        <v>5</v>
      </c>
      <c r="C21" s="35"/>
      <c r="D21" s="24"/>
      <c r="E21" s="24"/>
      <c r="V21" s="59" t="e">
        <f>SUM(V24:V34)</f>
        <v>#DIV/0!</v>
      </c>
      <c r="AS21" s="82" t="e">
        <f>Y22+AA22+AC22+AE22+AG22+AI22+AK22+AM22+AO22+AQ22+AS22</f>
        <v>#DIV/0!</v>
      </c>
      <c r="BH21" s="18">
        <v>1</v>
      </c>
      <c r="BI21">
        <v>9</v>
      </c>
      <c r="BJ21" s="107" t="e">
        <f t="shared" si="7"/>
        <v>#DIV/0!</v>
      </c>
      <c r="BP21">
        <f>BP17+1</f>
        <v>6</v>
      </c>
      <c r="BQ21">
        <v>3</v>
      </c>
      <c r="BR21" s="107" t="e">
        <f>$H$30*H41</f>
        <v>#DIV/0!</v>
      </c>
    </row>
    <row r="22" spans="1:70" ht="15.75" thickBot="1" x14ac:dyDescent="0.3">
      <c r="A22" s="26" t="s">
        <v>77</v>
      </c>
      <c r="B22" s="62" t="e">
        <f>(B6)/((B6)+(C6))</f>
        <v>#DIV/0!</v>
      </c>
      <c r="C22" s="63" t="e">
        <f>1-B22</f>
        <v>#DIV/0!</v>
      </c>
      <c r="D22" s="24"/>
      <c r="E22" s="24"/>
      <c r="H22" s="59" t="e">
        <f>SUM(H24:H34)</f>
        <v>#DIV/0!</v>
      </c>
      <c r="J22" s="59" t="e">
        <f>SUM(J24:J34)</f>
        <v>#DIV/0!</v>
      </c>
      <c r="K22" s="59"/>
      <c r="L22" s="59" t="e">
        <f>SUM(L24:L34)</f>
        <v>#DIV/0!</v>
      </c>
      <c r="N22" s="59" t="e">
        <f>SUM(N24:N34)</f>
        <v>#DIV/0!</v>
      </c>
      <c r="O22" s="34"/>
      <c r="P22" s="59" t="e">
        <f>SUM(P24:P34)</f>
        <v>#DIV/0!</v>
      </c>
      <c r="R22" s="59" t="e">
        <f>SUM(R24:R34)</f>
        <v>#DIV/0!</v>
      </c>
      <c r="T22" s="59" t="e">
        <f>SUM(T24:T34)</f>
        <v>#DIV/0!</v>
      </c>
      <c r="V22" s="59" t="e">
        <f>SUM(V24:V33)</f>
        <v>#DIV/0!</v>
      </c>
      <c r="Y22" s="80" t="e">
        <f>SUM(Y24:Y34)</f>
        <v>#DIV/0!</v>
      </c>
      <c r="Z22" s="81"/>
      <c r="AA22" s="80" t="e">
        <f>SUM(AA24:AA34)</f>
        <v>#DIV/0!</v>
      </c>
      <c r="AB22" s="81"/>
      <c r="AC22" s="80" t="e">
        <f>SUM(AC24:AC34)</f>
        <v>#DIV/0!</v>
      </c>
      <c r="AD22" s="81"/>
      <c r="AE22" s="80" t="e">
        <f>SUM(AE24:AE34)</f>
        <v>#DIV/0!</v>
      </c>
      <c r="AF22" s="81"/>
      <c r="AG22" s="80" t="e">
        <f>SUM(AG24:AG34)</f>
        <v>#DIV/0!</v>
      </c>
      <c r="AH22" s="81"/>
      <c r="AI22" s="80" t="e">
        <f>SUM(AI24:AI34)</f>
        <v>#DIV/0!</v>
      </c>
      <c r="AJ22" s="81"/>
      <c r="AK22" s="80" t="e">
        <f>SUM(AK24:AK34)</f>
        <v>#DIV/0!</v>
      </c>
      <c r="AL22" s="81"/>
      <c r="AM22" s="80" t="e">
        <f>SUM(AM24:AM34)</f>
        <v>#DIV/0!</v>
      </c>
      <c r="AN22" s="81"/>
      <c r="AO22" s="80" t="e">
        <f>SUM(AO24:AO34)</f>
        <v>#DIV/0!</v>
      </c>
      <c r="AP22" s="81"/>
      <c r="AQ22" s="80" t="e">
        <f>SUM(AQ24:AQ34)</f>
        <v>#DIV/0!</v>
      </c>
      <c r="AR22" s="81"/>
      <c r="AS22" s="80" t="e">
        <f>SUM(AS24:AS34)</f>
        <v>#DIV/0!</v>
      </c>
      <c r="BH22">
        <v>1</v>
      </c>
      <c r="BI22">
        <v>10</v>
      </c>
      <c r="BJ22" s="107" t="e">
        <f t="shared" si="7"/>
        <v>#DIV/0!</v>
      </c>
      <c r="BP22">
        <f>BP18+1</f>
        <v>6</v>
      </c>
      <c r="BQ22">
        <v>4</v>
      </c>
      <c r="BR22" s="107" t="e">
        <f>$H$30*H42</f>
        <v>#DIV/0!</v>
      </c>
    </row>
    <row r="23" spans="1:70" ht="15.75" thickBot="1" x14ac:dyDescent="0.3">
      <c r="A23" s="40" t="s">
        <v>67</v>
      </c>
      <c r="B23" s="56" t="e">
        <f>((B22^2.8)/((B22^2.8)+(C22^2.8)))*B21</f>
        <v>#DIV/0!</v>
      </c>
      <c r="C23" s="57" t="e">
        <f>B21-B23</f>
        <v>#DIV/0!</v>
      </c>
      <c r="D23" s="151">
        <f>SUM(D25:D30)</f>
        <v>1</v>
      </c>
      <c r="E23" s="151">
        <f>SUM(E25:E30)</f>
        <v>1</v>
      </c>
      <c r="G23" s="99" t="s">
        <v>103</v>
      </c>
      <c r="H23" s="100" t="s">
        <v>75</v>
      </c>
      <c r="I23" s="99" t="s">
        <v>100</v>
      </c>
      <c r="J23" s="101" t="s">
        <v>101</v>
      </c>
      <c r="K23" s="99" t="s">
        <v>102</v>
      </c>
      <c r="L23" s="101" t="s">
        <v>75</v>
      </c>
      <c r="M23" s="83" t="s">
        <v>99</v>
      </c>
      <c r="N23" s="27" t="s">
        <v>74</v>
      </c>
      <c r="O23" s="27" t="s">
        <v>126</v>
      </c>
      <c r="P23" s="27" t="s">
        <v>75</v>
      </c>
      <c r="Q23" s="27" t="s">
        <v>87</v>
      </c>
      <c r="R23" s="27" t="s">
        <v>75</v>
      </c>
      <c r="S23" s="27" t="s">
        <v>83</v>
      </c>
      <c r="T23" s="134" t="s">
        <v>75</v>
      </c>
      <c r="U23" s="138" t="s">
        <v>85</v>
      </c>
      <c r="V23" s="139" t="s">
        <v>74</v>
      </c>
      <c r="W23" s="83" t="s">
        <v>73</v>
      </c>
      <c r="X23" s="27" t="s">
        <v>88</v>
      </c>
      <c r="Y23" s="27" t="s">
        <v>75</v>
      </c>
      <c r="Z23" s="27" t="s">
        <v>89</v>
      </c>
      <c r="AA23" s="27" t="s">
        <v>75</v>
      </c>
      <c r="AB23" s="27" t="s">
        <v>90</v>
      </c>
      <c r="AC23" s="27" t="s">
        <v>75</v>
      </c>
      <c r="AD23" s="27" t="s">
        <v>91</v>
      </c>
      <c r="AE23" s="27" t="s">
        <v>75</v>
      </c>
      <c r="AF23" s="27" t="s">
        <v>92</v>
      </c>
      <c r="AG23" s="27" t="s">
        <v>75</v>
      </c>
      <c r="AH23" s="27" t="s">
        <v>93</v>
      </c>
      <c r="AI23" s="27" t="s">
        <v>75</v>
      </c>
      <c r="AJ23" s="27" t="s">
        <v>94</v>
      </c>
      <c r="AK23" s="27" t="s">
        <v>75</v>
      </c>
      <c r="AL23" s="27" t="s">
        <v>95</v>
      </c>
      <c r="AM23" s="27" t="s">
        <v>75</v>
      </c>
      <c r="AN23" s="27" t="s">
        <v>96</v>
      </c>
      <c r="AO23" s="27" t="s">
        <v>75</v>
      </c>
      <c r="AP23" s="27" t="s">
        <v>97</v>
      </c>
      <c r="AQ23" s="27" t="s">
        <v>75</v>
      </c>
      <c r="AR23" s="27" t="s">
        <v>98</v>
      </c>
      <c r="AS23" s="27" t="s">
        <v>75</v>
      </c>
      <c r="BH23">
        <f t="shared" ref="BH23:BH30" si="8">BH15+1</f>
        <v>2</v>
      </c>
      <c r="BI23">
        <v>3</v>
      </c>
      <c r="BJ23" s="107" t="e">
        <f t="shared" ref="BJ23:BJ30" si="9">$H$26*H41</f>
        <v>#DIV/0!</v>
      </c>
      <c r="BP23">
        <f>BL9+1</f>
        <v>6</v>
      </c>
      <c r="BQ23">
        <v>5</v>
      </c>
      <c r="BR23" s="107" t="e">
        <f>$H$30*H43</f>
        <v>#DIV/0!</v>
      </c>
    </row>
    <row r="24" spans="1:70" x14ac:dyDescent="0.25">
      <c r="A24" s="26" t="s">
        <v>76</v>
      </c>
      <c r="B24" s="64" t="e">
        <f>B23/B21</f>
        <v>#DIV/0!</v>
      </c>
      <c r="C24" s="65" t="e">
        <f>C23/B21</f>
        <v>#DIV/0!</v>
      </c>
      <c r="D24" s="13" t="s">
        <v>79</v>
      </c>
      <c r="E24" s="13" t="s">
        <v>80</v>
      </c>
      <c r="G24" s="126">
        <v>0</v>
      </c>
      <c r="H24" s="127" t="e">
        <f>L24*J24</f>
        <v>#DIV/0!</v>
      </c>
      <c r="I24" s="97">
        <v>0</v>
      </c>
      <c r="J24" s="98" t="e">
        <f t="shared" ref="J24:J34" si="10">Y24+AA24+AC24+AE24+AG24+AI24+AK24+AM24+AO24+AQ24+AS24</f>
        <v>#DIV/0!</v>
      </c>
      <c r="K24" s="97">
        <v>0</v>
      </c>
      <c r="L24" s="98" t="e">
        <f>S20</f>
        <v>#DIV/0!</v>
      </c>
      <c r="M24" s="84">
        <v>0</v>
      </c>
      <c r="N24" s="71" t="e">
        <f>(1-$B$24)^$B$21</f>
        <v>#DIV/0!</v>
      </c>
      <c r="O24" s="70">
        <v>0</v>
      </c>
      <c r="P24" s="71" t="e">
        <f>N24</f>
        <v>#DIV/0!</v>
      </c>
      <c r="Q24" s="12">
        <v>0</v>
      </c>
      <c r="R24" s="73" t="e">
        <f>P24*N24</f>
        <v>#DIV/0!</v>
      </c>
      <c r="S24" s="70">
        <v>0</v>
      </c>
      <c r="T24" s="135" t="e">
        <f>(1-$B$33)^(INT(C23*2*(1-C31)))</f>
        <v>#DIV/0!</v>
      </c>
      <c r="U24" s="140">
        <v>0</v>
      </c>
      <c r="V24" s="86" t="e">
        <f>R24*T24</f>
        <v>#DIV/0!</v>
      </c>
      <c r="W24" s="136" t="e">
        <f>B31</f>
        <v>#DIV/0!</v>
      </c>
      <c r="X24" s="12">
        <v>0</v>
      </c>
      <c r="Y24" s="79" t="e">
        <f>V24</f>
        <v>#DIV/0!</v>
      </c>
      <c r="Z24" s="12">
        <v>0</v>
      </c>
      <c r="AA24" s="78" t="e">
        <f>((1-W24)^Z25)*V25</f>
        <v>#DIV/0!</v>
      </c>
      <c r="AB24" s="12">
        <v>0</v>
      </c>
      <c r="AC24" s="79" t="e">
        <f>(((1-$W$24)^AB26))*V26</f>
        <v>#DIV/0!</v>
      </c>
      <c r="AD24" s="12">
        <v>0</v>
      </c>
      <c r="AE24" s="79" t="e">
        <f>(((1-$W$24)^AB27))*V27</f>
        <v>#DIV/0!</v>
      </c>
      <c r="AF24" s="12">
        <v>0</v>
      </c>
      <c r="AG24" s="79" t="e">
        <f>(((1-$W$24)^AB28))*V28</f>
        <v>#DIV/0!</v>
      </c>
      <c r="AH24" s="12">
        <v>0</v>
      </c>
      <c r="AI24" s="79" t="e">
        <f>(((1-$W$24)^AB29))*V29</f>
        <v>#DIV/0!</v>
      </c>
      <c r="AJ24" s="12">
        <v>0</v>
      </c>
      <c r="AK24" s="79" t="e">
        <f>(((1-$W$24)^AB30))*V30</f>
        <v>#DIV/0!</v>
      </c>
      <c r="AL24" s="12">
        <v>0</v>
      </c>
      <c r="AM24" s="79" t="e">
        <f>(((1-$W$24)^AB31))*V31</f>
        <v>#DIV/0!</v>
      </c>
      <c r="AN24" s="12">
        <v>0</v>
      </c>
      <c r="AO24" s="79" t="e">
        <f>(((1-$W$24)^AB32))*V32</f>
        <v>#DIV/0!</v>
      </c>
      <c r="AP24" s="12">
        <v>0</v>
      </c>
      <c r="AQ24" s="79" t="e">
        <f>(((1-$W$24)^AB33))*V33</f>
        <v>#DIV/0!</v>
      </c>
      <c r="AR24" s="12">
        <v>0</v>
      </c>
      <c r="AS24" s="79" t="e">
        <f>(((1-$W$24)^AB34))*V34</f>
        <v>#DIV/0!</v>
      </c>
      <c r="AV24" s="14">
        <v>0</v>
      </c>
      <c r="AW24" s="14">
        <v>1</v>
      </c>
      <c r="AX24" s="14">
        <v>2</v>
      </c>
      <c r="AY24" s="14">
        <v>3</v>
      </c>
      <c r="AZ24" s="14">
        <v>4</v>
      </c>
      <c r="BA24" s="14">
        <v>5</v>
      </c>
      <c r="BB24" s="14">
        <v>6</v>
      </c>
      <c r="BC24" s="14">
        <v>7</v>
      </c>
      <c r="BD24" s="14">
        <v>8</v>
      </c>
      <c r="BE24" s="14">
        <v>9</v>
      </c>
      <c r="BF24" s="14">
        <v>10</v>
      </c>
      <c r="BH24">
        <f t="shared" si="8"/>
        <v>2</v>
      </c>
      <c r="BI24">
        <v>4</v>
      </c>
      <c r="BJ24" s="107" t="e">
        <f t="shared" si="9"/>
        <v>#DIV/0!</v>
      </c>
      <c r="BP24">
        <f>BH49+1</f>
        <v>7</v>
      </c>
      <c r="BQ24">
        <v>0</v>
      </c>
      <c r="BR24" s="107" t="e">
        <f t="shared" ref="BR24:BR30" si="11">$H$31*H38</f>
        <v>#DIV/0!</v>
      </c>
    </row>
    <row r="25" spans="1:70" x14ac:dyDescent="0.25">
      <c r="A25" s="26" t="s">
        <v>69</v>
      </c>
      <c r="B25" s="117" t="e">
        <f>1/(1+EXP(-3.1416*4*((B11/(B11+C8))-(3.1416/6))))</f>
        <v>#DIV/0!</v>
      </c>
      <c r="C25" s="118" t="e">
        <f>1/(1+EXP(-3.1416*4*((C11/(C11+B8))-(3.1416/6))))</f>
        <v>#DIV/0!</v>
      </c>
      <c r="D25" s="153">
        <f>IF(B17="AOW", 0.36-0.08, IF(B17="AIM", 0.36+0.08, IF(B17="TL",(0.361)-(0.36*B32),0.36)))</f>
        <v>0.36</v>
      </c>
      <c r="E25" s="153">
        <f>IF(C17="AOW", 0.36-0.08, IF(C17="AIM", 0.36+0.08, IF(C17="TL",(0.361)-(0.36*C32),0.36)))</f>
        <v>0.36</v>
      </c>
      <c r="G25" s="87">
        <v>1</v>
      </c>
      <c r="H25" s="128" t="e">
        <f>L24*J25+L25*J24</f>
        <v>#DIV/0!</v>
      </c>
      <c r="I25" s="93">
        <v>1</v>
      </c>
      <c r="J25" s="86" t="e">
        <f t="shared" si="10"/>
        <v>#DIV/0!</v>
      </c>
      <c r="K25" s="93">
        <v>1</v>
      </c>
      <c r="L25" s="86" t="e">
        <f>T20</f>
        <v>#DIV/0!</v>
      </c>
      <c r="M25" s="85">
        <v>1</v>
      </c>
      <c r="N25" s="71" t="e">
        <f>(($B$24)^M25)*((1-($B$24))^($B$21-M25))*HLOOKUP($B$21,$AV$24:$BF$34,M25+1)</f>
        <v>#DIV/0!</v>
      </c>
      <c r="O25" s="72">
        <v>1</v>
      </c>
      <c r="P25" s="71" t="e">
        <f t="shared" ref="P25:P29" si="12">N25</f>
        <v>#DIV/0!</v>
      </c>
      <c r="Q25" s="28">
        <v>1</v>
      </c>
      <c r="R25" s="37" t="e">
        <f>N25*P24+P25*N24</f>
        <v>#DIV/0!</v>
      </c>
      <c r="S25" s="72">
        <v>1</v>
      </c>
      <c r="T25" s="135" t="e">
        <f t="shared" ref="T25:T34" si="13">(($B$33)^S25)*((1-($B$33))^(INT($C$23*2*(1-$C$31))-S25))*HLOOKUP(INT($C$23*2*(1-$C$31)),$AV$24:$BF$34,S25+1)</f>
        <v>#DIV/0!</v>
      </c>
      <c r="U25" s="93">
        <v>1</v>
      </c>
      <c r="V25" s="86" t="e">
        <f>R25*T24+T25*R24</f>
        <v>#DIV/0!</v>
      </c>
      <c r="W25" s="137"/>
      <c r="X25" s="28">
        <v>1</v>
      </c>
      <c r="Y25" s="73"/>
      <c r="Z25" s="28">
        <v>1</v>
      </c>
      <c r="AA25" s="79" t="e">
        <f>(1-((1-W24)^Z25))*V25</f>
        <v>#DIV/0!</v>
      </c>
      <c r="AB25" s="28">
        <v>1</v>
      </c>
      <c r="AC25" s="79" t="e">
        <f>((($W$24)^M25)*((1-($W$24))^($U$26-M25))*HLOOKUP($U$26,$AV$24:$BF$34,M25+1))*V26</f>
        <v>#DIV/0!</v>
      </c>
      <c r="AD25" s="28">
        <v>1</v>
      </c>
      <c r="AE25" s="79" t="e">
        <f>((($W$24)^M25)*((1-($W$24))^($U$27-M25))*HLOOKUP($U$27,$AV$24:$BF$34,M25+1))*V27</f>
        <v>#DIV/0!</v>
      </c>
      <c r="AF25" s="28">
        <v>1</v>
      </c>
      <c r="AG25" s="79" t="e">
        <f>((($W$24)^M25)*((1-($W$24))^($U$28-M25))*HLOOKUP($U$28,$AV$24:$BF$34,M25+1))*V28</f>
        <v>#DIV/0!</v>
      </c>
      <c r="AH25" s="28">
        <v>1</v>
      </c>
      <c r="AI25" s="79" t="e">
        <f>((($W$24)^M25)*((1-($W$24))^($U$29-M25))*HLOOKUP($U$29,$AV$24:$BF$34,M25+1))*V29</f>
        <v>#DIV/0!</v>
      </c>
      <c r="AJ25" s="28">
        <v>1</v>
      </c>
      <c r="AK25" s="79" t="e">
        <f>((($W$24)^M25)*((1-($W$24))^($U$30-M25))*HLOOKUP($U$30,$AV$24:$BF$34,M25+1))*V30</f>
        <v>#DIV/0!</v>
      </c>
      <c r="AL25" s="28">
        <v>1</v>
      </c>
      <c r="AM25" s="79" t="e">
        <f>((($W$24)^Q25)*((1-($W$24))^($U$31-Q25))*HLOOKUP($U$31,$AV$24:$BF$34,Q25+1))*V31</f>
        <v>#DIV/0!</v>
      </c>
      <c r="AN25" s="28">
        <v>1</v>
      </c>
      <c r="AO25" s="79" t="e">
        <f>((($W$24)^Q25)*((1-($W$24))^($U$32-Q25))*HLOOKUP($U$32,$AV$24:$BF$34,Q25+1))*V32</f>
        <v>#DIV/0!</v>
      </c>
      <c r="AP25" s="28">
        <v>1</v>
      </c>
      <c r="AQ25" s="79" t="e">
        <f>((($W$24)^Q25)*((1-($W$24))^($U$33-Q25))*HLOOKUP($U$33,$AV$24:$BF$34,Q25+1))*V33</f>
        <v>#DIV/0!</v>
      </c>
      <c r="AR25" s="28">
        <v>1</v>
      </c>
      <c r="AS25" s="79" t="e">
        <f>((($W$24)^Q25)*((1-($W$24))^($U$34-Q25))*HLOOKUP($U$34,$AV$24:$BF$34,Q25+1))*V34</f>
        <v>#DIV/0!</v>
      </c>
      <c r="AV25" s="14">
        <v>1</v>
      </c>
      <c r="AW25">
        <v>1</v>
      </c>
      <c r="AX25">
        <v>2</v>
      </c>
      <c r="AY25">
        <v>3</v>
      </c>
      <c r="AZ25">
        <v>4</v>
      </c>
      <c r="BA25">
        <v>5</v>
      </c>
      <c r="BB25">
        <v>6</v>
      </c>
      <c r="BC25">
        <f>7</f>
        <v>7</v>
      </c>
      <c r="BD25">
        <v>8</v>
      </c>
      <c r="BE25">
        <v>9</v>
      </c>
      <c r="BF25">
        <v>10</v>
      </c>
      <c r="BH25">
        <f t="shared" si="8"/>
        <v>2</v>
      </c>
      <c r="BI25">
        <v>5</v>
      </c>
      <c r="BJ25" s="107" t="e">
        <f t="shared" si="9"/>
        <v>#DIV/0!</v>
      </c>
      <c r="BP25">
        <f>BP19+1</f>
        <v>7</v>
      </c>
      <c r="BQ25">
        <v>1</v>
      </c>
      <c r="BR25" s="107" t="e">
        <f t="shared" si="11"/>
        <v>#DIV/0!</v>
      </c>
    </row>
    <row r="26" spans="1:70" x14ac:dyDescent="0.25">
      <c r="A26" s="40" t="s">
        <v>24</v>
      </c>
      <c r="B26" s="119" t="e">
        <f>1/(1+EXP(-3.1416*4*((B10/(B10+C9))-(3.1416/6))))</f>
        <v>#DIV/0!</v>
      </c>
      <c r="C26" s="120" t="e">
        <f>1/(1+EXP(-3.1416*4*((C10/(C10+B9))-(3.1416/6))))</f>
        <v>#DIV/0!</v>
      </c>
      <c r="D26" s="153">
        <f>IF(B17="AOW", 0.257+0.04, IF(B17="AIM", 0.257-0.04, IF(B17="TL",(0.257)-(0.257*B32),0.257)))</f>
        <v>0.25700000000000001</v>
      </c>
      <c r="E26" s="153">
        <f>IF(C17="AOW", 0.257+0.04, IF(C17="AIM", 0.257-0.04, IF(C17="TL",(0.257)-(0.257*C32),0.257)))</f>
        <v>0.25700000000000001</v>
      </c>
      <c r="G26" s="87">
        <v>2</v>
      </c>
      <c r="H26" s="128" t="e">
        <f>L24*J26+J25*L25+J24*L26</f>
        <v>#DIV/0!</v>
      </c>
      <c r="I26" s="93">
        <v>2</v>
      </c>
      <c r="J26" s="86" t="e">
        <f t="shared" si="10"/>
        <v>#DIV/0!</v>
      </c>
      <c r="K26" s="93">
        <v>2</v>
      </c>
      <c r="L26" s="86" t="e">
        <f>U20</f>
        <v>#DIV/0!</v>
      </c>
      <c r="M26" s="85">
        <v>2</v>
      </c>
      <c r="N26" s="71" t="e">
        <f>(($B$24)^M26)*((1-($B$24))^($B$21-M26))*HLOOKUP($B$21,$AV$24:$BF$34,M26+1)</f>
        <v>#DIV/0!</v>
      </c>
      <c r="O26" s="72">
        <v>2</v>
      </c>
      <c r="P26" s="71" t="e">
        <f t="shared" si="12"/>
        <v>#DIV/0!</v>
      </c>
      <c r="Q26" s="28">
        <v>2</v>
      </c>
      <c r="R26" s="37" t="e">
        <f>P24*N26+P25*N25+P26*N24</f>
        <v>#DIV/0!</v>
      </c>
      <c r="S26" s="72">
        <v>2</v>
      </c>
      <c r="T26" s="135" t="e">
        <f t="shared" si="13"/>
        <v>#DIV/0!</v>
      </c>
      <c r="U26" s="93">
        <v>2</v>
      </c>
      <c r="V26" s="86" t="e">
        <f>R26*T24+T25*R25+R24*T26</f>
        <v>#DIV/0!</v>
      </c>
      <c r="W26" s="137"/>
      <c r="X26" s="28">
        <v>2</v>
      </c>
      <c r="Y26" s="73"/>
      <c r="Z26" s="28">
        <v>2</v>
      </c>
      <c r="AA26" s="79"/>
      <c r="AB26" s="28">
        <v>2</v>
      </c>
      <c r="AC26" s="79" t="e">
        <f>((($W$24)^M26)*((1-($W$24))^($U$26-M26))*HLOOKUP($U$26,$AV$24:$BF$34,M26+1))*V26</f>
        <v>#DIV/0!</v>
      </c>
      <c r="AD26" s="28">
        <v>2</v>
      </c>
      <c r="AE26" s="79" t="e">
        <f>((($W$24)^M26)*((1-($W$24))^($U$27-M26))*HLOOKUP($U$27,$AV$24:$BF$34,M26+1))*V27</f>
        <v>#DIV/0!</v>
      </c>
      <c r="AF26" s="28">
        <v>2</v>
      </c>
      <c r="AG26" s="79" t="e">
        <f>((($W$24)^M26)*((1-($W$24))^($U$28-M26))*HLOOKUP($U$28,$AV$24:$BF$34,M26+1))*V28</f>
        <v>#DIV/0!</v>
      </c>
      <c r="AH26" s="28">
        <v>2</v>
      </c>
      <c r="AI26" s="79" t="e">
        <f>((($W$24)^M26)*((1-($W$24))^($U$29-M26))*HLOOKUP($U$29,$AV$24:$BF$34,M26+1))*V29</f>
        <v>#DIV/0!</v>
      </c>
      <c r="AJ26" s="28">
        <v>2</v>
      </c>
      <c r="AK26" s="79" t="e">
        <f>((($W$24)^M26)*((1-($W$24))^($U$30-M26))*HLOOKUP($U$30,$AV$24:$BF$34,M26+1))*V30</f>
        <v>#DIV/0!</v>
      </c>
      <c r="AL26" s="28">
        <v>2</v>
      </c>
      <c r="AM26" s="79" t="e">
        <f>((($W$24)^Q26)*((1-($W$24))^($U$31-Q26))*HLOOKUP($U$31,$AV$24:$BF$34,Q26+1))*V31</f>
        <v>#DIV/0!</v>
      </c>
      <c r="AN26" s="28">
        <v>2</v>
      </c>
      <c r="AO26" s="79" t="e">
        <f>((($W$24)^Q26)*((1-($W$24))^($U$32-Q26))*HLOOKUP($U$32,$AV$24:$BF$34,Q26+1))*V32</f>
        <v>#DIV/0!</v>
      </c>
      <c r="AP26" s="28">
        <v>2</v>
      </c>
      <c r="AQ26" s="79" t="e">
        <f>((($W$24)^Q26)*((1-($W$24))^($U$33-Q26))*HLOOKUP($U$33,$AV$24:$BF$34,Q26+1))*V33</f>
        <v>#DIV/0!</v>
      </c>
      <c r="AR26" s="28">
        <v>2</v>
      </c>
      <c r="AS26" s="79" t="e">
        <f>((($W$24)^Q26)*((1-($W$24))^($U$34-Q26))*HLOOKUP($U$34,$AV$24:$BF$34,Q26+1))*V34</f>
        <v>#DIV/0!</v>
      </c>
      <c r="AV26" s="14">
        <v>2</v>
      </c>
      <c r="AX26">
        <v>1</v>
      </c>
      <c r="AY26">
        <v>3</v>
      </c>
      <c r="AZ26">
        <v>6</v>
      </c>
      <c r="BA26">
        <v>10</v>
      </c>
      <c r="BB26">
        <v>15</v>
      </c>
      <c r="BC26">
        <f>6+15</f>
        <v>21</v>
      </c>
      <c r="BD26">
        <f>21+7</f>
        <v>28</v>
      </c>
      <c r="BE26">
        <f>28+8</f>
        <v>36</v>
      </c>
      <c r="BF26">
        <f>36+9</f>
        <v>45</v>
      </c>
      <c r="BH26">
        <f t="shared" si="8"/>
        <v>2</v>
      </c>
      <c r="BI26">
        <v>6</v>
      </c>
      <c r="BJ26" s="107" t="e">
        <f t="shared" si="9"/>
        <v>#DIV/0!</v>
      </c>
      <c r="BP26">
        <f>BP20+1</f>
        <v>7</v>
      </c>
      <c r="BQ26">
        <v>2</v>
      </c>
      <c r="BR26" s="107" t="e">
        <f t="shared" si="11"/>
        <v>#DIV/0!</v>
      </c>
    </row>
    <row r="27" spans="1:70" x14ac:dyDescent="0.25">
      <c r="A27" s="26" t="s">
        <v>25</v>
      </c>
      <c r="B27" s="119" t="e">
        <f>1/(1+EXP(-3.1416*4*((B12/(B12+C7))-(3.1416/6))))</f>
        <v>#DIV/0!</v>
      </c>
      <c r="C27" s="120" t="e">
        <f>1/(1+EXP(-3.1416*4*((C12/(C12+B7))-(3.1416/6))))</f>
        <v>#DIV/0!</v>
      </c>
      <c r="D27" s="153">
        <f>D26</f>
        <v>0.25700000000000001</v>
      </c>
      <c r="E27" s="153">
        <f>E26</f>
        <v>0.25700000000000001</v>
      </c>
      <c r="G27" s="87">
        <v>3</v>
      </c>
      <c r="H27" s="128" t="e">
        <f>J27*L24+J26*L25+L27*J24+L26*J25</f>
        <v>#DIV/0!</v>
      </c>
      <c r="I27" s="93">
        <v>3</v>
      </c>
      <c r="J27" s="86" t="e">
        <f t="shared" si="10"/>
        <v>#DIV/0!</v>
      </c>
      <c r="K27" s="93">
        <v>3</v>
      </c>
      <c r="L27" s="86" t="e">
        <f>V20</f>
        <v>#DIV/0!</v>
      </c>
      <c r="M27" s="85">
        <v>3</v>
      </c>
      <c r="N27" s="71" t="e">
        <f>(($B$24)^M27)*((1-($B$24))^($B$21-M27))*HLOOKUP($B$21,$AV$24:$BF$34,M27+1)</f>
        <v>#DIV/0!</v>
      </c>
      <c r="O27" s="72">
        <v>3</v>
      </c>
      <c r="P27" s="71" t="e">
        <f t="shared" si="12"/>
        <v>#DIV/0!</v>
      </c>
      <c r="Q27" s="28">
        <v>3</v>
      </c>
      <c r="R27" s="37" t="e">
        <f>P24*N27+P25*N26+P26*N25+P27*N24</f>
        <v>#DIV/0!</v>
      </c>
      <c r="S27" s="72">
        <v>3</v>
      </c>
      <c r="T27" s="135" t="e">
        <f t="shared" si="13"/>
        <v>#DIV/0!</v>
      </c>
      <c r="U27" s="93">
        <v>3</v>
      </c>
      <c r="V27" s="86" t="e">
        <f>R27*T24+R26*T25+R25*T26+R24*T27</f>
        <v>#DIV/0!</v>
      </c>
      <c r="W27" s="137"/>
      <c r="X27" s="28">
        <v>3</v>
      </c>
      <c r="Y27" s="73"/>
      <c r="Z27" s="28">
        <v>3</v>
      </c>
      <c r="AA27" s="79"/>
      <c r="AB27" s="28">
        <v>3</v>
      </c>
      <c r="AC27" s="79"/>
      <c r="AD27" s="28">
        <v>3</v>
      </c>
      <c r="AE27" s="79" t="e">
        <f>((($W$24)^M27)*((1-($W$24))^($U$27-M27))*HLOOKUP($U$27,$AV$24:$BF$34,M27+1))*V27</f>
        <v>#DIV/0!</v>
      </c>
      <c r="AF27" s="28">
        <v>3</v>
      </c>
      <c r="AG27" s="79" t="e">
        <f>((($W$24)^M27)*((1-($W$24))^($U$28-M27))*HLOOKUP($U$28,$AV$24:$BF$34,M27+1))*V28</f>
        <v>#DIV/0!</v>
      </c>
      <c r="AH27" s="28">
        <v>3</v>
      </c>
      <c r="AI27" s="79" t="e">
        <f>((($W$24)^M27)*((1-($W$24))^($U$29-M27))*HLOOKUP($U$29,$AV$24:$BF$34,M27+1))*V29</f>
        <v>#DIV/0!</v>
      </c>
      <c r="AJ27" s="28">
        <v>3</v>
      </c>
      <c r="AK27" s="79" t="e">
        <f>((($W$24)^M27)*((1-($W$24))^($U$30-M27))*HLOOKUP($U$30,$AV$24:$BF$34,M27+1))*V30</f>
        <v>#DIV/0!</v>
      </c>
      <c r="AL27" s="28">
        <v>3</v>
      </c>
      <c r="AM27" s="79" t="e">
        <f>((($W$24)^Q27)*((1-($W$24))^($U$31-Q27))*HLOOKUP($U$31,$AV$24:$BF$34,Q27+1))*V31</f>
        <v>#DIV/0!</v>
      </c>
      <c r="AN27" s="28">
        <v>3</v>
      </c>
      <c r="AO27" s="79" t="e">
        <f>((($W$24)^Q27)*((1-($W$24))^($U$32-Q27))*HLOOKUP($U$32,$AV$24:$BF$34,Q27+1))*V32</f>
        <v>#DIV/0!</v>
      </c>
      <c r="AP27" s="28">
        <v>3</v>
      </c>
      <c r="AQ27" s="79" t="e">
        <f>((($W$24)^Q27)*((1-($W$24))^($U$33-Q27))*HLOOKUP($U$33,$AV$24:$BF$34,Q27+1))*V33</f>
        <v>#DIV/0!</v>
      </c>
      <c r="AR27" s="28">
        <v>3</v>
      </c>
      <c r="AS27" s="79" t="e">
        <f>((($W$24)^Q27)*((1-($W$24))^($U$34-Q27))*HLOOKUP($U$34,$AV$24:$BF$34,Q27+1))*V34</f>
        <v>#DIV/0!</v>
      </c>
      <c r="AV27" s="14">
        <v>3</v>
      </c>
      <c r="AY27">
        <v>1</v>
      </c>
      <c r="AZ27">
        <v>4</v>
      </c>
      <c r="BA27">
        <v>10</v>
      </c>
      <c r="BB27">
        <v>20</v>
      </c>
      <c r="BC27">
        <f>15+20</f>
        <v>35</v>
      </c>
      <c r="BD27">
        <f>21+35</f>
        <v>56</v>
      </c>
      <c r="BE27">
        <f>28+56</f>
        <v>84</v>
      </c>
      <c r="BF27">
        <f>36+84</f>
        <v>120</v>
      </c>
      <c r="BH27">
        <f t="shared" si="8"/>
        <v>2</v>
      </c>
      <c r="BI27">
        <v>7</v>
      </c>
      <c r="BJ27" s="107" t="e">
        <f t="shared" si="9"/>
        <v>#DIV/0!</v>
      </c>
      <c r="BP27">
        <f>BP21+1</f>
        <v>7</v>
      </c>
      <c r="BQ27">
        <v>3</v>
      </c>
      <c r="BR27" s="107" t="e">
        <f t="shared" si="11"/>
        <v>#DIV/0!</v>
      </c>
    </row>
    <row r="28" spans="1:70" x14ac:dyDescent="0.25">
      <c r="A28" s="26" t="s">
        <v>26</v>
      </c>
      <c r="B28" s="121">
        <v>0.9</v>
      </c>
      <c r="C28" s="122">
        <v>0.9</v>
      </c>
      <c r="D28" s="153">
        <v>8.5000000000000006E-2</v>
      </c>
      <c r="E28" s="153">
        <v>8.5000000000000006E-2</v>
      </c>
      <c r="G28" s="87">
        <v>4</v>
      </c>
      <c r="H28" s="128" t="e">
        <f>J28*L24+J27*L25+J26*L26+J25*L27</f>
        <v>#DIV/0!</v>
      </c>
      <c r="I28" s="93">
        <v>4</v>
      </c>
      <c r="J28" s="86" t="e">
        <f t="shared" si="10"/>
        <v>#DIV/0!</v>
      </c>
      <c r="K28" s="93">
        <v>4</v>
      </c>
      <c r="L28" s="86"/>
      <c r="M28" s="85">
        <v>4</v>
      </c>
      <c r="N28" s="71" t="e">
        <f>(($B$24)^M28)*((1-($B$24))^($B$21-M28))*HLOOKUP($B$21,$AV$24:$BF$34,M28+1)</f>
        <v>#DIV/0!</v>
      </c>
      <c r="O28" s="72">
        <v>4</v>
      </c>
      <c r="P28" s="71" t="e">
        <f t="shared" si="12"/>
        <v>#DIV/0!</v>
      </c>
      <c r="Q28" s="28">
        <v>4</v>
      </c>
      <c r="R28" s="37" t="e">
        <f>P24*N28+P25*N27+P26*N26+P27*N25+P28*N24</f>
        <v>#DIV/0!</v>
      </c>
      <c r="S28" s="72">
        <v>4</v>
      </c>
      <c r="T28" s="135" t="e">
        <f t="shared" si="13"/>
        <v>#DIV/0!</v>
      </c>
      <c r="U28" s="93">
        <v>4</v>
      </c>
      <c r="V28" s="86" t="e">
        <f>T28*R24+T27*R25+T26*R26+T25*R27+T24*R28</f>
        <v>#DIV/0!</v>
      </c>
      <c r="W28" s="137"/>
      <c r="X28" s="28">
        <v>4</v>
      </c>
      <c r="Y28" s="73"/>
      <c r="Z28" s="28">
        <v>4</v>
      </c>
      <c r="AA28" s="79"/>
      <c r="AB28" s="28">
        <v>4</v>
      </c>
      <c r="AC28" s="79"/>
      <c r="AD28" s="28">
        <v>4</v>
      </c>
      <c r="AE28" s="79"/>
      <c r="AF28" s="28">
        <v>4</v>
      </c>
      <c r="AG28" s="79" t="e">
        <f>((($W$24)^M28)*((1-($W$24))^($U$28-M28))*HLOOKUP($U$28,$AV$24:$BF$34,M28+1))*V28</f>
        <v>#DIV/0!</v>
      </c>
      <c r="AH28" s="28">
        <v>4</v>
      </c>
      <c r="AI28" s="79" t="e">
        <f>((($W$24)^M28)*((1-($W$24))^($U$29-M28))*HLOOKUP($U$29,$AV$24:$BF$34,M28+1))*V29</f>
        <v>#DIV/0!</v>
      </c>
      <c r="AJ28" s="28">
        <v>4</v>
      </c>
      <c r="AK28" s="79" t="e">
        <f>((($W$24)^M28)*((1-($W$24))^($U$30-M28))*HLOOKUP($U$30,$AV$24:$BF$34,M28+1))*V30</f>
        <v>#DIV/0!</v>
      </c>
      <c r="AL28" s="28">
        <v>4</v>
      </c>
      <c r="AM28" s="79" t="e">
        <f>((($W$24)^Q28)*((1-($W$24))^($U$31-Q28))*HLOOKUP($U$31,$AV$24:$BF$34,Q28+1))*V31</f>
        <v>#DIV/0!</v>
      </c>
      <c r="AN28" s="28">
        <v>4</v>
      </c>
      <c r="AO28" s="79" t="e">
        <f>((($W$24)^Q28)*((1-($W$24))^($U$32-Q28))*HLOOKUP($U$32,$AV$24:$BF$34,Q28+1))*V32</f>
        <v>#DIV/0!</v>
      </c>
      <c r="AP28" s="28">
        <v>4</v>
      </c>
      <c r="AQ28" s="79" t="e">
        <f>((($W$24)^Q28)*((1-($W$24))^($U$33-Q28))*HLOOKUP($U$33,$AV$24:$BF$34,Q28+1))*V33</f>
        <v>#DIV/0!</v>
      </c>
      <c r="AR28" s="28">
        <v>4</v>
      </c>
      <c r="AS28" s="79" t="e">
        <f>((($W$24)^Q28)*((1-($W$24))^($U$34-Q28))*HLOOKUP($U$34,$AV$24:$BF$34,Q28+1))*V34</f>
        <v>#DIV/0!</v>
      </c>
      <c r="AV28" s="14">
        <v>4</v>
      </c>
      <c r="AZ28">
        <v>1</v>
      </c>
      <c r="BA28">
        <v>5</v>
      </c>
      <c r="BB28">
        <v>15</v>
      </c>
      <c r="BC28">
        <f>20+15</f>
        <v>35</v>
      </c>
      <c r="BD28">
        <f>35+35</f>
        <v>70</v>
      </c>
      <c r="BE28">
        <f>56+70</f>
        <v>126</v>
      </c>
      <c r="BF28">
        <f>BE27+BE28</f>
        <v>210</v>
      </c>
      <c r="BH28">
        <f t="shared" si="8"/>
        <v>2</v>
      </c>
      <c r="BI28">
        <v>8</v>
      </c>
      <c r="BJ28" s="107" t="e">
        <f t="shared" si="9"/>
        <v>#DIV/0!</v>
      </c>
      <c r="BP28">
        <f>BP22+1</f>
        <v>7</v>
      </c>
      <c r="BQ28">
        <v>4</v>
      </c>
      <c r="BR28" s="107" t="e">
        <f t="shared" si="11"/>
        <v>#DIV/0!</v>
      </c>
    </row>
    <row r="29" spans="1:70" x14ac:dyDescent="0.25">
      <c r="A29" s="26" t="s">
        <v>27</v>
      </c>
      <c r="B29" s="123">
        <f>1/(1+EXP(-3.1416*4*((B14/(B14+C13))-(3.1416/6))))</f>
        <v>0.20010231099857245</v>
      </c>
      <c r="C29" s="118">
        <f>1/(1+EXP(-3.1416*4*((C14/(C14+B13))-(3.1416/6))))</f>
        <v>0.575891899079775</v>
      </c>
      <c r="D29" s="153">
        <v>0.04</v>
      </c>
      <c r="E29" s="153">
        <v>0.04</v>
      </c>
      <c r="G29" s="87">
        <v>5</v>
      </c>
      <c r="H29" s="128" t="e">
        <f>J29*L24+J28*L25+J27*L26+J26*L27</f>
        <v>#DIV/0!</v>
      </c>
      <c r="I29" s="93">
        <v>5</v>
      </c>
      <c r="J29" s="86" t="e">
        <f t="shared" si="10"/>
        <v>#DIV/0!</v>
      </c>
      <c r="K29" s="93">
        <v>5</v>
      </c>
      <c r="L29" s="86"/>
      <c r="M29" s="85">
        <v>5</v>
      </c>
      <c r="N29" s="71" t="e">
        <f>(($B$24)^M29)*((1-($B$24))^($B$21-M29))*HLOOKUP($B$21,$AV$24:$BF$34,M29+1)</f>
        <v>#DIV/0!</v>
      </c>
      <c r="O29" s="72">
        <v>5</v>
      </c>
      <c r="P29" s="71" t="e">
        <f t="shared" si="12"/>
        <v>#DIV/0!</v>
      </c>
      <c r="Q29" s="28">
        <v>5</v>
      </c>
      <c r="R29" s="37" t="e">
        <f>P24*N29+P25*N28+P26*N27+P27*N26+P28*N25+P29*N24</f>
        <v>#DIV/0!</v>
      </c>
      <c r="S29" s="72">
        <v>5</v>
      </c>
      <c r="T29" s="135" t="e">
        <f t="shared" si="13"/>
        <v>#DIV/0!</v>
      </c>
      <c r="U29" s="93">
        <v>5</v>
      </c>
      <c r="V29" s="86" t="e">
        <f>T29*R24+T28*R25+T27*R26+T26*R27+T25*R28+T24*R29</f>
        <v>#DIV/0!</v>
      </c>
      <c r="W29" s="137"/>
      <c r="X29" s="28">
        <v>5</v>
      </c>
      <c r="Y29" s="73"/>
      <c r="Z29" s="28">
        <v>5</v>
      </c>
      <c r="AA29" s="79"/>
      <c r="AB29" s="28">
        <v>5</v>
      </c>
      <c r="AC29" s="79"/>
      <c r="AD29" s="28">
        <v>5</v>
      </c>
      <c r="AE29" s="79"/>
      <c r="AF29" s="28">
        <v>5</v>
      </c>
      <c r="AG29" s="79"/>
      <c r="AH29" s="28">
        <v>5</v>
      </c>
      <c r="AI29" s="79" t="e">
        <f>((($W$24)^M29)*((1-($W$24))^($U$29-M29))*HLOOKUP($U$29,$AV$24:$BF$34,M29+1))*V29</f>
        <v>#DIV/0!</v>
      </c>
      <c r="AJ29" s="28">
        <v>5</v>
      </c>
      <c r="AK29" s="79" t="e">
        <f>((($W$24)^M29)*((1-($W$24))^($U$30-M29))*HLOOKUP($U$30,$AV$24:$BF$34,M29+1))*V30</f>
        <v>#DIV/0!</v>
      </c>
      <c r="AL29" s="28">
        <v>5</v>
      </c>
      <c r="AM29" s="79" t="e">
        <f>((($W$24)^Q29)*((1-($W$24))^($U$31-Q29))*HLOOKUP($U$31,$AV$24:$BF$34,Q29+1))*V31</f>
        <v>#DIV/0!</v>
      </c>
      <c r="AN29" s="28">
        <v>5</v>
      </c>
      <c r="AO29" s="79" t="e">
        <f>((($W$24)^Q29)*((1-($W$24))^($U$32-Q29))*HLOOKUP($U$32,$AV$24:$BF$34,Q29+1))*V32</f>
        <v>#DIV/0!</v>
      </c>
      <c r="AP29" s="28">
        <v>5</v>
      </c>
      <c r="AQ29" s="79" t="e">
        <f>((($W$24)^Q29)*((1-($W$24))^($U$33-Q29))*HLOOKUP($U$33,$AV$24:$BF$34,Q29+1))*V33</f>
        <v>#DIV/0!</v>
      </c>
      <c r="AR29" s="28">
        <v>5</v>
      </c>
      <c r="AS29" s="79" t="e">
        <f>((($W$24)^Q29)*((1-($W$24))^($U$34-Q29))*HLOOKUP($U$34,$AV$24:$BF$34,Q29+1))*V34</f>
        <v>#DIV/0!</v>
      </c>
      <c r="AV29" s="14">
        <v>5</v>
      </c>
      <c r="BA29">
        <v>1</v>
      </c>
      <c r="BB29">
        <v>6</v>
      </c>
      <c r="BC29">
        <f>15+6</f>
        <v>21</v>
      </c>
      <c r="BD29">
        <f>35+21</f>
        <v>56</v>
      </c>
      <c r="BE29">
        <f>70+56</f>
        <v>126</v>
      </c>
      <c r="BF29">
        <f t="shared" ref="BF29:BF34" si="14">BE28+BE29</f>
        <v>252</v>
      </c>
      <c r="BH29">
        <f t="shared" si="8"/>
        <v>2</v>
      </c>
      <c r="BI29">
        <v>9</v>
      </c>
      <c r="BJ29" s="107" t="e">
        <f t="shared" si="9"/>
        <v>#DIV/0!</v>
      </c>
      <c r="BP29">
        <f>BP23+1</f>
        <v>7</v>
      </c>
      <c r="BQ29">
        <v>5</v>
      </c>
      <c r="BR29" s="107" t="e">
        <f t="shared" si="11"/>
        <v>#DIV/0!</v>
      </c>
    </row>
    <row r="30" spans="1:70" x14ac:dyDescent="0.25">
      <c r="A30" s="26" t="s">
        <v>136</v>
      </c>
      <c r="B30" s="121">
        <v>0.15</v>
      </c>
      <c r="C30" s="122">
        <v>0.15</v>
      </c>
      <c r="D30" s="153">
        <f>IF(B17="TL",0.875*B32,0.001)</f>
        <v>1E-3</v>
      </c>
      <c r="E30" s="153">
        <f>IF(C17="TL",0.875*C32,0.001)</f>
        <v>1E-3</v>
      </c>
      <c r="G30" s="87">
        <v>6</v>
      </c>
      <c r="H30" s="128" t="e">
        <f>J30*L24+J29*L25+J28*L26+J27*L27</f>
        <v>#DIV/0!</v>
      </c>
      <c r="I30" s="93">
        <v>6</v>
      </c>
      <c r="J30" s="86" t="e">
        <f t="shared" si="10"/>
        <v>#DIV/0!</v>
      </c>
      <c r="K30" s="93">
        <v>6</v>
      </c>
      <c r="L30" s="86"/>
      <c r="M30" s="85"/>
      <c r="N30" s="73"/>
      <c r="O30" s="37"/>
      <c r="P30" s="37"/>
      <c r="Q30" s="28">
        <v>6</v>
      </c>
      <c r="R30" s="37" t="e">
        <f>P25*N29+P26*N28+P27*N27+P28*N26+P29*N25</f>
        <v>#DIV/0!</v>
      </c>
      <c r="S30" s="70">
        <v>6</v>
      </c>
      <c r="T30" s="135" t="e">
        <f t="shared" si="13"/>
        <v>#DIV/0!</v>
      </c>
      <c r="U30" s="93">
        <v>6</v>
      </c>
      <c r="V30" s="86" t="e">
        <f>T30*R24+T29*R25+T28*R26+T27*R27+T26*R28+T25*R29+T24*R30</f>
        <v>#DIV/0!</v>
      </c>
      <c r="W30" s="137"/>
      <c r="X30" s="28">
        <v>6</v>
      </c>
      <c r="Y30" s="73"/>
      <c r="Z30" s="28">
        <v>6</v>
      </c>
      <c r="AA30" s="79"/>
      <c r="AB30" s="28">
        <v>6</v>
      </c>
      <c r="AC30" s="79"/>
      <c r="AD30" s="28">
        <v>6</v>
      </c>
      <c r="AE30" s="79"/>
      <c r="AF30" s="28">
        <v>6</v>
      </c>
      <c r="AG30" s="79"/>
      <c r="AH30" s="28">
        <v>6</v>
      </c>
      <c r="AI30" s="79"/>
      <c r="AJ30" s="28">
        <v>6</v>
      </c>
      <c r="AK30" s="79" t="e">
        <f>((($W$24)^Q30)*((1-($W$24))^($U$30-Q30))*HLOOKUP($U$30,$AV$24:$BF$34,Q30+1))*V30</f>
        <v>#DIV/0!</v>
      </c>
      <c r="AL30" s="28">
        <v>6</v>
      </c>
      <c r="AM30" s="79" t="e">
        <f>((($W$24)^Q30)*((1-($W$24))^($U$31-Q30))*HLOOKUP($U$31,$AV$24:$BF$34,Q30+1))*V31</f>
        <v>#DIV/0!</v>
      </c>
      <c r="AN30" s="28">
        <v>6</v>
      </c>
      <c r="AO30" s="79" t="e">
        <f>((($W$24)^Q30)*((1-($W$24))^($U$32-Q30))*HLOOKUP($U$32,$AV$24:$BF$34,Q30+1))*V32</f>
        <v>#DIV/0!</v>
      </c>
      <c r="AP30" s="28">
        <v>6</v>
      </c>
      <c r="AQ30" s="79" t="e">
        <f>((($W$24)^Q30)*((1-($W$24))^($U$33-Q30))*HLOOKUP($U$33,$AV$24:$BF$34,Q30+1))*V33</f>
        <v>#DIV/0!</v>
      </c>
      <c r="AR30" s="28">
        <v>6</v>
      </c>
      <c r="AS30" s="79" t="e">
        <f>((($W$24)^Q30)*((1-($W$24))^($U$34-Q30))*HLOOKUP($U$34,$AV$24:$BF$34,Q30+1))*V34</f>
        <v>#DIV/0!</v>
      </c>
      <c r="AV30" s="29">
        <v>6</v>
      </c>
      <c r="BB30">
        <v>1</v>
      </c>
      <c r="BC30">
        <v>7</v>
      </c>
      <c r="BD30">
        <f>28</f>
        <v>28</v>
      </c>
      <c r="BE30">
        <f>56+28</f>
        <v>84</v>
      </c>
      <c r="BF30">
        <f t="shared" si="14"/>
        <v>210</v>
      </c>
      <c r="BH30">
        <f t="shared" si="8"/>
        <v>2</v>
      </c>
      <c r="BI30">
        <v>10</v>
      </c>
      <c r="BJ30" s="107" t="e">
        <f t="shared" si="9"/>
        <v>#DIV/0!</v>
      </c>
      <c r="BP30">
        <f>BL10+1</f>
        <v>7</v>
      </c>
      <c r="BQ30">
        <v>6</v>
      </c>
      <c r="BR30" s="107" t="e">
        <f t="shared" si="11"/>
        <v>#DIV/0!</v>
      </c>
    </row>
    <row r="31" spans="1:70" x14ac:dyDescent="0.25">
      <c r="A31" s="51" t="s">
        <v>68</v>
      </c>
      <c r="B31" s="60" t="e">
        <f>(B25*D25)+(B26*D26)+(B27*D27)+(B28*D28)+(B29*D29)+(B30*D30)/(B25+B26+B27+B28+B29+B30)</f>
        <v>#DIV/0!</v>
      </c>
      <c r="C31" s="61" t="e">
        <f>(C25*E25)+(C26*E26)+(C27*E27)+(C28*E28)+(C29*E29)+(C30*E30)/(C25+C26+C27+C28+C29+C30)</f>
        <v>#DIV/0!</v>
      </c>
      <c r="G31" s="87">
        <v>7</v>
      </c>
      <c r="H31" s="128" t="e">
        <f>J31*L24+J30*L25+J29*L26+J28*L27</f>
        <v>#DIV/0!</v>
      </c>
      <c r="I31" s="93">
        <v>7</v>
      </c>
      <c r="J31" s="86" t="e">
        <f t="shared" si="10"/>
        <v>#DIV/0!</v>
      </c>
      <c r="K31" s="93">
        <v>7</v>
      </c>
      <c r="L31" s="86"/>
      <c r="M31" s="85"/>
      <c r="N31" s="73"/>
      <c r="O31" s="37"/>
      <c r="P31" s="37"/>
      <c r="Q31" s="28">
        <v>7</v>
      </c>
      <c r="R31" s="37" t="e">
        <f>P26*N29+P27*N28+P28*N27+P29*N26</f>
        <v>#DIV/0!</v>
      </c>
      <c r="S31" s="72">
        <v>7</v>
      </c>
      <c r="T31" s="135" t="e">
        <f t="shared" si="13"/>
        <v>#DIV/0!</v>
      </c>
      <c r="U31" s="93">
        <v>7</v>
      </c>
      <c r="V31" s="86" t="e">
        <f>T31*R24+T30*R25+T29*R26+T28*R27+T27*R28+T26*R29+T25*R30+T24*R31</f>
        <v>#DIV/0!</v>
      </c>
      <c r="W31" s="137"/>
      <c r="X31" s="28">
        <v>7</v>
      </c>
      <c r="Y31" s="73"/>
      <c r="Z31" s="28">
        <v>7</v>
      </c>
      <c r="AA31" s="79"/>
      <c r="AB31" s="28">
        <v>7</v>
      </c>
      <c r="AC31" s="79"/>
      <c r="AD31" s="28">
        <v>7</v>
      </c>
      <c r="AE31" s="79"/>
      <c r="AF31" s="28">
        <v>7</v>
      </c>
      <c r="AG31" s="79"/>
      <c r="AH31" s="28">
        <v>7</v>
      </c>
      <c r="AI31" s="79"/>
      <c r="AJ31" s="28">
        <v>7</v>
      </c>
      <c r="AK31" s="79"/>
      <c r="AL31" s="28">
        <v>7</v>
      </c>
      <c r="AM31" s="79" t="e">
        <f>((($W$24)^Q31)*((1-($W$24))^($U$31-Q31))*HLOOKUP($U$31,$AV$24:$BF$34,Q31+1))*V31</f>
        <v>#DIV/0!</v>
      </c>
      <c r="AN31" s="28">
        <v>7</v>
      </c>
      <c r="AO31" s="79" t="e">
        <f>((($W$24)^Q31)*((1-($W$24))^($U$32-Q31))*HLOOKUP($U$32,$AV$24:$BF$34,Q31+1))*V32</f>
        <v>#DIV/0!</v>
      </c>
      <c r="AP31" s="28">
        <v>7</v>
      </c>
      <c r="AQ31" s="79" t="e">
        <f>((($W$24)^Q31)*((1-($W$24))^($U$33-Q31))*HLOOKUP($U$33,$AV$24:$BF$34,Q31+1))*V33</f>
        <v>#DIV/0!</v>
      </c>
      <c r="AR31" s="28">
        <v>7</v>
      </c>
      <c r="AS31" s="79" t="e">
        <f>((($W$24)^Q31)*((1-($W$24))^($U$34-Q31))*HLOOKUP($U$34,$AV$24:$BF$34,Q31+1))*V34</f>
        <v>#DIV/0!</v>
      </c>
      <c r="AV31" s="14">
        <v>7</v>
      </c>
      <c r="BC31">
        <v>1</v>
      </c>
      <c r="BD31">
        <v>8</v>
      </c>
      <c r="BE31">
        <f>28+8</f>
        <v>36</v>
      </c>
      <c r="BF31">
        <f t="shared" si="14"/>
        <v>120</v>
      </c>
      <c r="BH31">
        <f t="shared" ref="BH31:BH37" si="15">BH24+1</f>
        <v>3</v>
      </c>
      <c r="BI31">
        <v>4</v>
      </c>
      <c r="BJ31" s="107" t="e">
        <f t="shared" ref="BJ31:BJ37" si="16">$H$27*H42</f>
        <v>#DIV/0!</v>
      </c>
      <c r="BP31">
        <f t="shared" ref="BP31:BP37" si="17">BP24+1</f>
        <v>8</v>
      </c>
      <c r="BQ31">
        <v>0</v>
      </c>
      <c r="BR31" s="107" t="e">
        <f t="shared" ref="BR31:BR38" si="18">$H$32*H38</f>
        <v>#DIV/0!</v>
      </c>
    </row>
    <row r="32" spans="1:70" x14ac:dyDescent="0.25">
      <c r="A32" s="26" t="s">
        <v>137</v>
      </c>
      <c r="B32" s="75">
        <f>IF(B17&lt;&gt;"TL",0.001,IF(B18&lt;5,0.1,IF(B18&lt;10,0.2,IF(B18&lt;14,0.3,0.35))))</f>
        <v>1E-3</v>
      </c>
      <c r="C32" s="58">
        <f>IF(C17&lt;&gt;"TL",0.001,IF(C18&lt;5,0.1,IF(C18&lt;10,0.2,IF(C18&lt;14,0.3,0.35))))</f>
        <v>1E-3</v>
      </c>
      <c r="G32" s="87">
        <v>8</v>
      </c>
      <c r="H32" s="128" t="e">
        <f>J32*L24+J31*L25+J30*L26+J29*L27</f>
        <v>#DIV/0!</v>
      </c>
      <c r="I32" s="93">
        <v>8</v>
      </c>
      <c r="J32" s="86" t="e">
        <f t="shared" si="10"/>
        <v>#DIV/0!</v>
      </c>
      <c r="K32" s="93">
        <v>8</v>
      </c>
      <c r="L32" s="86"/>
      <c r="M32" s="85"/>
      <c r="N32" s="73"/>
      <c r="O32" s="37"/>
      <c r="P32" s="37"/>
      <c r="Q32" s="28">
        <v>8</v>
      </c>
      <c r="R32" s="37" t="e">
        <f>P27*N29+P28*N28+P29*N27</f>
        <v>#DIV/0!</v>
      </c>
      <c r="S32" s="72">
        <v>8</v>
      </c>
      <c r="T32" s="135" t="e">
        <f t="shared" si="13"/>
        <v>#DIV/0!</v>
      </c>
      <c r="U32" s="93">
        <v>8</v>
      </c>
      <c r="V32" s="86" t="e">
        <f>T32*R24+T31*R25+T30*R26+T29*R27+T28*R28+T27*R29+T26*R30+T25*R31+T24*R32</f>
        <v>#DIV/0!</v>
      </c>
      <c r="W32" s="137"/>
      <c r="X32" s="28">
        <v>8</v>
      </c>
      <c r="Y32" s="73"/>
      <c r="Z32" s="28">
        <v>8</v>
      </c>
      <c r="AA32" s="79"/>
      <c r="AB32" s="28">
        <v>8</v>
      </c>
      <c r="AC32" s="79"/>
      <c r="AD32" s="28">
        <v>8</v>
      </c>
      <c r="AE32" s="79"/>
      <c r="AF32" s="28">
        <v>8</v>
      </c>
      <c r="AG32" s="79"/>
      <c r="AH32" s="28">
        <v>8</v>
      </c>
      <c r="AI32" s="79"/>
      <c r="AJ32" s="28">
        <v>8</v>
      </c>
      <c r="AK32" s="79"/>
      <c r="AL32" s="28">
        <v>8</v>
      </c>
      <c r="AM32" s="79"/>
      <c r="AN32" s="28">
        <v>8</v>
      </c>
      <c r="AO32" s="79" t="e">
        <f>((($W$24)^Q32)*((1-($W$24))^($U$32-Q32))*HLOOKUP($U$32,$AV$24:$BF$34,Q32+1))*V32</f>
        <v>#DIV/0!</v>
      </c>
      <c r="AP32" s="28">
        <v>8</v>
      </c>
      <c r="AQ32" s="79" t="e">
        <f>((($W$24)^Q32)*((1-($W$24))^($U$33-Q32))*HLOOKUP($U$33,$AV$24:$BF$34,Q32+1))*V33</f>
        <v>#DIV/0!</v>
      </c>
      <c r="AR32" s="28">
        <v>8</v>
      </c>
      <c r="AS32" s="79" t="e">
        <f>((($W$24)^Q32)*((1-($W$24))^($U$34-Q32))*HLOOKUP($U$34,$AV$24:$BF$34,Q32+1))*V34</f>
        <v>#DIV/0!</v>
      </c>
      <c r="AV32" s="14">
        <v>8</v>
      </c>
      <c r="BD32">
        <v>1</v>
      </c>
      <c r="BE32">
        <v>9</v>
      </c>
      <c r="BF32">
        <f t="shared" si="14"/>
        <v>45</v>
      </c>
      <c r="BH32">
        <f t="shared" si="15"/>
        <v>3</v>
      </c>
      <c r="BI32">
        <v>5</v>
      </c>
      <c r="BJ32" s="107" t="e">
        <f t="shared" si="16"/>
        <v>#DIV/0!</v>
      </c>
      <c r="BP32">
        <f t="shared" si="17"/>
        <v>8</v>
      </c>
      <c r="BQ32">
        <v>1</v>
      </c>
      <c r="BR32" s="107" t="e">
        <f t="shared" si="18"/>
        <v>#DIV/0!</v>
      </c>
    </row>
    <row r="33" spans="1:70" x14ac:dyDescent="0.25">
      <c r="A33" s="26" t="s">
        <v>84</v>
      </c>
      <c r="B33" s="75">
        <f>IF(B17&lt;&gt;"CA",0.005,IF((B18-B16)&lt;0,0.1,0.1+0.055*(B18-B16)))</f>
        <v>5.0000000000000001E-3</v>
      </c>
      <c r="C33" s="58">
        <f>IF(C17&lt;&gt;"CA",0.005,IF((C18-C16)&lt;0,0.1,0.1+0.055*(C18-C16)))</f>
        <v>5.0000000000000001E-3</v>
      </c>
      <c r="G33" s="87">
        <v>9</v>
      </c>
      <c r="H33" s="128" t="e">
        <f>J33*L24+J32*L25+J31*L26+J30*L27</f>
        <v>#DIV/0!</v>
      </c>
      <c r="I33" s="93">
        <v>9</v>
      </c>
      <c r="J33" s="86" t="e">
        <f t="shared" si="10"/>
        <v>#DIV/0!</v>
      </c>
      <c r="K33" s="93">
        <v>9</v>
      </c>
      <c r="L33" s="86"/>
      <c r="M33" s="85"/>
      <c r="N33" s="73"/>
      <c r="O33" s="37"/>
      <c r="P33" s="37"/>
      <c r="Q33" s="28">
        <v>9</v>
      </c>
      <c r="R33" s="37" t="e">
        <f>P28*N29+P29*N28</f>
        <v>#DIV/0!</v>
      </c>
      <c r="S33" s="72">
        <v>9</v>
      </c>
      <c r="T33" s="135" t="e">
        <f t="shared" si="13"/>
        <v>#DIV/0!</v>
      </c>
      <c r="U33" s="93">
        <v>9</v>
      </c>
      <c r="V33" s="86" t="e">
        <f>T33*R24+T32*R25+T31*R26+T30*R27+T29*R28+T28*R29+T27*R30+T26*R31+T25*R32+T24*R33</f>
        <v>#DIV/0!</v>
      </c>
      <c r="W33" s="137"/>
      <c r="X33" s="28">
        <v>9</v>
      </c>
      <c r="Y33" s="73"/>
      <c r="Z33" s="28">
        <v>9</v>
      </c>
      <c r="AA33" s="79"/>
      <c r="AB33" s="28">
        <v>9</v>
      </c>
      <c r="AC33" s="79"/>
      <c r="AD33" s="28">
        <v>9</v>
      </c>
      <c r="AE33" s="79"/>
      <c r="AF33" s="28">
        <v>9</v>
      </c>
      <c r="AG33" s="79"/>
      <c r="AH33" s="28">
        <v>9</v>
      </c>
      <c r="AI33" s="79"/>
      <c r="AJ33" s="28">
        <v>9</v>
      </c>
      <c r="AK33" s="79"/>
      <c r="AL33" s="28">
        <v>9</v>
      </c>
      <c r="AM33" s="79"/>
      <c r="AN33" s="28">
        <v>9</v>
      </c>
      <c r="AO33" s="79"/>
      <c r="AP33" s="28">
        <v>9</v>
      </c>
      <c r="AQ33" s="79" t="e">
        <f>((($W$24)^Q33)*((1-($W$24))^($U$33-Q33))*HLOOKUP($U$33,$AV$24:$BF$34,Q33+1))*V33</f>
        <v>#DIV/0!</v>
      </c>
      <c r="AR33" s="28">
        <v>9</v>
      </c>
      <c r="AS33" s="79" t="e">
        <f>((($W$24)^Q33)*((1-($W$24))^($U$34-Q33))*HLOOKUP($U$34,$AV$24:$BF$34,Q33+1))*V34</f>
        <v>#DIV/0!</v>
      </c>
      <c r="AV33" s="29">
        <v>9</v>
      </c>
      <c r="BE33">
        <v>1</v>
      </c>
      <c r="BF33">
        <f t="shared" si="14"/>
        <v>10</v>
      </c>
      <c r="BH33">
        <f t="shared" si="15"/>
        <v>3</v>
      </c>
      <c r="BI33">
        <v>6</v>
      </c>
      <c r="BJ33" s="107" t="e">
        <f t="shared" si="16"/>
        <v>#DIV/0!</v>
      </c>
      <c r="BP33">
        <f t="shared" si="17"/>
        <v>8</v>
      </c>
      <c r="BQ33">
        <v>2</v>
      </c>
      <c r="BR33" s="107" t="e">
        <f t="shared" si="18"/>
        <v>#DIV/0!</v>
      </c>
    </row>
    <row r="34" spans="1:70" ht="15.75" thickBot="1" x14ac:dyDescent="0.3">
      <c r="A34" s="40" t="s">
        <v>86</v>
      </c>
      <c r="B34" s="56" t="e">
        <f>B23*2</f>
        <v>#DIV/0!</v>
      </c>
      <c r="C34" s="57" t="e">
        <f>C23*2</f>
        <v>#DIV/0!</v>
      </c>
      <c r="G34" s="88">
        <v>10</v>
      </c>
      <c r="H34" s="129" t="e">
        <f>J34*L24+J33*L25+J32*L26+J31*L27</f>
        <v>#DIV/0!</v>
      </c>
      <c r="I34" s="94">
        <v>10</v>
      </c>
      <c r="J34" s="89" t="e">
        <f t="shared" si="10"/>
        <v>#DIV/0!</v>
      </c>
      <c r="K34" s="94">
        <v>10</v>
      </c>
      <c r="L34" s="89"/>
      <c r="M34" s="85"/>
      <c r="N34" s="73"/>
      <c r="O34" s="37"/>
      <c r="P34" s="37"/>
      <c r="Q34" s="28">
        <v>10</v>
      </c>
      <c r="R34" s="37" t="e">
        <f>P29*N29</f>
        <v>#DIV/0!</v>
      </c>
      <c r="S34" s="72">
        <v>10</v>
      </c>
      <c r="T34" s="135" t="e">
        <f t="shared" si="13"/>
        <v>#DIV/0!</v>
      </c>
      <c r="U34" s="94">
        <v>10</v>
      </c>
      <c r="V34" s="89" t="e">
        <f>IF(((T34*R24+T33*R25+T32*R26+T31*R27+T30*R28+T29*R29+T28*R30+T27*R31+T26*R32+T25*R33+T24*R34)+V22)&lt;&gt;1,1-V22,(T34*R24+T33*R25+T32*R26+T31*R27+T30*R28+T29*R29+T28*R30+T27*R31+T26*R32+T25*R33+T24*R34))</f>
        <v>#DIV/0!</v>
      </c>
      <c r="W34" s="137"/>
      <c r="X34" s="28">
        <v>10</v>
      </c>
      <c r="Y34" s="73"/>
      <c r="Z34" s="28">
        <v>10</v>
      </c>
      <c r="AA34" s="79"/>
      <c r="AB34" s="28">
        <v>10</v>
      </c>
      <c r="AC34" s="79"/>
      <c r="AD34" s="28">
        <v>10</v>
      </c>
      <c r="AE34" s="79"/>
      <c r="AF34" s="28">
        <v>10</v>
      </c>
      <c r="AG34" s="79"/>
      <c r="AH34" s="28">
        <v>10</v>
      </c>
      <c r="AI34" s="79"/>
      <c r="AJ34" s="28">
        <v>10</v>
      </c>
      <c r="AK34" s="79"/>
      <c r="AL34" s="28">
        <v>10</v>
      </c>
      <c r="AM34" s="79"/>
      <c r="AN34" s="28">
        <v>10</v>
      </c>
      <c r="AO34" s="79"/>
      <c r="AP34" s="28">
        <v>10</v>
      </c>
      <c r="AQ34" s="79"/>
      <c r="AR34" s="28">
        <v>10</v>
      </c>
      <c r="AS34" s="79" t="e">
        <f>((($W$24)^Q34)*((1-($W$24))^($U$34-Q34))*HLOOKUP($U$34,$AV$24:$BF$34,Q34+1))*V34</f>
        <v>#DIV/0!</v>
      </c>
      <c r="AV34" s="14">
        <v>10</v>
      </c>
      <c r="BF34">
        <f t="shared" si="14"/>
        <v>1</v>
      </c>
      <c r="BH34">
        <f t="shared" si="15"/>
        <v>3</v>
      </c>
      <c r="BI34">
        <v>7</v>
      </c>
      <c r="BJ34" s="107" t="e">
        <f t="shared" si="16"/>
        <v>#DIV/0!</v>
      </c>
      <c r="BP34">
        <f t="shared" si="17"/>
        <v>8</v>
      </c>
      <c r="BQ34">
        <v>3</v>
      </c>
      <c r="BR34" s="107" t="e">
        <f t="shared" si="18"/>
        <v>#DIV/0!</v>
      </c>
    </row>
    <row r="35" spans="1:70" x14ac:dyDescent="0.25"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59" t="e">
        <f>SUM(V38:V48)</f>
        <v>#DIV/0!</v>
      </c>
      <c r="W35" s="13"/>
      <c r="X35" s="13"/>
      <c r="AS35" s="82" t="e">
        <f>Y36+AA36+AC36+AE36+AG36+AI36+AK36+AM36+AO36+AQ36+AS36</f>
        <v>#DIV/0!</v>
      </c>
      <c r="BH35">
        <f t="shared" si="15"/>
        <v>3</v>
      </c>
      <c r="BI35">
        <v>8</v>
      </c>
      <c r="BJ35" s="107" t="e">
        <f t="shared" si="16"/>
        <v>#DIV/0!</v>
      </c>
      <c r="BP35">
        <f t="shared" si="17"/>
        <v>8</v>
      </c>
      <c r="BQ35">
        <v>4</v>
      </c>
      <c r="BR35" s="107" t="e">
        <f t="shared" si="18"/>
        <v>#DIV/0!</v>
      </c>
    </row>
    <row r="36" spans="1:70" ht="15.75" thickBot="1" x14ac:dyDescent="0.3">
      <c r="A36" s="1"/>
      <c r="B36" s="108" t="e">
        <f>SUM(B37:B39)</f>
        <v>#DIV/0!</v>
      </c>
      <c r="G36" s="13"/>
      <c r="H36" s="59" t="e">
        <f>SUM(H38:H48)</f>
        <v>#DIV/0!</v>
      </c>
      <c r="I36" s="13"/>
      <c r="J36" s="59" t="e">
        <f>SUM(J38:J48)</f>
        <v>#DIV/0!</v>
      </c>
      <c r="K36" s="59"/>
      <c r="L36" s="59" t="e">
        <f>SUM(L38:L48)</f>
        <v>#DIV/0!</v>
      </c>
      <c r="M36" s="13"/>
      <c r="N36" s="74" t="e">
        <f>SUM(N38:N48)</f>
        <v>#DIV/0!</v>
      </c>
      <c r="O36" s="13"/>
      <c r="P36" s="74" t="e">
        <f>SUM(P38:P48)</f>
        <v>#DIV/0!</v>
      </c>
      <c r="Q36" s="13"/>
      <c r="R36" s="59" t="e">
        <f>SUM(R38:R48)</f>
        <v>#DIV/0!</v>
      </c>
      <c r="S36" s="13"/>
      <c r="T36" s="59" t="e">
        <f>SUM(T38:T48)</f>
        <v>#DIV/0!</v>
      </c>
      <c r="U36" s="13"/>
      <c r="V36" s="59" t="e">
        <f>SUM(V38:V47)</f>
        <v>#DIV/0!</v>
      </c>
      <c r="W36" s="13"/>
      <c r="X36" s="13"/>
      <c r="Y36" s="80" t="e">
        <f>SUM(Y38:Y48)</f>
        <v>#DIV/0!</v>
      </c>
      <c r="Z36" s="81"/>
      <c r="AA36" s="80" t="e">
        <f>SUM(AA38:AA48)</f>
        <v>#DIV/0!</v>
      </c>
      <c r="AB36" s="81"/>
      <c r="AC36" s="80" t="e">
        <f>SUM(AC38:AC48)</f>
        <v>#DIV/0!</v>
      </c>
      <c r="AD36" s="81"/>
      <c r="AE36" s="80" t="e">
        <f>SUM(AE38:AE48)</f>
        <v>#DIV/0!</v>
      </c>
      <c r="AF36" s="81"/>
      <c r="AG36" s="80" t="e">
        <f>SUM(AG38:AG48)</f>
        <v>#DIV/0!</v>
      </c>
      <c r="AH36" s="81"/>
      <c r="AI36" s="80" t="e">
        <f>SUM(AI38:AI48)</f>
        <v>#DIV/0!</v>
      </c>
      <c r="AJ36" s="81"/>
      <c r="AK36" s="80" t="e">
        <f>SUM(AK38:AK48)</f>
        <v>#DIV/0!</v>
      </c>
      <c r="AL36" s="81"/>
      <c r="AM36" s="80" t="e">
        <f>SUM(AM38:AM48)</f>
        <v>#DIV/0!</v>
      </c>
      <c r="AN36" s="81"/>
      <c r="AO36" s="80" t="e">
        <f>SUM(AO38:AO48)</f>
        <v>#DIV/0!</v>
      </c>
      <c r="AP36" s="81"/>
      <c r="AQ36" s="80" t="e">
        <f>SUM(AQ38:AQ48)</f>
        <v>#DIV/0!</v>
      </c>
      <c r="AR36" s="81"/>
      <c r="AS36" s="80" t="e">
        <f>SUM(AS38:AS48)</f>
        <v>#DIV/0!</v>
      </c>
      <c r="BH36">
        <f t="shared" si="15"/>
        <v>3</v>
      </c>
      <c r="BI36">
        <v>9</v>
      </c>
      <c r="BJ36" s="107" t="e">
        <f t="shared" si="16"/>
        <v>#DIV/0!</v>
      </c>
      <c r="BP36">
        <f t="shared" si="17"/>
        <v>8</v>
      </c>
      <c r="BQ36">
        <v>5</v>
      </c>
      <c r="BR36" s="107" t="e">
        <f t="shared" si="18"/>
        <v>#DIV/0!</v>
      </c>
    </row>
    <row r="37" spans="1:70" ht="15.75" thickBot="1" x14ac:dyDescent="0.3">
      <c r="A37" s="109" t="s">
        <v>104</v>
      </c>
      <c r="B37" s="107" t="e">
        <f>SUM(BN4:BN14)</f>
        <v>#DIV/0!</v>
      </c>
      <c r="G37" s="103" t="str">
        <f t="shared" ref="G37:T37" si="19">G23</f>
        <v>G</v>
      </c>
      <c r="H37" s="104" t="str">
        <f t="shared" si="19"/>
        <v>p</v>
      </c>
      <c r="I37" s="103" t="str">
        <f t="shared" si="19"/>
        <v>GT</v>
      </c>
      <c r="J37" s="105" t="str">
        <f t="shared" si="19"/>
        <v>p(x)</v>
      </c>
      <c r="K37" s="106" t="str">
        <f t="shared" si="19"/>
        <v>EE(x)</v>
      </c>
      <c r="L37" s="105" t="str">
        <f t="shared" si="19"/>
        <v>p</v>
      </c>
      <c r="M37" s="90" t="str">
        <f t="shared" si="19"/>
        <v>OcaS</v>
      </c>
      <c r="N37" s="30" t="str">
        <f t="shared" si="19"/>
        <v>P</v>
      </c>
      <c r="O37" s="30" t="str">
        <f t="shared" si="19"/>
        <v>O_CA</v>
      </c>
      <c r="P37" s="30" t="str">
        <f t="shared" si="19"/>
        <v>p</v>
      </c>
      <c r="Q37" s="30" t="str">
        <f t="shared" si="19"/>
        <v>TotalN</v>
      </c>
      <c r="R37" s="30" t="str">
        <f t="shared" si="19"/>
        <v>p</v>
      </c>
      <c r="S37" s="30" t="str">
        <f t="shared" si="19"/>
        <v>OcaCA</v>
      </c>
      <c r="T37" s="141" t="str">
        <f t="shared" si="19"/>
        <v>p</v>
      </c>
      <c r="U37" s="142" t="str">
        <f>U23</f>
        <v>Total</v>
      </c>
      <c r="V37" s="143" t="str">
        <f>V23</f>
        <v>P</v>
      </c>
      <c r="W37" s="90" t="str">
        <f>W23</f>
        <v>E(x)</v>
      </c>
      <c r="X37" s="30" t="str">
        <f t="shared" ref="X37" si="20">X23</f>
        <v>G0</v>
      </c>
      <c r="Y37" s="30" t="str">
        <f>Y23</f>
        <v>p</v>
      </c>
      <c r="Z37" s="30" t="str">
        <f t="shared" ref="Z37" si="21">Z23</f>
        <v>G1</v>
      </c>
      <c r="AA37" s="30" t="str">
        <f>AA23</f>
        <v>p</v>
      </c>
      <c r="AB37" s="30" t="str">
        <f t="shared" ref="AB37" si="22">AB23</f>
        <v>G2</v>
      </c>
      <c r="AC37" s="30" t="str">
        <f>AC23</f>
        <v>p</v>
      </c>
      <c r="AD37" s="30" t="str">
        <f t="shared" ref="AD37" si="23">AD23</f>
        <v>G3</v>
      </c>
      <c r="AE37" s="30" t="str">
        <f>AE23</f>
        <v>p</v>
      </c>
      <c r="AF37" s="30" t="str">
        <f t="shared" ref="AF37" si="24">AF23</f>
        <v>G4</v>
      </c>
      <c r="AG37" s="30" t="str">
        <f>AG23</f>
        <v>p</v>
      </c>
      <c r="AH37" s="30" t="str">
        <f t="shared" ref="AH37" si="25">AH23</f>
        <v>G5</v>
      </c>
      <c r="AI37" s="30" t="str">
        <f>AI23</f>
        <v>p</v>
      </c>
      <c r="AJ37" s="30" t="str">
        <f t="shared" ref="AJ37" si="26">AJ23</f>
        <v>G6</v>
      </c>
      <c r="AK37" s="30" t="str">
        <f>AK23</f>
        <v>p</v>
      </c>
      <c r="AL37" s="30" t="str">
        <f t="shared" ref="AL37" si="27">AL23</f>
        <v>G7</v>
      </c>
      <c r="AM37" s="30" t="str">
        <f>AM23</f>
        <v>p</v>
      </c>
      <c r="AN37" s="30" t="str">
        <f t="shared" ref="AN37" si="28">AN23</f>
        <v>G8</v>
      </c>
      <c r="AO37" s="30" t="str">
        <f>AO23</f>
        <v>p</v>
      </c>
      <c r="AP37" s="30" t="str">
        <f t="shared" ref="AP37" si="29">AP23</f>
        <v>G9</v>
      </c>
      <c r="AQ37" s="30" t="str">
        <f>AQ23</f>
        <v>p</v>
      </c>
      <c r="AR37" s="30" t="str">
        <f t="shared" ref="AR37" si="30">AR23</f>
        <v>G10</v>
      </c>
      <c r="AS37" s="30" t="str">
        <f>AS23</f>
        <v>p</v>
      </c>
      <c r="BH37">
        <f t="shared" si="15"/>
        <v>3</v>
      </c>
      <c r="BI37">
        <v>10</v>
      </c>
      <c r="BJ37" s="107" t="e">
        <f t="shared" si="16"/>
        <v>#DIV/0!</v>
      </c>
      <c r="BP37">
        <f t="shared" si="17"/>
        <v>8</v>
      </c>
      <c r="BQ37">
        <v>6</v>
      </c>
      <c r="BR37" s="107" t="e">
        <f t="shared" si="18"/>
        <v>#DIV/0!</v>
      </c>
    </row>
    <row r="38" spans="1:70" x14ac:dyDescent="0.25">
      <c r="A38" s="110" t="s">
        <v>105</v>
      </c>
      <c r="B38" s="107" t="e">
        <f>SUM(BJ4:BJ59)</f>
        <v>#DIV/0!</v>
      </c>
      <c r="G38" s="130">
        <v>0</v>
      </c>
      <c r="H38" s="131" t="e">
        <f>L38*J38</f>
        <v>#DIV/0!</v>
      </c>
      <c r="I38" s="97">
        <v>0</v>
      </c>
      <c r="J38" s="98" t="e">
        <f t="shared" ref="J38:J48" si="31">Y38+AA38+AC38+AE38+AG38+AI38+AK38+AM38+AO38+AQ38+AS38</f>
        <v>#DIV/0!</v>
      </c>
      <c r="K38" s="102">
        <v>0</v>
      </c>
      <c r="L38" s="98" t="e">
        <f>AC20</f>
        <v>#DIV/0!</v>
      </c>
      <c r="M38" s="84">
        <v>0</v>
      </c>
      <c r="N38" s="71" t="e">
        <f>(1-$C$24)^$B$21</f>
        <v>#DIV/0!</v>
      </c>
      <c r="O38" s="70">
        <v>0</v>
      </c>
      <c r="P38" s="71" t="e">
        <f>N38</f>
        <v>#DIV/0!</v>
      </c>
      <c r="Q38" s="12">
        <v>0</v>
      </c>
      <c r="R38" s="73" t="e">
        <f>P38*N38</f>
        <v>#DIV/0!</v>
      </c>
      <c r="S38" s="70">
        <v>0</v>
      </c>
      <c r="T38" s="135" t="e">
        <f>(1-$C$33)^(INT(B23*2*(1-B31)))</f>
        <v>#DIV/0!</v>
      </c>
      <c r="U38" s="140">
        <v>0</v>
      </c>
      <c r="V38" s="86" t="e">
        <f>R38*T38</f>
        <v>#DIV/0!</v>
      </c>
      <c r="W38" s="136" t="e">
        <f>C31</f>
        <v>#DIV/0!</v>
      </c>
      <c r="X38" s="12">
        <v>0</v>
      </c>
      <c r="Y38" s="79" t="e">
        <f>V38</f>
        <v>#DIV/0!</v>
      </c>
      <c r="Z38" s="12">
        <v>0</v>
      </c>
      <c r="AA38" s="78" t="e">
        <f>((1-W38)^Z39)*V39</f>
        <v>#DIV/0!</v>
      </c>
      <c r="AB38" s="12">
        <v>0</v>
      </c>
      <c r="AC38" s="79" t="e">
        <f>(((1-$W$38)^AB40))*V40</f>
        <v>#DIV/0!</v>
      </c>
      <c r="AD38" s="12">
        <v>0</v>
      </c>
      <c r="AE38" s="79" t="e">
        <f>(((1-$W$38)^AB41))*V41</f>
        <v>#DIV/0!</v>
      </c>
      <c r="AF38" s="12">
        <v>0</v>
      </c>
      <c r="AG38" s="79" t="e">
        <f>(((1-$W$38)^AB42))*V42</f>
        <v>#DIV/0!</v>
      </c>
      <c r="AH38" s="12">
        <v>0</v>
      </c>
      <c r="AI38" s="79" t="e">
        <f>(((1-$W$38)^AB43))*V43</f>
        <v>#DIV/0!</v>
      </c>
      <c r="AJ38" s="12">
        <v>0</v>
      </c>
      <c r="AK38" s="79" t="e">
        <f>(((1-$W$38)^AB44))*V44</f>
        <v>#DIV/0!</v>
      </c>
      <c r="AL38" s="12">
        <v>0</v>
      </c>
      <c r="AM38" s="79" t="e">
        <f>(((1-$W$38)^AB45))*V45</f>
        <v>#DIV/0!</v>
      </c>
      <c r="AN38" s="12">
        <v>0</v>
      </c>
      <c r="AO38" s="79" t="e">
        <f>(((1-$W$38)^AB46))*V46</f>
        <v>#DIV/0!</v>
      </c>
      <c r="AP38" s="12">
        <v>0</v>
      </c>
      <c r="AQ38" s="79" t="e">
        <f>(((1-$W$38)^AB47))*V47</f>
        <v>#DIV/0!</v>
      </c>
      <c r="AR38" s="12">
        <v>0</v>
      </c>
      <c r="AS38" s="79" t="e">
        <f>(((1-$W$38)^AB48))*V48</f>
        <v>#DIV/0!</v>
      </c>
      <c r="AV38" s="14">
        <v>0</v>
      </c>
      <c r="AW38" s="14">
        <v>1</v>
      </c>
      <c r="AX38" s="14">
        <v>2</v>
      </c>
      <c r="AY38" s="14">
        <v>3</v>
      </c>
      <c r="AZ38" s="14">
        <v>4</v>
      </c>
      <c r="BA38" s="14">
        <v>5</v>
      </c>
      <c r="BB38" s="14">
        <v>6</v>
      </c>
      <c r="BC38" s="14">
        <v>7</v>
      </c>
      <c r="BD38" s="14">
        <v>8</v>
      </c>
      <c r="BE38" s="14">
        <v>9</v>
      </c>
      <c r="BF38" s="14">
        <v>10</v>
      </c>
      <c r="BH38">
        <f t="shared" ref="BH38:BH43" si="32">BH32+1</f>
        <v>4</v>
      </c>
      <c r="BI38">
        <v>5</v>
      </c>
      <c r="BJ38" s="107" t="e">
        <f t="shared" ref="BJ38:BJ43" si="33">$H$28*H43</f>
        <v>#DIV/0!</v>
      </c>
      <c r="BP38">
        <f>BL11+1</f>
        <v>8</v>
      </c>
      <c r="BQ38">
        <v>7</v>
      </c>
      <c r="BR38" s="107" t="e">
        <f t="shared" si="18"/>
        <v>#DIV/0!</v>
      </c>
    </row>
    <row r="39" spans="1:70" x14ac:dyDescent="0.25">
      <c r="A39" s="111" t="s">
        <v>0</v>
      </c>
      <c r="B39" s="107" t="e">
        <f>SUM(BR4:BR47)</f>
        <v>#DIV/0!</v>
      </c>
      <c r="G39" s="91">
        <v>1</v>
      </c>
      <c r="H39" s="132" t="e">
        <f>L38*J39+L39*J38</f>
        <v>#DIV/0!</v>
      </c>
      <c r="I39" s="93">
        <v>1</v>
      </c>
      <c r="J39" s="86" t="e">
        <f t="shared" si="31"/>
        <v>#DIV/0!</v>
      </c>
      <c r="K39" s="95">
        <v>1</v>
      </c>
      <c r="L39" s="86" t="e">
        <f>AD20</f>
        <v>#DIV/0!</v>
      </c>
      <c r="M39" s="85">
        <v>1</v>
      </c>
      <c r="N39" s="71" t="e">
        <f>(($C$24)^M25)*((1-($C$24))^($B$21-M25))*HLOOKUP($B$21,$AV$24:$BF$34,M25+1)</f>
        <v>#DIV/0!</v>
      </c>
      <c r="O39" s="72">
        <v>1</v>
      </c>
      <c r="P39" s="71" t="e">
        <f t="shared" ref="P39:P43" si="34">N39</f>
        <v>#DIV/0!</v>
      </c>
      <c r="Q39" s="28">
        <v>1</v>
      </c>
      <c r="R39" s="37" t="e">
        <f>P39*N38+P38*N39</f>
        <v>#DIV/0!</v>
      </c>
      <c r="S39" s="72">
        <v>1</v>
      </c>
      <c r="T39" s="135" t="e">
        <f t="shared" ref="T39:T48" si="35">(($C$33)^S39)*((1-($C$33))^(INT($B$23*2*(1-$B$31))-S39))*HLOOKUP(INT($B$23*2*(1-$B$31)),$AV$24:$BF$34,S39+1)</f>
        <v>#DIV/0!</v>
      </c>
      <c r="U39" s="93">
        <v>1</v>
      </c>
      <c r="V39" s="86" t="e">
        <f>R39*T38+T39*R38</f>
        <v>#DIV/0!</v>
      </c>
      <c r="W39" s="137"/>
      <c r="X39" s="28">
        <v>1</v>
      </c>
      <c r="Y39" s="73"/>
      <c r="Z39" s="28">
        <v>1</v>
      </c>
      <c r="AA39" s="79" t="e">
        <f>(1-((1-W38)^Z39))*V39</f>
        <v>#DIV/0!</v>
      </c>
      <c r="AB39" s="28">
        <v>1</v>
      </c>
      <c r="AC39" s="79" t="e">
        <f>((($W$38)^M39)*((1-($W$38))^($U$26-M39))*HLOOKUP($U$26,$AV$24:$BF$34,M39+1))*V40</f>
        <v>#DIV/0!</v>
      </c>
      <c r="AD39" s="28">
        <v>1</v>
      </c>
      <c r="AE39" s="79" t="e">
        <f>((($W$38)^M39)*((1-($W$38))^($U$27-M39))*HLOOKUP($U$27,$AV$24:$BF$34,M39+1))*V41</f>
        <v>#DIV/0!</v>
      </c>
      <c r="AF39" s="28">
        <v>1</v>
      </c>
      <c r="AG39" s="79" t="e">
        <f>((($W$38)^M39)*((1-($W$38))^($U$28-M39))*HLOOKUP($U$28,$AV$24:$BF$34,M39+1))*V42</f>
        <v>#DIV/0!</v>
      </c>
      <c r="AH39" s="28">
        <v>1</v>
      </c>
      <c r="AI39" s="79" t="e">
        <f>((($W$38)^M39)*((1-($W$38))^($U$29-M39))*HLOOKUP($U$29,$AV$24:$BF$34,M39+1))*V43</f>
        <v>#DIV/0!</v>
      </c>
      <c r="AJ39" s="28">
        <v>1</v>
      </c>
      <c r="AK39" s="79" t="e">
        <f>((($W$38)^M39)*((1-($W$38))^($U$30-M39))*HLOOKUP($U$30,$AV$24:$BF$34,M39+1))*V44</f>
        <v>#DIV/0!</v>
      </c>
      <c r="AL39" s="28">
        <v>1</v>
      </c>
      <c r="AM39" s="79" t="e">
        <f>((($W$38)^Q39)*((1-($W$38))^($U$31-Q39))*HLOOKUP($U$31,$AV$24:$BF$34,Q39+1))*V45</f>
        <v>#DIV/0!</v>
      </c>
      <c r="AN39" s="28">
        <v>1</v>
      </c>
      <c r="AO39" s="79" t="e">
        <f>((($W$38)^Q39)*((1-($W$38))^($U$32-Q39))*HLOOKUP($U$32,$AV$24:$BF$34,Q39+1))*V46</f>
        <v>#DIV/0!</v>
      </c>
      <c r="AP39" s="28">
        <v>1</v>
      </c>
      <c r="AQ39" s="79" t="e">
        <f>((($W$38)^Q39)*((1-($W$38))^($U$33-Q39))*HLOOKUP($U$33,$AV$24:$BF$34,Q39+1))*V47</f>
        <v>#DIV/0!</v>
      </c>
      <c r="AR39" s="28">
        <v>1</v>
      </c>
      <c r="AS39" s="79" t="e">
        <f>((($W$38)^Q39)*((1-($W$38))^($U$34-Q39))*HLOOKUP($U$34,$AV$24:$BF$34,Q39+1))*V48</f>
        <v>#DIV/0!</v>
      </c>
      <c r="AV39" s="14">
        <v>1</v>
      </c>
      <c r="AW39">
        <v>1</v>
      </c>
      <c r="AX39">
        <v>2</v>
      </c>
      <c r="AY39">
        <v>3</v>
      </c>
      <c r="AZ39">
        <v>4</v>
      </c>
      <c r="BA39">
        <v>5</v>
      </c>
      <c r="BB39">
        <v>6</v>
      </c>
      <c r="BC39">
        <f>7</f>
        <v>7</v>
      </c>
      <c r="BD39">
        <v>8</v>
      </c>
      <c r="BE39">
        <v>9</v>
      </c>
      <c r="BF39">
        <v>10</v>
      </c>
      <c r="BH39">
        <f t="shared" si="32"/>
        <v>4</v>
      </c>
      <c r="BI39">
        <v>6</v>
      </c>
      <c r="BJ39" s="107" t="e">
        <f t="shared" si="33"/>
        <v>#DIV/0!</v>
      </c>
      <c r="BP39">
        <f t="shared" ref="BP39:BP46" si="36">BP31+1</f>
        <v>9</v>
      </c>
      <c r="BQ39">
        <v>0</v>
      </c>
      <c r="BR39" s="107" t="e">
        <f t="shared" ref="BR39:BR47" si="37">$H$33*H38</f>
        <v>#DIV/0!</v>
      </c>
    </row>
    <row r="40" spans="1:70" x14ac:dyDescent="0.25">
      <c r="G40" s="91">
        <v>2</v>
      </c>
      <c r="H40" s="132" t="e">
        <f>L38*J40+J39*L39+J38*L40</f>
        <v>#DIV/0!</v>
      </c>
      <c r="I40" s="93">
        <v>2</v>
      </c>
      <c r="J40" s="86" t="e">
        <f t="shared" si="31"/>
        <v>#DIV/0!</v>
      </c>
      <c r="K40" s="95">
        <v>2</v>
      </c>
      <c r="L40" s="86" t="e">
        <f>AE20</f>
        <v>#DIV/0!</v>
      </c>
      <c r="M40" s="85">
        <v>2</v>
      </c>
      <c r="N40" s="71" t="e">
        <f>(($C$24)^M26)*((1-($C$24))^($B$21-M26))*HLOOKUP($B$21,$AV$24:$BF$34,M26+1)</f>
        <v>#DIV/0!</v>
      </c>
      <c r="O40" s="72">
        <v>2</v>
      </c>
      <c r="P40" s="71" t="e">
        <f t="shared" si="34"/>
        <v>#DIV/0!</v>
      </c>
      <c r="Q40" s="28">
        <v>2</v>
      </c>
      <c r="R40" s="37" t="e">
        <f>P40*N38+P39*N39+P38*N40</f>
        <v>#DIV/0!</v>
      </c>
      <c r="S40" s="72">
        <v>2</v>
      </c>
      <c r="T40" s="135" t="e">
        <f t="shared" si="35"/>
        <v>#DIV/0!</v>
      </c>
      <c r="U40" s="93">
        <v>2</v>
      </c>
      <c r="V40" s="86" t="e">
        <f>R40*T38+T39*R39+R38*T40</f>
        <v>#DIV/0!</v>
      </c>
      <c r="W40" s="137"/>
      <c r="X40" s="28">
        <v>2</v>
      </c>
      <c r="Y40" s="73"/>
      <c r="Z40" s="28">
        <v>2</v>
      </c>
      <c r="AA40" s="79"/>
      <c r="AB40" s="28">
        <v>2</v>
      </c>
      <c r="AC40" s="79" t="e">
        <f>((($W$38)^M40)*((1-($W$38))^($U$26-M40))*HLOOKUP($U$26,$AV$24:$BF$34,M40+1))*V40</f>
        <v>#DIV/0!</v>
      </c>
      <c r="AD40" s="28">
        <v>2</v>
      </c>
      <c r="AE40" s="79" t="e">
        <f>((($W$38)^M40)*((1-($W$38))^($U$27-M40))*HLOOKUP($U$27,$AV$24:$BF$34,M40+1))*V41</f>
        <v>#DIV/0!</v>
      </c>
      <c r="AF40" s="28">
        <v>2</v>
      </c>
      <c r="AG40" s="79" t="e">
        <f>((($W$38)^M40)*((1-($W$38))^($U$28-M40))*HLOOKUP($U$28,$AV$24:$BF$34,M40+1))*V42</f>
        <v>#DIV/0!</v>
      </c>
      <c r="AH40" s="28">
        <v>2</v>
      </c>
      <c r="AI40" s="79" t="e">
        <f>((($W$38)^M40)*((1-($W$38))^($U$29-M40))*HLOOKUP($U$29,$AV$24:$BF$34,M40+1))*V43</f>
        <v>#DIV/0!</v>
      </c>
      <c r="AJ40" s="28">
        <v>2</v>
      </c>
      <c r="AK40" s="79" t="e">
        <f>((($W$38)^M40)*((1-($W$38))^($U$30-M40))*HLOOKUP($U$30,$AV$24:$BF$34,M40+1))*V44</f>
        <v>#DIV/0!</v>
      </c>
      <c r="AL40" s="28">
        <v>2</v>
      </c>
      <c r="AM40" s="79" t="e">
        <f>((($W$38)^Q40)*((1-($W$38))^($U$31-Q40))*HLOOKUP($U$31,$AV$24:$BF$34,Q40+1))*V45</f>
        <v>#DIV/0!</v>
      </c>
      <c r="AN40" s="28">
        <v>2</v>
      </c>
      <c r="AO40" s="79" t="e">
        <f>((($W$38)^Q40)*((1-($W$38))^($U$32-Q40))*HLOOKUP($U$32,$AV$24:$BF$34,Q40+1))*V46</f>
        <v>#DIV/0!</v>
      </c>
      <c r="AP40" s="28">
        <v>2</v>
      </c>
      <c r="AQ40" s="79" t="e">
        <f>((($W$38)^Q40)*((1-($W$38))^($U$33-Q40))*HLOOKUP($U$33,$AV$24:$BF$34,Q40+1))*V47</f>
        <v>#DIV/0!</v>
      </c>
      <c r="AR40" s="28">
        <v>2</v>
      </c>
      <c r="AS40" s="79" t="e">
        <f>((($W$38)^Q40)*((1-($W$38))^($U$34-Q40))*HLOOKUP($U$34,$AV$24:$BF$34,Q40+1))*V48</f>
        <v>#DIV/0!</v>
      </c>
      <c r="AV40" s="14">
        <v>2</v>
      </c>
      <c r="AX40">
        <v>1</v>
      </c>
      <c r="AY40">
        <v>3</v>
      </c>
      <c r="AZ40">
        <v>6</v>
      </c>
      <c r="BA40">
        <v>10</v>
      </c>
      <c r="BB40">
        <v>15</v>
      </c>
      <c r="BC40">
        <f>6+15</f>
        <v>21</v>
      </c>
      <c r="BD40">
        <f>21+7</f>
        <v>28</v>
      </c>
      <c r="BE40">
        <f>28+8</f>
        <v>36</v>
      </c>
      <c r="BF40">
        <f>36+9</f>
        <v>45</v>
      </c>
      <c r="BH40">
        <f t="shared" si="32"/>
        <v>4</v>
      </c>
      <c r="BI40">
        <v>7</v>
      </c>
      <c r="BJ40" s="107" t="e">
        <f t="shared" si="33"/>
        <v>#DIV/0!</v>
      </c>
      <c r="BP40">
        <f t="shared" si="36"/>
        <v>9</v>
      </c>
      <c r="BQ40">
        <v>1</v>
      </c>
      <c r="BR40" s="107" t="e">
        <f t="shared" si="37"/>
        <v>#DIV/0!</v>
      </c>
    </row>
    <row r="41" spans="1:70" x14ac:dyDescent="0.25">
      <c r="G41" s="91">
        <v>3</v>
      </c>
      <c r="H41" s="132" t="e">
        <f>J41*L38+J40*L39+L41*J38+L40*J39</f>
        <v>#DIV/0!</v>
      </c>
      <c r="I41" s="93">
        <v>3</v>
      </c>
      <c r="J41" s="86" t="e">
        <f t="shared" si="31"/>
        <v>#DIV/0!</v>
      </c>
      <c r="K41" s="95">
        <v>3</v>
      </c>
      <c r="L41" s="86" t="e">
        <f>AF20</f>
        <v>#DIV/0!</v>
      </c>
      <c r="M41" s="85">
        <v>3</v>
      </c>
      <c r="N41" s="71" t="e">
        <f>(($C$24)^M27)*((1-($C$24))^($B$21-M27))*HLOOKUP($B$21,$AV$24:$BF$34,M27+1)</f>
        <v>#DIV/0!</v>
      </c>
      <c r="O41" s="72">
        <v>3</v>
      </c>
      <c r="P41" s="71" t="e">
        <f t="shared" si="34"/>
        <v>#DIV/0!</v>
      </c>
      <c r="Q41" s="28">
        <v>3</v>
      </c>
      <c r="R41" s="37" t="e">
        <f>P41*N38+P40*N39+P39*N40+P38*N41</f>
        <v>#DIV/0!</v>
      </c>
      <c r="S41" s="72">
        <v>3</v>
      </c>
      <c r="T41" s="135" t="e">
        <f t="shared" si="35"/>
        <v>#DIV/0!</v>
      </c>
      <c r="U41" s="93">
        <v>3</v>
      </c>
      <c r="V41" s="86" t="e">
        <f>R41*T38+R40*T39+R39*T40+R38*T41</f>
        <v>#DIV/0!</v>
      </c>
      <c r="W41" s="137"/>
      <c r="X41" s="28">
        <v>3</v>
      </c>
      <c r="Y41" s="73"/>
      <c r="Z41" s="28">
        <v>3</v>
      </c>
      <c r="AA41" s="79"/>
      <c r="AB41" s="28">
        <v>3</v>
      </c>
      <c r="AC41" s="79"/>
      <c r="AD41" s="28">
        <v>3</v>
      </c>
      <c r="AE41" s="79" t="e">
        <f>((($W$38)^M41)*((1-($W$38))^($U$27-M41))*HLOOKUP($U$27,$AV$24:$BF$34,M41+1))*V41</f>
        <v>#DIV/0!</v>
      </c>
      <c r="AF41" s="28">
        <v>3</v>
      </c>
      <c r="AG41" s="79" t="e">
        <f>((($W$38)^M41)*((1-($W$38))^($U$28-M41))*HLOOKUP($U$28,$AV$24:$BF$34,M41+1))*V42</f>
        <v>#DIV/0!</v>
      </c>
      <c r="AH41" s="28">
        <v>3</v>
      </c>
      <c r="AI41" s="79" t="e">
        <f>((($W$38)^M41)*((1-($W$38))^($U$29-M41))*HLOOKUP($U$29,$AV$24:$BF$34,M41+1))*V43</f>
        <v>#DIV/0!</v>
      </c>
      <c r="AJ41" s="28">
        <v>3</v>
      </c>
      <c r="AK41" s="79" t="e">
        <f>((($W$38)^M41)*((1-($W$38))^($U$30-M41))*HLOOKUP($U$30,$AV$24:$BF$34,M41+1))*V44</f>
        <v>#DIV/0!</v>
      </c>
      <c r="AL41" s="28">
        <v>3</v>
      </c>
      <c r="AM41" s="79" t="e">
        <f>((($W$38)^Q41)*((1-($W$38))^($U$31-Q41))*HLOOKUP($U$31,$AV$24:$BF$34,Q41+1))*V45</f>
        <v>#DIV/0!</v>
      </c>
      <c r="AN41" s="28">
        <v>3</v>
      </c>
      <c r="AO41" s="79" t="e">
        <f>((($W$38)^Q41)*((1-($W$38))^($U$32-Q41))*HLOOKUP($U$32,$AV$24:$BF$34,Q41+1))*V46</f>
        <v>#DIV/0!</v>
      </c>
      <c r="AP41" s="28">
        <v>3</v>
      </c>
      <c r="AQ41" s="79" t="e">
        <f>((($W$38)^Q41)*((1-($W$38))^($U$33-Q41))*HLOOKUP($U$33,$AV$24:$BF$34,Q41+1))*V47</f>
        <v>#DIV/0!</v>
      </c>
      <c r="AR41" s="28">
        <v>3</v>
      </c>
      <c r="AS41" s="79" t="e">
        <f>((($W$38)^Q41)*((1-($W$38))^($U$34-Q41))*HLOOKUP($U$34,$AV$24:$BF$34,Q41+1))*V48</f>
        <v>#DIV/0!</v>
      </c>
      <c r="AV41" s="14">
        <v>3</v>
      </c>
      <c r="AY41">
        <v>1</v>
      </c>
      <c r="AZ41">
        <v>4</v>
      </c>
      <c r="BA41">
        <v>10</v>
      </c>
      <c r="BB41">
        <v>20</v>
      </c>
      <c r="BC41">
        <f>15+20</f>
        <v>35</v>
      </c>
      <c r="BD41">
        <f>21+35</f>
        <v>56</v>
      </c>
      <c r="BE41">
        <f>28+56</f>
        <v>84</v>
      </c>
      <c r="BF41">
        <f>36+84</f>
        <v>120</v>
      </c>
      <c r="BH41">
        <f t="shared" si="32"/>
        <v>4</v>
      </c>
      <c r="BI41">
        <v>8</v>
      </c>
      <c r="BJ41" s="107" t="e">
        <f t="shared" si="33"/>
        <v>#DIV/0!</v>
      </c>
      <c r="BP41">
        <f t="shared" si="36"/>
        <v>9</v>
      </c>
      <c r="BQ41">
        <v>2</v>
      </c>
      <c r="BR41" s="107" t="e">
        <f t="shared" si="37"/>
        <v>#DIV/0!</v>
      </c>
    </row>
    <row r="42" spans="1:70" ht="15" customHeight="1" x14ac:dyDescent="0.25">
      <c r="G42" s="91">
        <v>4</v>
      </c>
      <c r="H42" s="132" t="e">
        <f>J42*L38+J41*L39+J40*L40+J39*L41</f>
        <v>#DIV/0!</v>
      </c>
      <c r="I42" s="93">
        <v>4</v>
      </c>
      <c r="J42" s="86" t="e">
        <f t="shared" si="31"/>
        <v>#DIV/0!</v>
      </c>
      <c r="K42" s="95">
        <v>4</v>
      </c>
      <c r="L42" s="86"/>
      <c r="M42" s="85">
        <v>4</v>
      </c>
      <c r="N42" s="71" t="e">
        <f>(($C$24)^M28)*((1-($C$24))^($B$21-M28))*HLOOKUP($B$21,$AV$24:$BF$34,M28+1)</f>
        <v>#DIV/0!</v>
      </c>
      <c r="O42" s="72">
        <v>4</v>
      </c>
      <c r="P42" s="71" t="e">
        <f t="shared" si="34"/>
        <v>#DIV/0!</v>
      </c>
      <c r="Q42" s="28">
        <v>4</v>
      </c>
      <c r="R42" s="37" t="e">
        <f>P42*N38+P41*N39+P40*N40+P39*N41+P38*N42</f>
        <v>#DIV/0!</v>
      </c>
      <c r="S42" s="72">
        <v>4</v>
      </c>
      <c r="T42" s="135" t="e">
        <f t="shared" si="35"/>
        <v>#DIV/0!</v>
      </c>
      <c r="U42" s="93">
        <v>4</v>
      </c>
      <c r="V42" s="86" t="e">
        <f>T42*R38+T41*R39+T40*R40+T39*R41+T38*R42</f>
        <v>#DIV/0!</v>
      </c>
      <c r="W42" s="137"/>
      <c r="X42" s="28">
        <v>4</v>
      </c>
      <c r="Y42" s="73"/>
      <c r="Z42" s="28">
        <v>4</v>
      </c>
      <c r="AA42" s="79"/>
      <c r="AB42" s="28">
        <v>4</v>
      </c>
      <c r="AC42" s="79"/>
      <c r="AD42" s="28">
        <v>4</v>
      </c>
      <c r="AE42" s="79"/>
      <c r="AF42" s="28">
        <v>4</v>
      </c>
      <c r="AG42" s="79" t="e">
        <f>((($W$38)^M42)*((1-($W$38))^($U$28-M42))*HLOOKUP($U$28,$AV$24:$BF$34,M42+1))*V42</f>
        <v>#DIV/0!</v>
      </c>
      <c r="AH42" s="28">
        <v>4</v>
      </c>
      <c r="AI42" s="79" t="e">
        <f>((($W$38)^M42)*((1-($W$38))^($U$29-M42))*HLOOKUP($U$29,$AV$24:$BF$34,M42+1))*V43</f>
        <v>#DIV/0!</v>
      </c>
      <c r="AJ42" s="28">
        <v>4</v>
      </c>
      <c r="AK42" s="79" t="e">
        <f>((($W$38)^M42)*((1-($W$38))^($U$30-M42))*HLOOKUP($U$30,$AV$24:$BF$34,M42+1))*V44</f>
        <v>#DIV/0!</v>
      </c>
      <c r="AL42" s="28">
        <v>4</v>
      </c>
      <c r="AM42" s="79" t="e">
        <f>((($W$38)^Q42)*((1-($W$38))^($U$31-Q42))*HLOOKUP($U$31,$AV$24:$BF$34,Q42+1))*V45</f>
        <v>#DIV/0!</v>
      </c>
      <c r="AN42" s="28">
        <v>4</v>
      </c>
      <c r="AO42" s="79" t="e">
        <f>((($W$38)^Q42)*((1-($W$38))^($U$32-Q42))*HLOOKUP($U$32,$AV$24:$BF$34,Q42+1))*V46</f>
        <v>#DIV/0!</v>
      </c>
      <c r="AP42" s="28">
        <v>4</v>
      </c>
      <c r="AQ42" s="79" t="e">
        <f>((($W$38)^Q42)*((1-($W$38))^($U$33-Q42))*HLOOKUP($U$33,$AV$24:$BF$34,Q42+1))*V47</f>
        <v>#DIV/0!</v>
      </c>
      <c r="AR42" s="28">
        <v>4</v>
      </c>
      <c r="AS42" s="79" t="e">
        <f>((($W$38)^Q42)*((1-($W$38))^($U$34-Q42))*HLOOKUP($U$34,$AV$24:$BF$34,Q42+1))*V48</f>
        <v>#DIV/0!</v>
      </c>
      <c r="AV42" s="14">
        <v>4</v>
      </c>
      <c r="AZ42">
        <v>1</v>
      </c>
      <c r="BA42">
        <v>5</v>
      </c>
      <c r="BB42">
        <v>15</v>
      </c>
      <c r="BC42">
        <f>20+15</f>
        <v>35</v>
      </c>
      <c r="BD42">
        <f>35+35</f>
        <v>70</v>
      </c>
      <c r="BE42">
        <f>56+70</f>
        <v>126</v>
      </c>
      <c r="BF42">
        <f>BE41+BE42</f>
        <v>210</v>
      </c>
      <c r="BH42">
        <f t="shared" si="32"/>
        <v>4</v>
      </c>
      <c r="BI42">
        <v>9</v>
      </c>
      <c r="BJ42" s="107" t="e">
        <f t="shared" si="33"/>
        <v>#DIV/0!</v>
      </c>
      <c r="BP42">
        <f t="shared" si="36"/>
        <v>9</v>
      </c>
      <c r="BQ42">
        <v>3</v>
      </c>
      <c r="BR42" s="107" t="e">
        <f t="shared" si="37"/>
        <v>#DIV/0!</v>
      </c>
    </row>
    <row r="43" spans="1:70" ht="15" customHeight="1" x14ac:dyDescent="0.25">
      <c r="G43" s="91">
        <v>5</v>
      </c>
      <c r="H43" s="132" t="e">
        <f>J43*L38+J42*L39+J41*L40+J40*L41</f>
        <v>#DIV/0!</v>
      </c>
      <c r="I43" s="93">
        <v>5</v>
      </c>
      <c r="J43" s="86" t="e">
        <f t="shared" si="31"/>
        <v>#DIV/0!</v>
      </c>
      <c r="K43" s="95">
        <v>5</v>
      </c>
      <c r="L43" s="86"/>
      <c r="M43" s="85">
        <v>5</v>
      </c>
      <c r="N43" s="71" t="e">
        <f>(($C$24)^M29)*((1-($C$24))^($B$21-M29))*HLOOKUP($B$21,$AV$24:$BF$34,M29+1)</f>
        <v>#DIV/0!</v>
      </c>
      <c r="O43" s="72">
        <v>5</v>
      </c>
      <c r="P43" s="71" t="e">
        <f t="shared" si="34"/>
        <v>#DIV/0!</v>
      </c>
      <c r="Q43" s="28">
        <v>5</v>
      </c>
      <c r="R43" s="37" t="e">
        <f>P43*N38+P42*N39+P41*N40+P40*N41+P39*N42+P38*N43</f>
        <v>#DIV/0!</v>
      </c>
      <c r="S43" s="72">
        <v>5</v>
      </c>
      <c r="T43" s="135" t="e">
        <f t="shared" si="35"/>
        <v>#DIV/0!</v>
      </c>
      <c r="U43" s="93">
        <v>5</v>
      </c>
      <c r="V43" s="86" t="e">
        <f>T43*R38+T42*R39+T41*R40+T40*R41+T39*R42+T38*R43</f>
        <v>#DIV/0!</v>
      </c>
      <c r="W43" s="137"/>
      <c r="X43" s="28">
        <v>5</v>
      </c>
      <c r="Y43" s="73"/>
      <c r="Z43" s="28">
        <v>5</v>
      </c>
      <c r="AA43" s="79"/>
      <c r="AB43" s="28">
        <v>5</v>
      </c>
      <c r="AC43" s="79"/>
      <c r="AD43" s="28">
        <v>5</v>
      </c>
      <c r="AE43" s="79"/>
      <c r="AF43" s="28">
        <v>5</v>
      </c>
      <c r="AG43" s="79"/>
      <c r="AH43" s="28">
        <v>5</v>
      </c>
      <c r="AI43" s="79" t="e">
        <f>((($W$38)^M43)*((1-($W$38))^($U$29-M43))*HLOOKUP($U$29,$AV$24:$BF$34,M43+1))*V43</f>
        <v>#DIV/0!</v>
      </c>
      <c r="AJ43" s="28">
        <v>5</v>
      </c>
      <c r="AK43" s="79" t="e">
        <f>((($W$38)^M43)*((1-($W$38))^($U$30-M43))*HLOOKUP($U$30,$AV$24:$BF$34,M43+1))*V44</f>
        <v>#DIV/0!</v>
      </c>
      <c r="AL43" s="28">
        <v>5</v>
      </c>
      <c r="AM43" s="79" t="e">
        <f>((($W$38)^Q43)*((1-($W$38))^($U$31-Q43))*HLOOKUP($U$31,$AV$24:$BF$34,Q43+1))*V45</f>
        <v>#DIV/0!</v>
      </c>
      <c r="AN43" s="28">
        <v>5</v>
      </c>
      <c r="AO43" s="79" t="e">
        <f>((($W$38)^Q43)*((1-($W$38))^($U$32-Q43))*HLOOKUP($U$32,$AV$24:$BF$34,Q43+1))*V46</f>
        <v>#DIV/0!</v>
      </c>
      <c r="AP43" s="28">
        <v>5</v>
      </c>
      <c r="AQ43" s="79" t="e">
        <f>((($W$38)^Q43)*((1-($W$38))^($U$33-Q43))*HLOOKUP($U$33,$AV$24:$BF$34,Q43+1))*V47</f>
        <v>#DIV/0!</v>
      </c>
      <c r="AR43" s="28">
        <v>5</v>
      </c>
      <c r="AS43" s="79" t="e">
        <f>((($W$38)^Q43)*((1-($W$38))^($U$34-Q43))*HLOOKUP($U$34,$AV$24:$BF$34,Q43+1))*V48</f>
        <v>#DIV/0!</v>
      </c>
      <c r="AV43" s="14">
        <v>5</v>
      </c>
      <c r="BA43">
        <v>1</v>
      </c>
      <c r="BB43">
        <v>6</v>
      </c>
      <c r="BC43">
        <f>15+6</f>
        <v>21</v>
      </c>
      <c r="BD43">
        <f>35+21</f>
        <v>56</v>
      </c>
      <c r="BE43">
        <f>70+56</f>
        <v>126</v>
      </c>
      <c r="BF43">
        <f t="shared" ref="BF43:BF48" si="38">BE42+BE43</f>
        <v>252</v>
      </c>
      <c r="BH43">
        <f t="shared" si="32"/>
        <v>4</v>
      </c>
      <c r="BI43">
        <v>10</v>
      </c>
      <c r="BJ43" s="107" t="e">
        <f t="shared" si="33"/>
        <v>#DIV/0!</v>
      </c>
      <c r="BP43">
        <f t="shared" si="36"/>
        <v>9</v>
      </c>
      <c r="BQ43">
        <v>4</v>
      </c>
      <c r="BR43" s="107" t="e">
        <f t="shared" si="37"/>
        <v>#DIV/0!</v>
      </c>
    </row>
    <row r="44" spans="1:70" ht="15" customHeight="1" thickBot="1" x14ac:dyDescent="0.3">
      <c r="G44" s="91">
        <v>6</v>
      </c>
      <c r="H44" s="132" t="e">
        <f>J44*L38+J43*L39+J42*L40+J41*L41</f>
        <v>#DIV/0!</v>
      </c>
      <c r="I44" s="93">
        <v>6</v>
      </c>
      <c r="J44" s="86" t="e">
        <f t="shared" si="31"/>
        <v>#DIV/0!</v>
      </c>
      <c r="K44" s="95">
        <v>6</v>
      </c>
      <c r="L44" s="86"/>
      <c r="M44" s="85"/>
      <c r="N44" s="37"/>
      <c r="O44" s="37"/>
      <c r="P44" s="37"/>
      <c r="Q44" s="28">
        <v>6</v>
      </c>
      <c r="R44" s="37" t="e">
        <f>P43*N39+P42*N40+P41*N41+P40*N42+P39*N43</f>
        <v>#DIV/0!</v>
      </c>
      <c r="S44" s="70">
        <v>6</v>
      </c>
      <c r="T44" s="135" t="e">
        <f t="shared" si="35"/>
        <v>#DIV/0!</v>
      </c>
      <c r="U44" s="93">
        <v>6</v>
      </c>
      <c r="V44" s="86" t="e">
        <f>T44*R38+T43*R39+T42*R40+T41*R41+T40*R42+T39*R43+T38*R44</f>
        <v>#DIV/0!</v>
      </c>
      <c r="W44" s="137"/>
      <c r="X44" s="28">
        <v>6</v>
      </c>
      <c r="Y44" s="73"/>
      <c r="Z44" s="28">
        <v>6</v>
      </c>
      <c r="AA44" s="79"/>
      <c r="AB44" s="28">
        <v>6</v>
      </c>
      <c r="AC44" s="79"/>
      <c r="AD44" s="28">
        <v>6</v>
      </c>
      <c r="AE44" s="79"/>
      <c r="AF44" s="28">
        <v>6</v>
      </c>
      <c r="AG44" s="79"/>
      <c r="AH44" s="28">
        <v>6</v>
      </c>
      <c r="AI44" s="79"/>
      <c r="AJ44" s="28">
        <v>6</v>
      </c>
      <c r="AK44" s="79" t="e">
        <f>((($W$38)^Q44)*((1-($W$38))^($U$30-Q44))*HLOOKUP($U$30,$AV$24:$BF$34,Q44+1))*V44</f>
        <v>#DIV/0!</v>
      </c>
      <c r="AL44" s="28">
        <v>6</v>
      </c>
      <c r="AM44" s="79" t="e">
        <f>((($W$38)^Q44)*((1-($W$38))^($U$31-Q44))*HLOOKUP($U$31,$AV$24:$BF$34,Q44+1))*V45</f>
        <v>#DIV/0!</v>
      </c>
      <c r="AN44" s="28">
        <v>6</v>
      </c>
      <c r="AO44" s="79" t="e">
        <f>((($W$38)^Q44)*((1-($W$38))^($U$32-Q44))*HLOOKUP($U$32,$AV$24:$BF$34,Q44+1))*V46</f>
        <v>#DIV/0!</v>
      </c>
      <c r="AP44" s="28">
        <v>6</v>
      </c>
      <c r="AQ44" s="79" t="e">
        <f>((($W$38)^Q44)*((1-($W$38))^($U$33-Q44))*HLOOKUP($U$33,$AV$24:$BF$34,Q44+1))*V47</f>
        <v>#DIV/0!</v>
      </c>
      <c r="AR44" s="28">
        <v>6</v>
      </c>
      <c r="AS44" s="79" t="e">
        <f>((($W$38)^Q44)*((1-($W$38))^($U$34-Q44))*HLOOKUP($U$34,$AV$24:$BF$34,Q44+1))*V48</f>
        <v>#DIV/0!</v>
      </c>
      <c r="AV44" s="29">
        <v>6</v>
      </c>
      <c r="BB44">
        <v>1</v>
      </c>
      <c r="BC44">
        <v>7</v>
      </c>
      <c r="BD44">
        <f>28</f>
        <v>28</v>
      </c>
      <c r="BE44">
        <f>56+28</f>
        <v>84</v>
      </c>
      <c r="BF44">
        <f t="shared" si="38"/>
        <v>210</v>
      </c>
      <c r="BH44">
        <f>BH39+1</f>
        <v>5</v>
      </c>
      <c r="BI44">
        <v>6</v>
      </c>
      <c r="BJ44" s="107" t="e">
        <f>$H$29*H44</f>
        <v>#DIV/0!</v>
      </c>
      <c r="BP44">
        <f t="shared" si="36"/>
        <v>9</v>
      </c>
      <c r="BQ44">
        <v>5</v>
      </c>
      <c r="BR44" s="107" t="e">
        <f t="shared" si="37"/>
        <v>#DIV/0!</v>
      </c>
    </row>
    <row r="45" spans="1:70" ht="15" customHeight="1" thickBot="1" x14ac:dyDescent="0.3">
      <c r="A45" s="112" t="s">
        <v>108</v>
      </c>
      <c r="B45" s="112" t="s">
        <v>109</v>
      </c>
      <c r="C45" s="112" t="s">
        <v>110</v>
      </c>
      <c r="D45" s="112" t="s">
        <v>111</v>
      </c>
      <c r="E45" s="112" t="s">
        <v>23</v>
      </c>
      <c r="G45" s="91">
        <v>7</v>
      </c>
      <c r="H45" s="132" t="e">
        <f>J45*L38+J44*L39+J43*L40+J42*L41</f>
        <v>#DIV/0!</v>
      </c>
      <c r="I45" s="93">
        <v>7</v>
      </c>
      <c r="J45" s="86" t="e">
        <f t="shared" si="31"/>
        <v>#DIV/0!</v>
      </c>
      <c r="K45" s="95">
        <v>7</v>
      </c>
      <c r="L45" s="86"/>
      <c r="M45" s="85"/>
      <c r="N45" s="37"/>
      <c r="O45" s="37"/>
      <c r="P45" s="37"/>
      <c r="Q45" s="28">
        <v>7</v>
      </c>
      <c r="R45" s="37" t="e">
        <f>P43*N40+P42*N41+P41*N42+P40*N43</f>
        <v>#DIV/0!</v>
      </c>
      <c r="S45" s="72">
        <v>7</v>
      </c>
      <c r="T45" s="135" t="e">
        <f t="shared" si="35"/>
        <v>#DIV/0!</v>
      </c>
      <c r="U45" s="93">
        <v>7</v>
      </c>
      <c r="V45" s="86" t="e">
        <f>T45*R38+T44*R39+T43*R40+T42*R41+T41*R42+T40*R43+T39*R44+T38*R45</f>
        <v>#DIV/0!</v>
      </c>
      <c r="W45" s="137"/>
      <c r="X45" s="28">
        <v>7</v>
      </c>
      <c r="Y45" s="73"/>
      <c r="Z45" s="28">
        <v>7</v>
      </c>
      <c r="AA45" s="79"/>
      <c r="AB45" s="28">
        <v>7</v>
      </c>
      <c r="AC45" s="79"/>
      <c r="AD45" s="28">
        <v>7</v>
      </c>
      <c r="AE45" s="79"/>
      <c r="AF45" s="28">
        <v>7</v>
      </c>
      <c r="AG45" s="79"/>
      <c r="AH45" s="28">
        <v>7</v>
      </c>
      <c r="AI45" s="79"/>
      <c r="AJ45" s="28">
        <v>7</v>
      </c>
      <c r="AK45" s="79"/>
      <c r="AL45" s="28">
        <v>7</v>
      </c>
      <c r="AM45" s="79" t="e">
        <f>((($W$38)^Q45)*((1-($W$38))^($U$31-Q45))*HLOOKUP($U$31,$AV$24:$BF$34,Q45+1))*V45</f>
        <v>#DIV/0!</v>
      </c>
      <c r="AN45" s="28">
        <v>7</v>
      </c>
      <c r="AO45" s="79" t="e">
        <f>((($W$38)^Q45)*((1-($W$38))^($U$32-Q45))*HLOOKUP($U$32,$AV$24:$BF$34,Q45+1))*V46</f>
        <v>#DIV/0!</v>
      </c>
      <c r="AP45" s="28">
        <v>7</v>
      </c>
      <c r="AQ45" s="79" t="e">
        <f>((($W$38)^Q45)*((1-($W$38))^($U$33-Q45))*HLOOKUP($U$33,$AV$24:$BF$34,Q45+1))*V47</f>
        <v>#DIV/0!</v>
      </c>
      <c r="AR45" s="28">
        <v>7</v>
      </c>
      <c r="AS45" s="79" t="e">
        <f>((($W$38)^Q45)*((1-($W$38))^($U$34-Q45))*HLOOKUP($U$34,$AV$24:$BF$34,Q45+1))*V48</f>
        <v>#DIV/0!</v>
      </c>
      <c r="AV45" s="14">
        <v>7</v>
      </c>
      <c r="BC45">
        <v>1</v>
      </c>
      <c r="BD45">
        <v>8</v>
      </c>
      <c r="BE45">
        <f>28+8</f>
        <v>36</v>
      </c>
      <c r="BF45">
        <f t="shared" si="38"/>
        <v>120</v>
      </c>
      <c r="BH45">
        <f>BH40+1</f>
        <v>5</v>
      </c>
      <c r="BI45">
        <v>7</v>
      </c>
      <c r="BJ45" s="107" t="e">
        <f>$H$29*H45</f>
        <v>#DIV/0!</v>
      </c>
      <c r="BP45">
        <f t="shared" si="36"/>
        <v>9</v>
      </c>
      <c r="BQ45">
        <v>6</v>
      </c>
      <c r="BR45" s="107" t="e">
        <f t="shared" si="37"/>
        <v>#DIV/0!</v>
      </c>
    </row>
    <row r="46" spans="1:70" ht="15" customHeight="1" thickBot="1" x14ac:dyDescent="0.3">
      <c r="A46" s="113" t="s">
        <v>112</v>
      </c>
      <c r="B46" s="113" t="s">
        <v>21</v>
      </c>
      <c r="C46" s="113" t="s">
        <v>113</v>
      </c>
      <c r="D46" s="113" t="s">
        <v>114</v>
      </c>
      <c r="E46" s="113" t="s">
        <v>115</v>
      </c>
      <c r="G46" s="91">
        <v>8</v>
      </c>
      <c r="H46" s="132" t="e">
        <f>J46*L38+J45*L39+J44*L40+J43*L41</f>
        <v>#DIV/0!</v>
      </c>
      <c r="I46" s="93">
        <v>8</v>
      </c>
      <c r="J46" s="86" t="e">
        <f t="shared" si="31"/>
        <v>#DIV/0!</v>
      </c>
      <c r="K46" s="95">
        <v>8</v>
      </c>
      <c r="L46" s="86"/>
      <c r="M46" s="85"/>
      <c r="N46" s="37"/>
      <c r="O46" s="37"/>
      <c r="P46" s="37"/>
      <c r="Q46" s="28">
        <v>8</v>
      </c>
      <c r="R46" s="37" t="e">
        <f>P43*N41+P42*N42+P41*N43</f>
        <v>#DIV/0!</v>
      </c>
      <c r="S46" s="72">
        <v>8</v>
      </c>
      <c r="T46" s="135" t="e">
        <f t="shared" si="35"/>
        <v>#DIV/0!</v>
      </c>
      <c r="U46" s="93">
        <v>8</v>
      </c>
      <c r="V46" s="86" t="e">
        <f>T46*R38+T45*R39+T44*R40+T43*R41+T42*R42+T41*R43+T40*R44+T39*R45+T38*R46</f>
        <v>#DIV/0!</v>
      </c>
      <c r="W46" s="137"/>
      <c r="X46" s="28">
        <v>8</v>
      </c>
      <c r="Y46" s="73"/>
      <c r="Z46" s="28">
        <v>8</v>
      </c>
      <c r="AA46" s="79"/>
      <c r="AB46" s="28">
        <v>8</v>
      </c>
      <c r="AC46" s="79"/>
      <c r="AD46" s="28">
        <v>8</v>
      </c>
      <c r="AE46" s="79"/>
      <c r="AF46" s="28">
        <v>8</v>
      </c>
      <c r="AG46" s="79"/>
      <c r="AH46" s="28">
        <v>8</v>
      </c>
      <c r="AI46" s="79"/>
      <c r="AJ46" s="28">
        <v>8</v>
      </c>
      <c r="AK46" s="79"/>
      <c r="AL46" s="28">
        <v>8</v>
      </c>
      <c r="AM46" s="79"/>
      <c r="AN46" s="28">
        <v>8</v>
      </c>
      <c r="AO46" s="79" t="e">
        <f>((($W$38)^Q46)*((1-($W$38))^($U$32-Q46))*HLOOKUP($U$32,$AV$24:$BF$34,Q46+1))*V46</f>
        <v>#DIV/0!</v>
      </c>
      <c r="AP46" s="28">
        <v>8</v>
      </c>
      <c r="AQ46" s="79" t="e">
        <f>((($W$38)^Q46)*((1-($W$38))^($U$33-Q46))*HLOOKUP($U$33,$AV$24:$BF$34,Q46+1))*V47</f>
        <v>#DIV/0!</v>
      </c>
      <c r="AR46" s="28">
        <v>8</v>
      </c>
      <c r="AS46" s="79" t="e">
        <f>((($W$38)^Q46)*((1-($W$38))^($U$34-Q46))*HLOOKUP($U$34,$AV$24:$BF$34,Q46+1))*V48</f>
        <v>#DIV/0!</v>
      </c>
      <c r="AV46" s="14">
        <v>8</v>
      </c>
      <c r="BD46">
        <v>1</v>
      </c>
      <c r="BE46">
        <v>9</v>
      </c>
      <c r="BF46">
        <f t="shared" si="38"/>
        <v>45</v>
      </c>
      <c r="BH46">
        <f>BH41+1</f>
        <v>5</v>
      </c>
      <c r="BI46">
        <v>8</v>
      </c>
      <c r="BJ46" s="107" t="e">
        <f>$H$29*H46</f>
        <v>#DIV/0!</v>
      </c>
      <c r="BP46">
        <f t="shared" si="36"/>
        <v>9</v>
      </c>
      <c r="BQ46">
        <v>7</v>
      </c>
      <c r="BR46" s="107" t="e">
        <f t="shared" si="37"/>
        <v>#DIV/0!</v>
      </c>
    </row>
    <row r="47" spans="1:70" ht="15" customHeight="1" thickBot="1" x14ac:dyDescent="0.3">
      <c r="A47" s="113" t="s">
        <v>116</v>
      </c>
      <c r="B47" s="113" t="s">
        <v>21</v>
      </c>
      <c r="C47" s="113" t="s">
        <v>117</v>
      </c>
      <c r="D47" s="113" t="s">
        <v>118</v>
      </c>
      <c r="E47" s="113" t="s">
        <v>115</v>
      </c>
      <c r="G47" s="91">
        <v>9</v>
      </c>
      <c r="H47" s="132" t="e">
        <f>J47*L38+J46*L39+J45*L40+J44*L41</f>
        <v>#DIV/0!</v>
      </c>
      <c r="I47" s="93">
        <v>9</v>
      </c>
      <c r="J47" s="86" t="e">
        <f t="shared" si="31"/>
        <v>#DIV/0!</v>
      </c>
      <c r="K47" s="95">
        <v>9</v>
      </c>
      <c r="L47" s="86"/>
      <c r="M47" s="85"/>
      <c r="N47" s="37"/>
      <c r="O47" s="37"/>
      <c r="P47" s="37"/>
      <c r="Q47" s="28">
        <v>9</v>
      </c>
      <c r="R47" s="37" t="e">
        <f>P43*N42+P42*N43</f>
        <v>#DIV/0!</v>
      </c>
      <c r="S47" s="72">
        <v>9</v>
      </c>
      <c r="T47" s="135" t="e">
        <f t="shared" si="35"/>
        <v>#DIV/0!</v>
      </c>
      <c r="U47" s="93">
        <v>9</v>
      </c>
      <c r="V47" s="86" t="e">
        <f>T47*R38+T46*R39+T45*R40+T44*R41+T43*R42+T42*R43+T41*R44+T40*R45+T39*R46+T38*R47</f>
        <v>#DIV/0!</v>
      </c>
      <c r="W47" s="137"/>
      <c r="X47" s="28">
        <v>9</v>
      </c>
      <c r="Y47" s="73"/>
      <c r="Z47" s="28">
        <v>9</v>
      </c>
      <c r="AA47" s="79"/>
      <c r="AB47" s="28">
        <v>9</v>
      </c>
      <c r="AC47" s="79"/>
      <c r="AD47" s="28">
        <v>9</v>
      </c>
      <c r="AE47" s="79"/>
      <c r="AF47" s="28">
        <v>9</v>
      </c>
      <c r="AG47" s="79"/>
      <c r="AH47" s="28">
        <v>9</v>
      </c>
      <c r="AI47" s="79"/>
      <c r="AJ47" s="28">
        <v>9</v>
      </c>
      <c r="AK47" s="79"/>
      <c r="AL47" s="28">
        <v>9</v>
      </c>
      <c r="AM47" s="79"/>
      <c r="AN47" s="28">
        <v>9</v>
      </c>
      <c r="AO47" s="79"/>
      <c r="AP47" s="28">
        <v>9</v>
      </c>
      <c r="AQ47" s="79" t="e">
        <f>((($W$38)^Q47)*((1-($W$38))^($U$33-Q47))*HLOOKUP($U$33,$AV$24:$BF$34,Q47+1))*V47</f>
        <v>#DIV/0!</v>
      </c>
      <c r="AR47" s="28">
        <v>9</v>
      </c>
      <c r="AS47" s="79" t="e">
        <f>((($W$38)^Q47)*((1-($W$38))^($U$34-Q47))*HLOOKUP($U$34,$AV$24:$BF$34,Q47+1))*V48</f>
        <v>#DIV/0!</v>
      </c>
      <c r="AV47" s="29">
        <v>9</v>
      </c>
      <c r="BE47">
        <v>1</v>
      </c>
      <c r="BF47">
        <f t="shared" si="38"/>
        <v>10</v>
      </c>
      <c r="BH47">
        <f>BH42+1</f>
        <v>5</v>
      </c>
      <c r="BI47">
        <v>9</v>
      </c>
      <c r="BJ47" s="107" t="e">
        <f>$H$29*H47</f>
        <v>#DIV/0!</v>
      </c>
      <c r="BP47">
        <f>BL12+1</f>
        <v>9</v>
      </c>
      <c r="BQ47">
        <v>8</v>
      </c>
      <c r="BR47" s="107" t="e">
        <f t="shared" si="37"/>
        <v>#DIV/0!</v>
      </c>
    </row>
    <row r="48" spans="1:70" ht="15" customHeight="1" thickBot="1" x14ac:dyDescent="0.3">
      <c r="A48" s="114" t="s">
        <v>112</v>
      </c>
      <c r="B48" s="114" t="s">
        <v>119</v>
      </c>
      <c r="C48" s="114" t="s">
        <v>117</v>
      </c>
      <c r="D48" s="115" t="s">
        <v>120</v>
      </c>
      <c r="E48" s="114" t="s">
        <v>115</v>
      </c>
      <c r="G48" s="92">
        <v>10</v>
      </c>
      <c r="H48" s="133" t="e">
        <f>J48*L38+J47*L39+J46*L40+J45*L41</f>
        <v>#DIV/0!</v>
      </c>
      <c r="I48" s="94">
        <v>10</v>
      </c>
      <c r="J48" s="89" t="e">
        <f t="shared" si="31"/>
        <v>#DIV/0!</v>
      </c>
      <c r="K48" s="96">
        <v>10</v>
      </c>
      <c r="L48" s="89"/>
      <c r="M48" s="85"/>
      <c r="N48" s="37"/>
      <c r="O48" s="37"/>
      <c r="P48" s="37"/>
      <c r="Q48" s="28">
        <v>10</v>
      </c>
      <c r="R48" s="37" t="e">
        <f>P43*N43</f>
        <v>#DIV/0!</v>
      </c>
      <c r="S48" s="72">
        <v>10</v>
      </c>
      <c r="T48" s="135" t="e">
        <f t="shared" si="35"/>
        <v>#DIV/0!</v>
      </c>
      <c r="U48" s="94">
        <v>10</v>
      </c>
      <c r="V48" s="89" t="e">
        <f>IF(((T48*R38+T47*R39+T46*R40+T45*R41+T44*R42+T43*R43+T42*R44+T41*R45+T40*R46+T39*R47+T38*R48)+V36)&lt;&gt;1,1-V36,(T48*R38+T47*R39+T46*R40+T45*R41+T44*R42+T43*R43+T42*R44+T41*R45+T40*R46+T39*R47+T38*R48))</f>
        <v>#DIV/0!</v>
      </c>
      <c r="W48" s="137"/>
      <c r="X48" s="28">
        <v>10</v>
      </c>
      <c r="Y48" s="73"/>
      <c r="Z48" s="28">
        <v>10</v>
      </c>
      <c r="AA48" s="79"/>
      <c r="AB48" s="28">
        <v>10</v>
      </c>
      <c r="AC48" s="79"/>
      <c r="AD48" s="28">
        <v>10</v>
      </c>
      <c r="AE48" s="79"/>
      <c r="AF48" s="28">
        <v>10</v>
      </c>
      <c r="AG48" s="79"/>
      <c r="AH48" s="28">
        <v>10</v>
      </c>
      <c r="AI48" s="79"/>
      <c r="AJ48" s="28">
        <v>10</v>
      </c>
      <c r="AK48" s="79"/>
      <c r="AL48" s="28">
        <v>10</v>
      </c>
      <c r="AM48" s="79"/>
      <c r="AN48" s="28">
        <v>10</v>
      </c>
      <c r="AO48" s="79"/>
      <c r="AP48" s="28">
        <v>10</v>
      </c>
      <c r="AQ48" s="79"/>
      <c r="AR48" s="28">
        <v>10</v>
      </c>
      <c r="AS48" s="79" t="e">
        <f>((($W$38)^Q48)*((1-($W$38))^($U$34-Q48))*HLOOKUP($U$34,$AV$24:$BF$34,Q48+1))*V48</f>
        <v>#DIV/0!</v>
      </c>
      <c r="AV48" s="14">
        <v>10</v>
      </c>
      <c r="BF48">
        <f t="shared" si="38"/>
        <v>1</v>
      </c>
      <c r="BH48">
        <f>BH43+1</f>
        <v>5</v>
      </c>
      <c r="BI48">
        <v>10</v>
      </c>
      <c r="BJ48" s="107" t="e">
        <f>$H$29*H48</f>
        <v>#DIV/0!</v>
      </c>
    </row>
    <row r="49" spans="1:62" ht="15" customHeight="1" thickBot="1" x14ac:dyDescent="0.3">
      <c r="A49" s="114" t="s">
        <v>116</v>
      </c>
      <c r="B49" s="114" t="s">
        <v>119</v>
      </c>
      <c r="C49" s="114" t="s">
        <v>113</v>
      </c>
      <c r="D49" s="114" t="s">
        <v>121</v>
      </c>
      <c r="E49" s="114" t="s">
        <v>122</v>
      </c>
      <c r="G49" s="76"/>
      <c r="H49" s="77"/>
      <c r="I49" s="33"/>
      <c r="J49" s="33"/>
      <c r="K49" s="77"/>
      <c r="L49" s="77"/>
      <c r="M49" s="31"/>
      <c r="N49" s="31"/>
      <c r="O49" s="32"/>
      <c r="P49" s="32"/>
      <c r="Q49" s="32"/>
      <c r="R49" s="32"/>
      <c r="S49" s="76"/>
      <c r="T49" s="76"/>
      <c r="U49" s="76"/>
      <c r="V49" s="77"/>
      <c r="W49" s="33"/>
      <c r="X49" s="13"/>
      <c r="Y49" s="13"/>
      <c r="BH49">
        <f>BP14+1</f>
        <v>6</v>
      </c>
      <c r="BI49">
        <v>0</v>
      </c>
      <c r="BJ49" s="107" t="e">
        <f>$H$30*H38</f>
        <v>#DIV/0!</v>
      </c>
    </row>
    <row r="50" spans="1:62" ht="15.75" thickBot="1" x14ac:dyDescent="0.3">
      <c r="A50" s="116" t="s">
        <v>112</v>
      </c>
      <c r="B50" s="116" t="s">
        <v>123</v>
      </c>
      <c r="C50" s="116" t="s">
        <v>113</v>
      </c>
      <c r="D50" s="116" t="s">
        <v>124</v>
      </c>
      <c r="E50" s="116" t="s">
        <v>115</v>
      </c>
      <c r="BH50">
        <f>BH45+1</f>
        <v>6</v>
      </c>
      <c r="BI50">
        <v>7</v>
      </c>
      <c r="BJ50" s="107" t="e">
        <f>$H$30*H45</f>
        <v>#DIV/0!</v>
      </c>
    </row>
    <row r="51" spans="1:62" ht="15.75" thickBot="1" x14ac:dyDescent="0.3">
      <c r="A51" s="116" t="s">
        <v>116</v>
      </c>
      <c r="B51" s="116" t="s">
        <v>123</v>
      </c>
      <c r="C51" s="116" t="s">
        <v>113</v>
      </c>
      <c r="D51" s="116" t="s">
        <v>125</v>
      </c>
      <c r="E51" s="116" t="s">
        <v>122</v>
      </c>
      <c r="H51" s="107"/>
      <c r="BH51">
        <f>BH46+1</f>
        <v>6</v>
      </c>
      <c r="BI51">
        <v>8</v>
      </c>
      <c r="BJ51" s="107" t="e">
        <f>$H$30*H46</f>
        <v>#DIV/0!</v>
      </c>
    </row>
    <row r="52" spans="1:62" x14ac:dyDescent="0.25">
      <c r="BH52">
        <f>BH47+1</f>
        <v>6</v>
      </c>
      <c r="BI52">
        <v>9</v>
      </c>
      <c r="BJ52" s="107" t="e">
        <f>$H$30*H47</f>
        <v>#DIV/0!</v>
      </c>
    </row>
    <row r="53" spans="1:62" x14ac:dyDescent="0.25">
      <c r="BH53">
        <f>BH48+1</f>
        <v>6</v>
      </c>
      <c r="BI53">
        <v>10</v>
      </c>
      <c r="BJ53" s="107" t="e">
        <f>$H$30*H48</f>
        <v>#DIV/0!</v>
      </c>
    </row>
    <row r="54" spans="1:62" x14ac:dyDescent="0.25">
      <c r="BH54">
        <f>BH51+1</f>
        <v>7</v>
      </c>
      <c r="BI54">
        <v>8</v>
      </c>
      <c r="BJ54" s="107" t="e">
        <f>$H$31*H46</f>
        <v>#DIV/0!</v>
      </c>
    </row>
    <row r="55" spans="1:62" x14ac:dyDescent="0.25">
      <c r="BH55">
        <f>BH52+1</f>
        <v>7</v>
      </c>
      <c r="BI55">
        <v>9</v>
      </c>
      <c r="BJ55" s="107" t="e">
        <f>$H$31*H47</f>
        <v>#DIV/0!</v>
      </c>
    </row>
    <row r="56" spans="1:62" x14ac:dyDescent="0.25">
      <c r="BH56">
        <f>BH53+1</f>
        <v>7</v>
      </c>
      <c r="BI56">
        <v>10</v>
      </c>
      <c r="BJ56" s="107" t="e">
        <f>$H$31*H48</f>
        <v>#DIV/0!</v>
      </c>
    </row>
    <row r="57" spans="1:62" x14ac:dyDescent="0.25">
      <c r="BH57">
        <f>BH55+1</f>
        <v>8</v>
      </c>
      <c r="BI57">
        <v>9</v>
      </c>
      <c r="BJ57" s="107" t="e">
        <f>$H$32*H47</f>
        <v>#DIV/0!</v>
      </c>
    </row>
    <row r="58" spans="1:62" x14ac:dyDescent="0.25">
      <c r="BH58">
        <f>BH56+1</f>
        <v>8</v>
      </c>
      <c r="BI58">
        <v>10</v>
      </c>
      <c r="BJ58" s="107" t="e">
        <f>$H$32*H48</f>
        <v>#DIV/0!</v>
      </c>
    </row>
    <row r="59" spans="1:62" x14ac:dyDescent="0.25">
      <c r="BH59">
        <f t="shared" ref="BH59" si="39">BH58+1</f>
        <v>9</v>
      </c>
      <c r="BI59">
        <v>10</v>
      </c>
      <c r="BJ59" s="107" t="e">
        <f>$H$33*H48</f>
        <v>#DIV/0!</v>
      </c>
    </row>
  </sheetData>
  <mergeCells count="2">
    <mergeCell ref="P1:Q1"/>
    <mergeCell ref="B3:C3"/>
  </mergeCells>
  <conditionalFormatting sqref="V24:V34 V38:V48">
    <cfRule type="cellIs" dxfId="13" priority="14" operator="greaterThan">
      <formula>0.15</formula>
    </cfRule>
  </conditionalFormatting>
  <conditionalFormatting sqref="V34">
    <cfRule type="cellIs" dxfId="12" priority="13" operator="greaterThan">
      <formula>0.15</formula>
    </cfRule>
  </conditionalFormatting>
  <conditionalFormatting sqref="V48">
    <cfRule type="cellIs" dxfId="11" priority="12" operator="greaterThan">
      <formula>0.15</formula>
    </cfRule>
  </conditionalFormatting>
  <conditionalFormatting sqref="V24:V34 V38:V48">
    <cfRule type="cellIs" dxfId="10" priority="11" operator="greaterThan">
      <formula>0.15</formula>
    </cfRule>
  </conditionalFormatting>
  <conditionalFormatting sqref="V34">
    <cfRule type="cellIs" dxfId="9" priority="10" operator="greaterThan">
      <formula>0.15</formula>
    </cfRule>
  </conditionalFormatting>
  <conditionalFormatting sqref="V48">
    <cfRule type="cellIs" dxfId="8" priority="9" operator="greaterThan">
      <formula>0.15</formula>
    </cfRule>
  </conditionalFormatting>
  <conditionalFormatting sqref="H24:H34">
    <cfRule type="cellIs" dxfId="7" priority="8" operator="greaterThan">
      <formula>0.15</formula>
    </cfRule>
  </conditionalFormatting>
  <conditionalFormatting sqref="H34">
    <cfRule type="cellIs" dxfId="6" priority="7" operator="greaterThan">
      <formula>0.15</formula>
    </cfRule>
  </conditionalFormatting>
  <conditionalFormatting sqref="H24:H34">
    <cfRule type="cellIs" dxfId="5" priority="6" operator="greaterThan">
      <formula>0.15</formula>
    </cfRule>
  </conditionalFormatting>
  <conditionalFormatting sqref="H34">
    <cfRule type="cellIs" dxfId="4" priority="5" operator="greaterThan">
      <formula>0.15</formula>
    </cfRule>
  </conditionalFormatting>
  <conditionalFormatting sqref="H38:H48">
    <cfRule type="cellIs" dxfId="3" priority="4" operator="greaterThan">
      <formula>0.15</formula>
    </cfRule>
  </conditionalFormatting>
  <conditionalFormatting sqref="H48">
    <cfRule type="cellIs" dxfId="2" priority="3" operator="greaterThan">
      <formula>0.15</formula>
    </cfRule>
  </conditionalFormatting>
  <conditionalFormatting sqref="H38:H48">
    <cfRule type="cellIs" dxfId="1" priority="2" operator="greaterThan">
      <formula>0.15</formula>
    </cfRule>
  </conditionalFormatting>
  <conditionalFormatting sqref="H48">
    <cfRule type="cellIs" dxfId="0" priority="1" operator="greaterThan">
      <formula>0.15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Marmota-VADER</vt:lpstr>
      <vt:lpstr>MARMOTA</vt:lpstr>
      <vt:lpstr>Future-VADER</vt:lpstr>
      <vt:lpstr>OBIWAN-Orinteers</vt:lpstr>
      <vt:lpstr>SIMULADOR</vt:lpstr>
      <vt:lpstr>SIMULADOR&gt;22-12-17</vt:lpstr>
      <vt:lpstr>SIMULADOR_sinJC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2017-11-23T10:28:35Z</dcterms:modified>
</cp:coreProperties>
</file>