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4"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AD18" i="1" l="1"/>
  <c r="AD17" i="1"/>
  <c r="AD16" i="1"/>
  <c r="AD15" i="1"/>
  <c r="AD11" i="1"/>
  <c r="AD10" i="1"/>
  <c r="AD14" i="1"/>
  <c r="AD12" i="1"/>
  <c r="AD8" i="1"/>
  <c r="AD7" i="1"/>
  <c r="AD5" i="1"/>
  <c r="AD4" i="1"/>
  <c r="AD6" i="1" l="1"/>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U17" i="3" s="1"/>
  <c r="R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s="1"/>
  <c r="I18" i="3"/>
  <c r="J18" i="3"/>
  <c r="K18" i="3"/>
  <c r="X18" i="3" s="1"/>
  <c r="L18" i="3"/>
  <c r="M18" i="3"/>
  <c r="AJ18" i="3" s="1"/>
  <c r="N18" i="3"/>
  <c r="O18" i="3"/>
  <c r="P18" i="3"/>
  <c r="Q18" i="3"/>
  <c r="T18" i="3" s="1"/>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s="1"/>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I20" i="3"/>
  <c r="J20" i="3"/>
  <c r="BD20" i="3" s="1"/>
  <c r="K20" i="3"/>
  <c r="X20" i="3" s="1"/>
  <c r="L20" i="3"/>
  <c r="M20" i="3"/>
  <c r="AJ20" i="3" s="1"/>
  <c r="N20" i="3"/>
  <c r="O20" i="3"/>
  <c r="P20" i="3"/>
  <c r="Q20" i="3"/>
  <c r="T20" i="3" s="1"/>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s="1"/>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s="1"/>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H18" i="3" l="1"/>
  <c r="T29" i="3"/>
  <c r="V26" i="3"/>
  <c r="S20" i="3"/>
  <c r="U20" i="3"/>
  <c r="G20" i="3"/>
  <c r="H19" i="3"/>
  <c r="U18" i="3"/>
  <c r="S18" i="3"/>
  <c r="Q16" i="12"/>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C18" i="1" l="1"/>
  <c r="AC17" i="1"/>
  <c r="AC16" i="1"/>
  <c r="AC15" i="1"/>
  <c r="AC11" i="1"/>
  <c r="AC10" i="1"/>
  <c r="AC13" i="1"/>
  <c r="AC12" i="1"/>
  <c r="AC7" i="1"/>
  <c r="AC6" i="1"/>
  <c r="AC5" i="1"/>
  <c r="AC4" i="1"/>
  <c r="Z18" i="1" l="1"/>
  <c r="Z17" i="1"/>
  <c r="Z16" i="1"/>
  <c r="Z15" i="1"/>
  <c r="Z11" i="1"/>
  <c r="Z10" i="1"/>
  <c r="Z13" i="1"/>
  <c r="Z14" i="1"/>
  <c r="Z12" i="1"/>
  <c r="Z8" i="1"/>
  <c r="Z7" i="1"/>
  <c r="Z6" i="1"/>
  <c r="Z5" i="1"/>
  <c r="Z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14" i="1" l="1"/>
  <c r="F10" i="1"/>
  <c r="F12" i="1"/>
  <c r="F5" i="1"/>
  <c r="F21" i="1"/>
  <c r="F17" i="1"/>
  <c r="F15" i="1"/>
  <c r="F20" i="1"/>
  <c r="F30" i="1"/>
  <c r="F8" i="1"/>
  <c r="H6" i="5" s="1"/>
  <c r="F26" i="1"/>
  <c r="C24" i="3" s="1"/>
  <c r="F29" i="1"/>
  <c r="F25" i="1"/>
  <c r="F31" i="1"/>
  <c r="F11" i="1"/>
  <c r="C11" i="1" s="1"/>
  <c r="F28" i="1"/>
  <c r="F27" i="1"/>
  <c r="F23" i="1"/>
  <c r="F24" i="1"/>
  <c r="F19" i="1"/>
  <c r="F22" i="1"/>
  <c r="F4" i="1"/>
  <c r="F7" i="1"/>
  <c r="F9" i="1"/>
  <c r="F18" i="1"/>
  <c r="F13" i="1"/>
  <c r="F16"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<sst xmlns="http://schemas.openxmlformats.org/spreadsheetml/2006/main" count="1059" uniqueCount="474">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</sst>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5" t="s">
        <v>148</v>
      </c>
      <c r="E59" s="265" t="s">
        <v>148</v>
      </c>
      <c r="F59" s="106" t="s">
        <v>107</v>
      </c>
      <c r="H59" s="107" t="s">
        <v>149</v>
      </c>
      <c r="X59" s="98"/>
    </row>
    <row r="60" spans="1:24" ht="15.75" x14ac:dyDescent="0.25">
      <c r="A60" s="108">
        <v>18</v>
      </c>
      <c r="B60" s="261"/>
      <c r="C60" s="105" t="s">
        <v>150</v>
      </c>
      <c r="D60" s="265"/>
      <c r="E60" s="265"/>
      <c r="F60" s="106" t="s">
        <v>151</v>
      </c>
      <c r="H60" s="101" t="s">
        <v>152</v>
      </c>
      <c r="X60" s="98"/>
    </row>
    <row r="61" spans="1:24" ht="15.75" x14ac:dyDescent="0.25">
      <c r="A61" s="104">
        <v>19</v>
      </c>
      <c r="B61" s="261"/>
      <c r="C61" s="109"/>
      <c r="D61" s="265"/>
      <c r="E61" s="265"/>
      <c r="F61" s="110"/>
      <c r="H61" s="101" t="s">
        <v>153</v>
      </c>
      <c r="I61" s="100"/>
      <c r="X61" s="98"/>
    </row>
    <row r="62" spans="1:24" ht="15.75" x14ac:dyDescent="0.25">
      <c r="A62" s="108">
        <v>20</v>
      </c>
      <c r="B62" s="261"/>
      <c r="C62" s="106" t="s">
        <v>148</v>
      </c>
      <c r="D62" s="266" t="s">
        <v>107</v>
      </c>
      <c r="E62" s="106" t="s">
        <v>107</v>
      </c>
      <c r="F62" s="110"/>
      <c r="H62" s="101" t="s">
        <v>154</v>
      </c>
      <c r="X62" s="98"/>
    </row>
    <row r="63" spans="1:24" ht="15.75" x14ac:dyDescent="0.25">
      <c r="A63" s="104">
        <v>21</v>
      </c>
      <c r="B63" s="263" t="s">
        <v>109</v>
      </c>
      <c r="C63" s="106" t="s">
        <v>155</v>
      </c>
      <c r="D63" s="266"/>
      <c r="E63" s="106" t="s">
        <v>151</v>
      </c>
      <c r="F63" s="110"/>
      <c r="H63" s="101" t="s">
        <v>156</v>
      </c>
      <c r="X63" s="98"/>
    </row>
    <row r="64" spans="1:24" ht="15.75" x14ac:dyDescent="0.25">
      <c r="A64" s="108">
        <v>22</v>
      </c>
      <c r="B64" s="263"/>
      <c r="C64" s="110"/>
      <c r="D64" s="266"/>
      <c r="E64" s="110"/>
      <c r="F64" s="110"/>
      <c r="H64" s="101" t="s">
        <v>157</v>
      </c>
      <c r="X64" s="98"/>
    </row>
    <row r="65" spans="1:24" ht="15.75" x14ac:dyDescent="0.25">
      <c r="A65" s="104">
        <v>23</v>
      </c>
      <c r="B65" s="263"/>
      <c r="C65" s="110"/>
      <c r="D65" s="266"/>
      <c r="E65" s="110"/>
      <c r="F65" s="110"/>
      <c r="H65" s="101"/>
      <c r="X65" s="98"/>
    </row>
    <row r="66" spans="1:24" ht="15.75" x14ac:dyDescent="0.25">
      <c r="A66" s="108">
        <v>24</v>
      </c>
      <c r="B66" s="263"/>
      <c r="C66" s="110"/>
      <c r="D66" s="266"/>
      <c r="E66" s="110"/>
      <c r="F66" s="110"/>
      <c r="H66" s="101" t="s">
        <v>158</v>
      </c>
      <c r="X66" s="98"/>
    </row>
    <row r="67" spans="1:24" ht="15.75" x14ac:dyDescent="0.25">
      <c r="A67" s="104">
        <v>25</v>
      </c>
      <c r="B67" s="263"/>
      <c r="C67" s="110"/>
      <c r="D67" s="265" t="s">
        <v>148</v>
      </c>
      <c r="E67" s="110"/>
      <c r="F67" s="110"/>
      <c r="H67" s="101" t="s">
        <v>159</v>
      </c>
      <c r="X67" s="98"/>
    </row>
    <row r="68" spans="1:24" ht="15.75" x14ac:dyDescent="0.25">
      <c r="A68" s="108">
        <v>26</v>
      </c>
      <c r="B68" s="263"/>
      <c r="C68" s="265" t="s">
        <v>148</v>
      </c>
      <c r="D68" s="265"/>
      <c r="E68" s="110"/>
      <c r="F68" s="110"/>
      <c r="H68" s="101"/>
      <c r="X68" s="98"/>
    </row>
    <row r="69" spans="1:24" ht="15.75" x14ac:dyDescent="0.25">
      <c r="A69" s="104">
        <v>27</v>
      </c>
      <c r="B69" s="261" t="s">
        <v>110</v>
      </c>
      <c r="C69" s="265"/>
      <c r="D69" s="265"/>
      <c r="E69" s="110"/>
      <c r="F69" s="110"/>
      <c r="H69" s="101"/>
      <c r="X69" s="98"/>
    </row>
    <row r="70" spans="1:24" ht="15.75" x14ac:dyDescent="0.25">
      <c r="A70" s="108">
        <v>28</v>
      </c>
      <c r="B70" s="261"/>
      <c r="C70" s="263" t="s">
        <v>109</v>
      </c>
      <c r="D70" s="265"/>
      <c r="E70" s="110"/>
      <c r="F70" s="110"/>
      <c r="H70" s="101" t="s">
        <v>160</v>
      </c>
      <c r="X70" s="98"/>
    </row>
    <row r="71" spans="1:24" ht="15.75" x14ac:dyDescent="0.25">
      <c r="A71" s="104">
        <v>29</v>
      </c>
      <c r="B71" s="261"/>
      <c r="C71" s="263"/>
      <c r="D71" s="265"/>
      <c r="E71" s="110"/>
      <c r="F71" s="110"/>
      <c r="H71" s="101"/>
      <c r="X71" s="98"/>
    </row>
    <row r="72" spans="1:24" ht="15.75" x14ac:dyDescent="0.25">
      <c r="A72" s="108">
        <v>30</v>
      </c>
      <c r="B72" s="261"/>
      <c r="C72" s="263"/>
      <c r="D72" s="263" t="s">
        <v>109</v>
      </c>
      <c r="E72" s="110"/>
      <c r="F72" s="110"/>
      <c r="H72" s="101" t="s">
        <v>161</v>
      </c>
      <c r="X72" s="98"/>
    </row>
    <row r="73" spans="1:24" ht="15.75" x14ac:dyDescent="0.25">
      <c r="A73" s="104">
        <v>31</v>
      </c>
      <c r="B73" s="261"/>
      <c r="C73" s="263"/>
      <c r="D73" s="263"/>
      <c r="E73" s="106" t="s">
        <v>148</v>
      </c>
      <c r="F73" s="110"/>
      <c r="H73" s="101"/>
      <c r="X73" s="98"/>
    </row>
    <row r="74" spans="1:24" ht="15.75" x14ac:dyDescent="0.25">
      <c r="A74" s="108">
        <v>32</v>
      </c>
      <c r="B74" s="261"/>
      <c r="C74" s="263"/>
      <c r="D74" s="263"/>
      <c r="E74" s="106" t="s">
        <v>155</v>
      </c>
      <c r="F74" s="110"/>
      <c r="H74" s="101" t="s">
        <v>162</v>
      </c>
      <c r="X74" s="98"/>
    </row>
    <row r="75" spans="1:24" ht="15.75" x14ac:dyDescent="0.25">
      <c r="A75" s="104">
        <v>33</v>
      </c>
      <c r="B75" s="261"/>
      <c r="C75" s="261" t="s">
        <v>110</v>
      </c>
      <c r="D75" s="263"/>
      <c r="E75" s="105" t="s">
        <v>109</v>
      </c>
      <c r="F75" s="105" t="s">
        <v>109</v>
      </c>
      <c r="H75" s="101"/>
      <c r="X75" s="98"/>
    </row>
    <row r="76" spans="1:24" ht="15.75" x14ac:dyDescent="0.25">
      <c r="A76" s="108">
        <v>34</v>
      </c>
      <c r="B76" s="264" t="s">
        <v>163</v>
      </c>
      <c r="C76" s="261"/>
      <c r="D76" s="263"/>
      <c r="E76" s="105" t="s">
        <v>150</v>
      </c>
      <c r="F76" s="105" t="s">
        <v>150</v>
      </c>
      <c r="H76" s="101" t="s">
        <v>164</v>
      </c>
      <c r="X76" s="98"/>
    </row>
    <row r="77" spans="1:24" ht="15.75" x14ac:dyDescent="0.25">
      <c r="A77" s="104">
        <v>35</v>
      </c>
      <c r="B77" s="264"/>
      <c r="C77" s="264" t="s">
        <v>163</v>
      </c>
      <c r="D77" s="261" t="s">
        <v>110</v>
      </c>
      <c r="E77" s="261" t="s">
        <v>110</v>
      </c>
      <c r="F77" s="109"/>
      <c r="H77" s="101"/>
      <c r="X77" s="98"/>
    </row>
    <row r="78" spans="1:24" ht="15.75" x14ac:dyDescent="0.25">
      <c r="A78" s="108">
        <v>36</v>
      </c>
      <c r="B78" s="264"/>
      <c r="C78" s="264"/>
      <c r="D78" s="261"/>
      <c r="E78" s="261"/>
      <c r="F78" s="111" t="s">
        <v>110</v>
      </c>
      <c r="H78" s="101" t="s">
        <v>165</v>
      </c>
      <c r="X78" s="98"/>
    </row>
    <row r="79" spans="1:24" ht="15.75" x14ac:dyDescent="0.25">
      <c r="A79" s="262" t="s">
        <v>166</v>
      </c>
      <c r="B79" s="262"/>
      <c r="C79" s="262"/>
      <c r="D79" s="262"/>
      <c r="E79" s="262"/>
      <c r="F79" s="262"/>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-65926.210045662083</v>
      </c>
      <c r="C2" s="139">
        <v>22</v>
      </c>
      <c r="D2" s="139">
        <v>61</v>
      </c>
      <c r="E2" s="148">
        <f>PLANTILLA!M4</f>
        <v>42200</v>
      </c>
      <c r="F2" s="140">
        <v>4265460</v>
      </c>
      <c r="G2" s="139">
        <f>PLANTILLA!E4</f>
        <v>30</v>
      </c>
      <c r="H2" s="139">
        <f ca="1">PLANTILLA!F4</f>
        <v>41</v>
      </c>
      <c r="I2" s="49">
        <f ca="1">E2+(H2-D2+(G2-C2)*112)</f>
        <v>43076</v>
      </c>
      <c r="J2" s="155">
        <v>6886000</v>
      </c>
      <c r="K2" s="40">
        <f ca="1">(I2-E2)/112</f>
        <v>7.8214285714285712</v>
      </c>
      <c r="L2" s="74">
        <f>J2-F2</f>
        <v>2620540</v>
      </c>
      <c r="M2" s="76">
        <f>PLANTILLA!V4</f>
        <v>16820</v>
      </c>
      <c r="N2" s="76">
        <f ca="1">((G2-C2)*M2*16)+(H2-D2)/7*M2</f>
        <v>2104902.8571428573</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19.449999999999996</v>
      </c>
      <c r="Y2" s="143">
        <f>PLANTILLA!AE4</f>
        <v>1284</v>
      </c>
      <c r="Z2" s="143">
        <f>O2*P2*P2</f>
        <v>42.4</v>
      </c>
      <c r="AA2" s="9">
        <f>((S2+1)+(V2+1)*2)/8</f>
        <v>2.3408333333333333</v>
      </c>
      <c r="AB2" s="9">
        <f>X2*0.7+W2*0.3</f>
        <v>14.157999999999998</v>
      </c>
      <c r="AC2" s="9">
        <f>(0.5*W2+ 0.3*X2)/10</f>
        <v>0.67399999999999982</v>
      </c>
      <c r="AD2" s="9">
        <f>(0.4*S2+0.3*X2)/10</f>
        <v>1.0261666666666664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113786.32258064518</v>
      </c>
      <c r="C3" s="139">
        <v>29</v>
      </c>
      <c r="D3" s="139">
        <v>99</v>
      </c>
      <c r="E3" s="148">
        <f>PLANTILLA!M5</f>
        <v>42828</v>
      </c>
      <c r="F3" s="140">
        <v>2789000</v>
      </c>
      <c r="G3" s="139">
        <f>PLANTILLA!E5</f>
        <v>32</v>
      </c>
      <c r="H3" s="139">
        <f ca="1">PLANTILLA!F5</f>
        <v>11</v>
      </c>
      <c r="I3" s="49">
        <f t="shared" ref="I3:I16" ca="1" si="1">E3+(H3-D3+(G3-C3)*112)</f>
        <v>43076</v>
      </c>
      <c r="J3" s="155">
        <v>3074000</v>
      </c>
      <c r="K3" s="40">
        <f t="shared" ref="K3:K16" ca="1" si="2">(I3-E3)/112</f>
        <v>2.2142857142857144</v>
      </c>
      <c r="L3" s="74">
        <f t="shared" ref="L3:L16" si="3">J3-F3</f>
        <v>285000</v>
      </c>
      <c r="M3" s="76">
        <f>PLANTILLA!V5</f>
        <v>15156</v>
      </c>
      <c r="N3" s="76">
        <f t="shared" ref="N3:N16" ca="1" si="4">((G3-C3)*M3*16)+(H3-D3)/7*M3</f>
        <v>536955.42857142864</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15.666666666666664</v>
      </c>
      <c r="Y3" s="143">
        <f>PLANTILLA!AE5</f>
        <v>1650</v>
      </c>
      <c r="Z3" s="143">
        <f t="shared" ref="Z3:Z16" si="5">O3*P3*P3</f>
        <v>87.3</v>
      </c>
      <c r="AA3" s="9">
        <f t="shared" ref="AA3:AA16" si="6">((S3+1)+(V3+1)*2)/8</f>
        <v>3.8874999999999997</v>
      </c>
      <c r="AB3" s="9">
        <f t="shared" ref="AB3:AB16" si="7">X3*0.7+W3*0.3</f>
        <v>11.569666666666665</v>
      </c>
      <c r="AC3" s="9">
        <f t="shared" ref="AC3:AC16" si="8">(0.5*W3+ 0.3*X3)/10</f>
        <v>0.5704999999999999</v>
      </c>
      <c r="AD3" s="9">
        <f t="shared" ref="AD3:AD16" si="9">(0.4*S3+0.3*X3)/10</f>
        <v>1.03</v>
      </c>
      <c r="AE3" s="40">
        <f t="shared" ref="AE3:AE16" ca="1" si="10">IF(TODAY()-E3&gt;335,((S3+1+(LOG(O3)*4/3))*0.516),((S3+(((TODAY()-E3)^0.5)/(336^0.516))+(LOG(O3)*4/3))*0.516))</f>
        <v>8.306808831661515</v>
      </c>
      <c r="AF3" s="40">
        <f t="shared" ref="AF3:AF16" ca="1" si="11">IF(TODAY()-E3&gt;335,((S3+1+(LOG(O3)*4/3))*1),((S3+(((TODAY()-E3)^0.5)/(336^0.5))+(LOG(O3)*4/3))*1))</f>
        <v>16.17482033867255</v>
      </c>
      <c r="AG3" s="40">
        <f ca="1">IF(TODAY()-E3&gt;335,((T3+1+(LOG(O3)*4/3))*0.238),((T3+(((TODAY()-E3)^0.5)/(336^0.238))+(LOG(O3)*4/3))*0.238))</f>
        <v>2.9440311944166062</v>
      </c>
      <c r="AH3" s="40">
        <f ca="1">IF(TODAY()-E3&gt;335,((S3+1+(LOG(O3)*4/3))*0.92),((S3+(((TODAY()-E3)^0.5)/(336^0.5))+(LOG(O3)*4/3))*0.92))</f>
        <v>14.880834711578746</v>
      </c>
      <c r="AI3" s="40">
        <f ca="1">IF(TODAY()-E3&gt;335,((S3+1+(LOG(O3)*4/3))*0.414),((S3+(((TODAY()-E3)^0.5)/(336^0.414))+(LOG(O3)*4/3))*0.414))</f>
        <v>6.9272705275621149</v>
      </c>
      <c r="AJ3" s="40">
        <f ca="1">IF(TODAY()-E3&gt;335,((T3+1+(LOG(O3)*4/3))*0.167),((T3+(((TODAY()-E3)^0.5)/(336^0.5))+(LOG(O3)*4/3))*0.167))</f>
        <v>1.5505649965583159</v>
      </c>
      <c r="AK3" s="203">
        <f ca="1">IF(TODAY()-E3&gt;335,((U3+1+(LOG(O3)*4/3))*0.588),((U3+(((TODAY()-E3)^0.5)/(336^0.5))+(LOG(O3)*4/3))*0.588))</f>
        <v>7.7677943591394598</v>
      </c>
      <c r="AL3" s="40">
        <f ca="1">IF(TODAY()-E3&gt;335,((S3+1+(LOG(O3)*4/3))*0.4),((S3+(((TODAY()-E3)^0.5)/(336^0.5))+(LOG(O3)*4/3))*0.4))</f>
        <v>6.4699281354690203</v>
      </c>
      <c r="AM3" s="40">
        <f ca="1">IF(TODAY()-E3&gt;335,((T3+1+(LOG(O3)*4/3))*1),((T3+(((TODAY()-E3)^0.5)/(336^0.5))+(LOG(O3)*4/3))*1))</f>
        <v>9.2848203386725494</v>
      </c>
      <c r="AN3" s="40">
        <f ca="1">IF(TODAY()-E3&gt;335,((W3+1+(LOG(O3)*4/3))*0.21)+((V3+1+(LOG(O3)*4/3))*0.341),((W3+(((TODAY()-E3)^0.5)/(336^0.5))+(LOG(O3)*4/3))*0.21)+((V3+(((TODAY()-E3)^0.5)/(336^0.5))+(LOG(O3)*4/3))*0.341))</f>
        <v>4.024476006608575</v>
      </c>
      <c r="AO3" s="40">
        <f ca="1">IF(TODAY()-E3&gt;335,((T3+1+(LOG(O3)*4/3))*0.305),((T3+(((TODAY()-E3)^0.5)/(336^0.5))+(LOG(O3)*4/3))*0.305))</f>
        <v>2.8318702032951277</v>
      </c>
      <c r="AP3" s="40">
        <f ca="1">IF(TODAY()-E3&gt;335,((U3+1+(LOG(O3)*4/3))*1)+((V3+1+(LOG(O3)*4/3))*0.286),((U3+(((TODAY()-E3)^0.5)/(336^0.5))+(LOG(O3)*4/3))*1)+((V3+(((TODAY()-E3)^0.5)/(336^0.5))+(LOG(O3)*4/3))*0.286))</f>
        <v>15.848833241247185</v>
      </c>
      <c r="AQ3" s="40">
        <f ca="1">IF(TODAY()-E3&gt;335,((T3+1+(LOG(O3)*4/3))*0.406),((T3+(((TODAY()-E3)^0.5)/(336^0.5))+(LOG(O3)*4/3))*0.406))</f>
        <v>3.7696370575010554</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5.501894166399345</v>
      </c>
      <c r="AS3" s="40">
        <f ca="1">IF(Q3="TEC",IF(TODAY()-E3&gt;335,((V3+1+(LOG(O3)*4/3))*0.543)+((W3+1+(LOG(O3)*4/3))*0.583),((V3+(((TODAY()-E3)^0.5)/(336^0.5))+(LOG(O3)*4/3))*0.543)+((W3+(((TODAY()-E3)^0.5)/(336^0.5))+(LOG(O3)*4/3))*0.583)),IF(TODAY()-E3&gt;335,((V3+1+(LOG(O3)*4/3))*0.543)+((W3+1+(LOG(O3)*4/3))*0.583),((V3+(((TODAY()-E3)^0.5)/(336^0.5))+(LOG(O3)*4/3))*0.543)+((W3+(((TODAY()-E3)^0.5)/(336^0.5))+(LOG(O3)*4/3))*0.583)))</f>
        <v>7.4488277013452908</v>
      </c>
    </row>
    <row r="4" spans="1:45" s="98" customFormat="1" x14ac:dyDescent="0.25">
      <c r="A4" s="154" t="str">
        <f>PLANTILLA!D6</f>
        <v>Csaba Mező</v>
      </c>
      <c r="B4" s="73">
        <f t="shared" ca="1" si="0"/>
        <v>155312.98194945839</v>
      </c>
      <c r="C4" s="139">
        <v>29</v>
      </c>
      <c r="D4" s="139">
        <v>41</v>
      </c>
      <c r="E4" s="148">
        <f>PLANTILLA!M6</f>
        <v>42799</v>
      </c>
      <c r="F4" s="140">
        <v>2700000</v>
      </c>
      <c r="G4" s="139">
        <f>PLANTILLA!E6</f>
        <v>31</v>
      </c>
      <c r="H4" s="139">
        <f ca="1">PLANTILLA!F6</f>
        <v>101</v>
      </c>
      <c r="I4" s="49">
        <f ca="1">TODAY()</f>
        <v>43076</v>
      </c>
      <c r="J4" s="155">
        <v>2867000</v>
      </c>
      <c r="K4" s="40">
        <f t="shared" ca="1" si="2"/>
        <v>2.4732142857142856</v>
      </c>
      <c r="L4" s="74">
        <f t="shared" si="3"/>
        <v>167000</v>
      </c>
      <c r="M4" s="76">
        <f>PLANTILLA!V6</f>
        <v>13584</v>
      </c>
      <c r="N4" s="76">
        <f t="shared" ca="1" si="4"/>
        <v>551122.28571428568</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10.333333333333334</v>
      </c>
      <c r="Y4" s="143">
        <f>PLANTILLA!AE6</f>
        <v>1507</v>
      </c>
      <c r="Z4" s="143">
        <f t="shared" si="5"/>
        <v>81.899999999999991</v>
      </c>
      <c r="AA4" s="9">
        <f t="shared" si="6"/>
        <v>4.2662499999999994</v>
      </c>
      <c r="AB4" s="9">
        <f t="shared" si="7"/>
        <v>8.4363333333333337</v>
      </c>
      <c r="AC4" s="9">
        <f t="shared" si="8"/>
        <v>0.51050000000000006</v>
      </c>
      <c r="AD4" s="9">
        <f t="shared" si="9"/>
        <v>0.83200000000000007</v>
      </c>
      <c r="AE4" s="40">
        <f t="shared" ca="1" si="10"/>
        <v>7.8204933135419994</v>
      </c>
      <c r="AF4" s="40">
        <f t="shared" ca="1" si="11"/>
        <v>15.236689235745665</v>
      </c>
      <c r="AG4" s="40">
        <f ca="1">IF(TODAY()-E4&gt;335,((T4+1+(LOG(O4)*4/3))*0.238),((T4+(((TODAY()-E4)^0.5)/(336^0.238))+(LOG(O4)*4/3))*0.238))</f>
        <v>2.053258997820151</v>
      </c>
      <c r="AH4" s="40">
        <f ca="1">IF(TODAY()-E4&gt;335,((S4+1+(LOG(O4)*4/3))*0.92),((S4+(((TODAY()-E4)^0.5)/(336^0.5))+(LOG(O4)*4/3))*0.92))</f>
        <v>14.017754096886012</v>
      </c>
      <c r="AI4" s="40">
        <f ca="1">IF(TODAY()-E4&gt;335,((S4+1+(LOG(O4)*4/3))*0.414),((S4+(((TODAY()-E4)^0.5)/(336^0.414))+(LOG(O4)*4/3))*0.414))</f>
        <v>6.5520110154676106</v>
      </c>
      <c r="AJ4" s="40">
        <f ca="1">IF(TODAY()-E4&gt;335,((T4+1+(LOG(O4)*4/3))*0.167),((T4+(((TODAY()-E4)^0.5)/(336^0.5))+(LOG(O4)*4/3))*0.167))</f>
        <v>0.89623710236952603</v>
      </c>
      <c r="AK4" s="203">
        <f ca="1">IF(TODAY()-E4&gt;335,((U4+1+(LOG(O4)*4/3))*0.588),((U4+(((TODAY()-E4)^0.5)/(336^0.5))+(LOG(O4)*4/3))*0.588))</f>
        <v>8.3613732706184507</v>
      </c>
      <c r="AL4" s="40">
        <f ca="1">IF(TODAY()-E4&gt;335,((S4+1+(LOG(O4)*4/3))*0.4),((S4+(((TODAY()-E4)^0.5)/(336^0.5))+(LOG(O4)*4/3))*0.4))</f>
        <v>6.0946756942982665</v>
      </c>
      <c r="AM4" s="40">
        <f ca="1">IF(TODAY()-E4&gt;335,((T4+1+(LOG(O4)*4/3))*1),((T4+(((TODAY()-E4)^0.5)/(336^0.5))+(LOG(O4)*4/3))*1))</f>
        <v>5.3666892357456648</v>
      </c>
      <c r="AN4" s="40">
        <f ca="1">IF(TODAY()-E4&gt;335,((W4+1+(LOG(O4)*4/3))*0.21)+((V4+1+(LOG(O4)*4/3))*0.341),((W4+(((TODAY()-E4)^0.5)/(336^0.5))+(LOG(O4)*4/3))*0.21)+((V4+(((TODAY()-E4)^0.5)/(336^0.5))+(LOG(O4)*4/3))*0.341))</f>
        <v>5.1296057688958614</v>
      </c>
      <c r="AO4" s="40">
        <f ca="1">IF(TODAY()-E4&gt;335,((T4+1+(LOG(O4)*4/3))*0.305),((T4+(((TODAY()-E4)^0.5)/(336^0.5))+(LOG(O4)*4/3))*0.305))</f>
        <v>1.6368402169024276</v>
      </c>
      <c r="AP4" s="40">
        <f ca="1">IF(TODAY()-E4&gt;335,((U4+1+(LOG(O4)*4/3))*1)+((V4+1+(LOG(O4)*4/3))*0.286),((U4+(((TODAY()-E4)^0.5)/(336^0.5))+(LOG(O4)*4/3))*1)+((V4+(((TODAY()-E4)^0.5)/(336^0.5))+(LOG(O4)*4/3))*0.286))</f>
        <v>17.430855690502256</v>
      </c>
      <c r="AQ4" s="40">
        <f ca="1">IF(TODAY()-E4&gt;335,((T4+1+(LOG(O4)*4/3))*0.406),((T4+(((TODAY()-E4)^0.5)/(336^0.5))+(LOG(O4)*4/3))*0.406))</f>
        <v>2.17887582971274</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5.6413350918234899</v>
      </c>
      <c r="AS4" s="40">
        <f ca="1">IF(Q4="TEC",IF(TODAY()-E4&gt;335,((V4+1+(LOG(O4)*4/3))*0.543)+((W4+1+(LOG(O4)*4/3))*0.583),((V4+(((TODAY()-E4)^0.5)/(336^0.5))+(LOG(O4)*4/3))*0.543)+((W4+(((TODAY()-E4)^0.5)/(336^0.5))+(LOG(O4)*4/3))*0.583)),IF(TODAY()-E4&gt;335,((V4+1+(LOG(O4)*4/3))*0.543)+((W4+1+(LOG(O4)*4/3))*0.583),((V4+(((TODAY()-E4)^0.5)/(336^0.5))+(LOG(O4)*4/3))*0.543)+((W4+(((TODAY()-E4)^0.5)/(336^0.5))+(LOG(O4)*4/3))*0.583)))</f>
        <v>9.7087620794496168</v>
      </c>
    </row>
    <row r="5" spans="1:45" s="98" customFormat="1" x14ac:dyDescent="0.25">
      <c r="A5" s="154" t="str">
        <f>PLANTILLA!D7</f>
        <v>Mateuz Brzostowski</v>
      </c>
      <c r="B5" s="73">
        <f t="shared" ca="1" si="0"/>
        <v>-692465.12500000023</v>
      </c>
      <c r="C5" s="139">
        <v>30</v>
      </c>
      <c r="D5" s="139">
        <v>29</v>
      </c>
      <c r="E5" s="148">
        <v>42948</v>
      </c>
      <c r="F5" s="140">
        <v>2678987</v>
      </c>
      <c r="G5" s="139">
        <f>PLANTILLA!E7</f>
        <v>31</v>
      </c>
      <c r="H5" s="139">
        <f ca="1">PLANTILLA!F7</f>
        <v>45</v>
      </c>
      <c r="I5" s="49">
        <f t="shared" ca="1" si="1"/>
        <v>43076</v>
      </c>
      <c r="J5" s="155">
        <v>3864250</v>
      </c>
      <c r="K5" s="40">
        <f t="shared" ca="1" si="2"/>
        <v>1.1428571428571428</v>
      </c>
      <c r="L5" s="74">
        <f t="shared" si="3"/>
        <v>1185263</v>
      </c>
      <c r="M5" s="76">
        <f>PLANTILLA!V7</f>
        <v>21540</v>
      </c>
      <c r="N5" s="76">
        <f t="shared" ca="1" si="4"/>
        <v>393874.28571428568</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14.024444444444443</v>
      </c>
      <c r="Y5" s="143">
        <f>PLANTILLA!AE7</f>
        <v>1570</v>
      </c>
      <c r="Z5" s="143">
        <f t="shared" ref="Z5" si="12">O5*P5*P5</f>
        <v>35.6</v>
      </c>
      <c r="AA5" s="9">
        <f t="shared" ref="AA5" si="13">((S5+1)+(V5+1)*2)/8</f>
        <v>4.3849999999999998</v>
      </c>
      <c r="AB5" s="9">
        <f t="shared" ref="AB5" si="14">X5*0.7+W5*0.3</f>
        <v>10.120111111111111</v>
      </c>
      <c r="AC5" s="9">
        <f t="shared" ref="AC5" si="15">(0.5*W5+ 0.3*X5)/10</f>
        <v>0.47123333333333328</v>
      </c>
      <c r="AD5" s="9">
        <f t="shared" ref="AD5" si="16">(0.4*S5+0.3*X5)/10</f>
        <v>0.98073333333333323</v>
      </c>
      <c r="AE5" s="40">
        <f t="shared" ref="AE5" ca="1" si="17">IF(TODAY()-E5&gt;335,((S5+1+(LOG(O5)*4/3))*0.516),((S5+(((TODAY()-E5)^0.5)/(336^0.516))+(LOG(O5)*4/3))*0.516))</f>
        <v>8.1673577474402475</v>
      </c>
      <c r="AF5" s="40">
        <f t="shared" ref="AF5" ca="1" si="18">IF(TODAY()-E5&gt;335,((S5+1+(LOG(O5)*4/3))*1),((S5+(((TODAY()-E5)^0.5)/(336^0.5))+(LOG(O5)*4/3))*1))</f>
        <v>15.883066742041585</v>
      </c>
      <c r="AG5" s="40">
        <f ca="1">IF(TODAY()-E5&gt;335,((T5+1+(LOG(O5)*4/3))*0.238),((T5+(((TODAY()-E5)^0.5)/(336^0.238))+(LOG(O5)*4/3))*0.238))</f>
        <v>2.1704263129492354</v>
      </c>
      <c r="AH5" s="40">
        <f ca="1">IF(TODAY()-E5&gt;335,((S5+1+(LOG(O5)*4/3))*0.92),((S5+(((TODAY()-E5)^0.5)/(336^0.5))+(LOG(O5)*4/3))*0.92))</f>
        <v>14.612421402678258</v>
      </c>
      <c r="AI5" s="40">
        <f ca="1">IF(TODAY()-E5&gt;335,((S5+1+(LOG(O5)*4/3))*0.414),((S5+(((TODAY()-E5)^0.5)/(336^0.414))+(LOG(O5)*4/3))*0.414))</f>
        <v>6.7414694294905857</v>
      </c>
      <c r="AJ5" s="40">
        <f ca="1">IF(TODAY()-E5&gt;335,((T5+1+(LOG(O5)*4/3))*0.167),((T5+(((TODAY()-E5)^0.5)/(336^0.5))+(LOG(O5)*4/3))*0.167))</f>
        <v>1.1528121459209446</v>
      </c>
      <c r="AK5" s="203">
        <f ca="1">IF(TODAY()-E5&gt;335,((U5+1+(LOG(O5)*4/3))*0.588),((U5+(((TODAY()-E5)^0.5)/(336^0.5))+(LOG(O5)*4/3))*0.588))</f>
        <v>6.9931232443204516</v>
      </c>
      <c r="AL5" s="40">
        <f ca="1">IF(TODAY()-E5&gt;335,((S5+1+(LOG(O5)*4/3))*0.4),((S5+(((TODAY()-E5)^0.5)/(336^0.5))+(LOG(O5)*4/3))*0.4))</f>
        <v>6.353226696816634</v>
      </c>
      <c r="AM5" s="40">
        <f ca="1">IF(TODAY()-E5&gt;335,((T5+1+(LOG(O5)*4/3))*1),((T5+(((TODAY()-E5)^0.5)/(336^0.5))+(LOG(O5)*4/3))*1))</f>
        <v>6.9030667420415837</v>
      </c>
      <c r="AN5" s="40">
        <f ca="1">IF(TODAY()-E5&gt;335,((W5+1+(LOG(O5)*4/3))*0.21)+((V5+1+(LOG(O5)*4/3))*0.341),((W5+(((TODAY()-E5)^0.5)/(336^0.5))+(LOG(O5)*4/3))*0.21)+((V5+(((TODAY()-E5)^0.5)/(336^0.5))+(LOG(O5)*4/3))*0.341))</f>
        <v>4.3323097748649131</v>
      </c>
      <c r="AO5" s="40">
        <f ca="1">IF(TODAY()-E5&gt;335,((T5+1+(LOG(O5)*4/3))*0.305),((T5+(((TODAY()-E5)^0.5)/(336^0.5))+(LOG(O5)*4/3))*0.305))</f>
        <v>2.1054353563226829</v>
      </c>
      <c r="AP5" s="40">
        <f ca="1">IF(TODAY()-E5&gt;335,((U5+1+(LOG(O5)*4/3))*1)+((V5+1+(LOG(O5)*4/3))*0.286),((U5+(((TODAY()-E5)^0.5)/(336^0.5))+(LOG(O5)*4/3))*1)+((V5+(((TODAY()-E5)^0.5)/(336^0.5))+(LOG(O5)*4/3))*0.286))</f>
        <v>15.017063830265478</v>
      </c>
      <c r="AQ5" s="40">
        <f ca="1">IF(TODAY()-E5&gt;335,((T5+1+(LOG(O5)*4/3))*0.406),((T5+(((TODAY()-E5)^0.5)/(336^0.5))+(LOG(O5)*4/3))*0.406))</f>
        <v>2.8026450972688832</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4.8107877726036659</v>
      </c>
      <c r="AS5" s="40">
        <f ca="1">IF(Q5="TEC",IF(TODAY()-E5&gt;335,((V5+1+(LOG(O5)*4/3))*0.543)+((W5+1+(LOG(O5)*4/3))*0.583),((V5+(((TODAY()-E5)^0.5)/(336^0.5))+(LOG(O5)*4/3))*0.543)+((W5+(((TODAY()-E5)^0.5)/(336^0.5))+(LOG(O5)*4/3))*0.583)),IF(TODAY()-E5&gt;335,((V5+1+(LOG(O5)*4/3))*0.543)+((W5+1+(LOG(O5)*4/3))*0.583),((V5+(((TODAY()-E5)^0.5)/(336^0.5))+(LOG(O5)*4/3))*0.543)+((W5+(((TODAY()-E5)^0.5)/(336^0.5))+(LOG(O5)*4/3))*0.583)))</f>
        <v>7.6178831515388241</v>
      </c>
    </row>
    <row r="6" spans="1:45" s="98" customFormat="1" x14ac:dyDescent="0.25">
      <c r="A6" s="154" t="str">
        <f>PLANTILLA!D8</f>
        <v>Andrea Califano</v>
      </c>
      <c r="B6" s="73">
        <f t="shared" ref="B6" ca="1" si="19">(N6+F6-J6)/K6</f>
        <v>599320.11594202893</v>
      </c>
      <c r="C6" s="139">
        <v>29</v>
      </c>
      <c r="D6" s="139">
        <v>45</v>
      </c>
      <c r="E6" s="148">
        <v>42869</v>
      </c>
      <c r="F6" s="140">
        <v>2346000</v>
      </c>
      <c r="G6" s="139">
        <f>PLANTILLA!E8</f>
        <v>31</v>
      </c>
      <c r="H6" s="139">
        <f ca="1">PLANTILLA!F8</f>
        <v>28</v>
      </c>
      <c r="I6" s="49">
        <f t="shared" ref="I6" ca="1" si="20">E6+(H6-D6+(G6-C6)*112)</f>
        <v>43076</v>
      </c>
      <c r="J6" s="155">
        <v>1854360</v>
      </c>
      <c r="K6" s="40">
        <f t="shared" ref="K6" ca="1" si="21">(I6-E6)/112</f>
        <v>1.8482142857142858</v>
      </c>
      <c r="L6" s="74">
        <f t="shared" ref="L6" si="22">J6-F6</f>
        <v>-491640</v>
      </c>
      <c r="M6" s="76">
        <f>PLANTILLA!V8</f>
        <v>20832</v>
      </c>
      <c r="N6" s="76">
        <f t="shared" ref="N6" ca="1" si="23">((G6-C6)*M6*16)+(H6-D6)/7*M6</f>
        <v>616032</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17.333333333333336</v>
      </c>
      <c r="Y6" s="143">
        <f>PLANTILLA!AE8</f>
        <v>1493</v>
      </c>
      <c r="Z6" s="143">
        <f t="shared" ref="Z6" si="24">O6*P6*P6</f>
        <v>74.7</v>
      </c>
      <c r="AA6" s="9">
        <f t="shared" ref="AA6" si="25">((S6+1)+(V6+1)*2)/8</f>
        <v>4.6274999999999995</v>
      </c>
      <c r="AB6" s="9">
        <f t="shared" ref="AB6" si="26">X6*0.7+W6*0.3</f>
        <v>13.033333333333335</v>
      </c>
      <c r="AC6" s="9">
        <f t="shared" ref="AC6" si="27">(0.5*W6+ 0.3*X6)/10</f>
        <v>0.67</v>
      </c>
      <c r="AD6" s="9">
        <f t="shared" ref="AD6" si="28">(0.4*S6+0.3*X6)/10</f>
        <v>1.08</v>
      </c>
      <c r="AE6" s="40">
        <f t="shared" ref="AE6" ca="1" si="29">IF(TODAY()-E6&gt;335,((S6+1+(LOG(O6)*4/3))*0.516),((S6+(((TODAY()-E6)^0.5)/(336^0.516))+(LOG(O6)*4/3))*0.516))</f>
        <v>8.2253405467198704</v>
      </c>
      <c r="AF6" s="40">
        <f t="shared" ref="AF6" ca="1" si="30">IF(TODAY()-E6&gt;335,((S6+1+(LOG(O6)*4/3))*1),((S6+(((TODAY()-E6)^0.5)/(336^0.5))+(LOG(O6)*4/3))*1))</f>
        <v>16.010339634209856</v>
      </c>
      <c r="AG6" s="40">
        <f ca="1">IF(TODAY()-E6&gt;335,((T6+1+(LOG(O6)*4/3))*0.238),((T6+(((TODAY()-E6)^0.5)/(336^0.238))+(LOG(O6)*4/3))*0.238))</f>
        <v>1.8680311158065417</v>
      </c>
      <c r="AH6" s="40">
        <f ca="1">IF(TODAY()-E6&gt;335,((S6+1+(LOG(O6)*4/3))*0.92),((S6+(((TODAY()-E6)^0.5)/(336^0.5))+(LOG(O6)*4/3))*0.92))</f>
        <v>14.729512463473068</v>
      </c>
      <c r="AI6" s="40">
        <f ca="1">IF(TODAY()-E6&gt;335,((S6+1+(LOG(O6)*4/3))*0.414),((S6+(((TODAY()-E6)^0.5)/(336^0.414))+(LOG(O6)*4/3))*0.414))</f>
        <v>6.8392277703451887</v>
      </c>
      <c r="AJ6" s="40">
        <f ca="1">IF(TODAY()-E6&gt;335,((T6+1+(LOG(O6)*4/3))*0.167),((T6+(((TODAY()-E6)^0.5)/(336^0.5))+(LOG(O6)*4/3))*0.167))</f>
        <v>0.8400667189130463</v>
      </c>
      <c r="AK6" s="203">
        <f ca="1">IF(TODAY()-E6&gt;335,((U6+1+(LOG(O6)*4/3))*0.588),((U6+(((TODAY()-E6)^0.5)/(336^0.5))+(LOG(O6)*4/3))*0.588))</f>
        <v>2.9519597049153958</v>
      </c>
      <c r="AL6" s="40">
        <f ca="1">IF(TODAY()-E6&gt;335,((S6+1+(LOG(O6)*4/3))*0.4),((S6+(((TODAY()-E6)^0.5)/(336^0.5))+(LOG(O6)*4/3))*0.4))</f>
        <v>6.4041358536839432</v>
      </c>
      <c r="AM6" s="40">
        <f ca="1">IF(TODAY()-E6&gt;335,((T6+1+(LOG(O6)*4/3))*1),((T6+(((TODAY()-E6)^0.5)/(336^0.5))+(LOG(O6)*4/3))*1))</f>
        <v>5.0303396342098576</v>
      </c>
      <c r="AN6" s="40">
        <f ca="1">IF(TODAY()-E6&gt;335,((W6+1+(LOG(O6)*4/3))*0.21)+((V6+1+(LOG(O6)*4/3))*0.341),((W6+(((TODAY()-E6)^0.5)/(336^0.5))+(LOG(O6)*4/3))*0.21)+((V6+(((TODAY()-E6)^0.5)/(336^0.5))+(LOG(O6)*4/3))*0.341))</f>
        <v>5.151107138449631</v>
      </c>
      <c r="AO6" s="40">
        <f ca="1">IF(TODAY()-E6&gt;335,((T6+1+(LOG(O6)*4/3))*0.305),((T6+(((TODAY()-E6)^0.5)/(336^0.5))+(LOG(O6)*4/3))*0.305))</f>
        <v>1.5342535884340065</v>
      </c>
      <c r="AP6" s="40">
        <f ca="1">IF(TODAY()-E6&gt;335,((U6+1+(LOG(O6)*4/3))*1)+((V6+1+(LOG(O6)*4/3))*0.286),((U6+(((TODAY()-E6)^0.5)/(336^0.5))+(LOG(O6)*4/3))*1)+((V6+(((TODAY()-E6)^0.5)/(336^0.5))+(LOG(O6)*4/3))*0.286))</f>
        <v>8.4581567695938755</v>
      </c>
      <c r="AQ6" s="40">
        <f ca="1">IF(TODAY()-E6&gt;335,((T6+1+(LOG(O6)*4/3))*0.406),((T6+(((TODAY()-E6)^0.5)/(336^0.5))+(LOG(O6)*4/3))*0.406))</f>
        <v>2.0423178914892022</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4.3643269494233357</v>
      </c>
      <c r="AS6" s="40">
        <f ca="1">IF(Q6="TEC",IF(TODAY()-E6&gt;335,((V6+1+(LOG(O6)*4/3))*0.543)+((W6+1+(LOG(O6)*4/3))*0.583),((V6+(((TODAY()-E6)^0.5)/(336^0.5))+(LOG(O6)*4/3))*0.543)+((W6+(((TODAY()-E6)^0.5)/(336^0.5))+(LOG(O6)*4/3))*0.583)),IF(TODAY()-E6&gt;335,((V6+1+(LOG(O6)*4/3))*0.543)+((W6+1+(LOG(O6)*4/3))*0.583),((V6+(((TODAY()-E6)^0.5)/(336^0.5))+(LOG(O6)*4/3))*0.543)+((W6+(((TODAY()-E6)^0.5)/(336^0.5))+(LOG(O6)*4/3))*0.583)))</f>
        <v>9.4480724281202981</v>
      </c>
    </row>
    <row r="7" spans="1:45" s="98" customFormat="1" x14ac:dyDescent="0.25">
      <c r="A7" s="154" t="str">
        <f>PLANTILLA!D9</f>
        <v>Ibiur Altxakoa</v>
      </c>
      <c r="B7" s="73">
        <f t="shared" ca="1" si="0"/>
        <v>499575.56886227551</v>
      </c>
      <c r="C7" s="139">
        <v>29</v>
      </c>
      <c r="D7" s="139">
        <v>82</v>
      </c>
      <c r="E7" s="148">
        <f>PLANTILLA!M9</f>
        <v>42742</v>
      </c>
      <c r="F7" s="140">
        <v>3642000</v>
      </c>
      <c r="G7" s="139">
        <f>PLANTILLA!E9</f>
        <v>32</v>
      </c>
      <c r="H7" s="156">
        <f ca="1">PLANTILLA!F9</f>
        <v>80</v>
      </c>
      <c r="I7" s="49">
        <f t="shared" ca="1" si="1"/>
        <v>43076</v>
      </c>
      <c r="J7" s="155">
        <v>3200000</v>
      </c>
      <c r="K7" s="40">
        <f t="shared" ca="1" si="2"/>
        <v>2.9821428571428572</v>
      </c>
      <c r="L7" s="74">
        <f t="shared" si="3"/>
        <v>-442000</v>
      </c>
      <c r="M7" s="76">
        <f>PLANTILLA!V9</f>
        <v>21960</v>
      </c>
      <c r="N7" s="76">
        <f t="shared" ca="1" si="4"/>
        <v>1047805.7142857143</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15</v>
      </c>
      <c r="Y7" s="143">
        <f>PLANTILLA!AE9</f>
        <v>1825</v>
      </c>
      <c r="Z7" s="143">
        <f t="shared" si="5"/>
        <v>98.100000000000009</v>
      </c>
      <c r="AA7" s="9">
        <f t="shared" si="6"/>
        <v>4.0492857142857144</v>
      </c>
      <c r="AB7" s="9">
        <f t="shared" si="7"/>
        <v>11.696999999999999</v>
      </c>
      <c r="AC7" s="9">
        <f t="shared" si="8"/>
        <v>0.64949999999999997</v>
      </c>
      <c r="AD7" s="9">
        <f t="shared" si="9"/>
        <v>1.0511428571428572</v>
      </c>
      <c r="AE7" s="40">
        <f t="shared" ca="1" si="10"/>
        <v>8.9372321282162357</v>
      </c>
      <c r="AF7" s="40">
        <f t="shared" ca="1" si="11"/>
        <v>17.408826126597504</v>
      </c>
      <c r="AG7" s="40">
        <f t="shared" ref="AG7:AG16" ca="1" si="31">IF(TODAY()-E7&gt;335,((T7+1+(LOG(O7)*4/3))*0.238),((T7+(((TODAY()-E7)^0.5)/(336^0.238))+(LOG(O7)*4/3))*0.238))</f>
        <v>4.2745951375333631</v>
      </c>
      <c r="AH7" s="40">
        <f t="shared" ref="AH7:AH16" ca="1" si="32">IF(TODAY()-E7&gt;335,((S7+1+(LOG(O7)*4/3))*0.92),((S7+(((TODAY()-E7)^0.5)/(336^0.5))+(LOG(O7)*4/3))*0.92))</f>
        <v>16.016120036469705</v>
      </c>
      <c r="AI7" s="40">
        <f t="shared" ref="AI7:AI16" ca="1" si="33">IF(TODAY()-E7&gt;335,((S7+1+(LOG(O7)*4/3))*0.414),((S7+(((TODAY()-E7)^0.5)/(336^0.414))+(LOG(O7)*4/3))*0.414))</f>
        <v>7.4752089435045717</v>
      </c>
      <c r="AJ7" s="40">
        <f t="shared" ref="AJ7:AJ16" ca="1" si="34">IF(TODAY()-E7&gt;335,((T7+1+(LOG(O7)*4/3))*0.167),((T7+(((TODAY()-E7)^0.5)/(336^0.5))+(LOG(O7)*4/3))*0.167))</f>
        <v>2.4015025345703545</v>
      </c>
      <c r="AK7" s="203">
        <f t="shared" ref="AK7:AK16" ca="1" si="35">IF(TODAY()-E7&gt;335,((U7+1+(LOG(O7)*4/3))*0.588),((U7+(((TODAY()-E7)^0.5)/(336^0.5))+(LOG(O7)*4/3))*0.588))</f>
        <v>2.5814697624393315</v>
      </c>
      <c r="AL7" s="40">
        <f t="shared" ref="AL7:AL16" ca="1" si="36">IF(TODAY()-E7&gt;335,((S7+1+(LOG(O7)*4/3))*0.4),((S7+(((TODAY()-E7)^0.5)/(336^0.5))+(LOG(O7)*4/3))*0.4))</f>
        <v>6.9635304506390021</v>
      </c>
      <c r="AM7" s="40">
        <f t="shared" ref="AM7:AM16" ca="1" si="37">IF(TODAY()-E7&gt;335,((T7+1+(LOG(O7)*4/3))*1),((T7+(((TODAY()-E7)^0.5)/(336^0.5))+(LOG(O7)*4/3))*1))</f>
        <v>14.380254698026075</v>
      </c>
      <c r="AN7" s="40">
        <f t="shared" ref="AN7:AN16" ca="1" si="38">IF(TODAY()-E7&gt;335,((W7+1+(LOG(O7)*4/3))*0.21)+((V7+1+(LOG(O7)*4/3))*0.341),((W7+(((TODAY()-E7)^0.5)/(336^0.5))+(LOG(O7)*4/3))*0.21)+((V7+(((TODAY()-E7)^0.5)/(336^0.5))+(LOG(O7)*4/3))*0.341))</f>
        <v>4.5987746243266532</v>
      </c>
      <c r="AO7" s="40">
        <f t="shared" ref="AO7:AO16" ca="1" si="39">IF(TODAY()-E7&gt;335,((T7+1+(LOG(O7)*4/3))*0.305),((T7+(((TODAY()-E7)^0.5)/(336^0.5))+(LOG(O7)*4/3))*0.305))</f>
        <v>4.3859776828979529</v>
      </c>
      <c r="AP7" s="40">
        <f t="shared" ref="AP7:AP16" ca="1" si="40">IF(TODAY()-E7&gt;335,((U7+1+(LOG(O7)*4/3))*1)+((V7+1+(LOG(O7)*4/3))*0.286),((U7+(((TODAY()-E7)^0.5)/(336^0.5))+(LOG(O7)*4/3))*1)+((V7+(((TODAY()-E7)^0.5)/(336^0.5))+(LOG(O7)*4/3))*0.286))</f>
        <v>7.1253046845186736</v>
      </c>
      <c r="AQ7" s="40">
        <f t="shared" ref="AQ7:AQ16" ca="1" si="41">IF(TODAY()-E7&gt;335,((T7+1+(LOG(O7)*4/3))*0.406),((T7+(((TODAY()-E7)^0.5)/(336^0.5))+(LOG(O7)*4/3))*0.406))</f>
        <v>5.8383834073985872</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3.8319969833858702</v>
      </c>
      <c r="AS7" s="40">
        <f t="shared" ref="AS7:AS16" ca="1" si="43">IF(Q7="TEC",IF(TODAY()-E7&gt;335,((V7+1+(LOG(O7)*4/3))*0.543)+((W7+1+(LOG(O7)*4/3))*0.583),((V7+(((TODAY()-E7)^0.5)/(336^0.5))+(LOG(O7)*4/3))*0.543)+((W7+(((TODAY()-E7)^0.5)/(336^0.5))+(LOG(O7)*4/3))*0.583)),IF(TODAY()-E7&gt;335,((V7+1+(LOG(O7)*4/3))*0.543)+((W7+1+(LOG(O7)*4/3))*0.583),((V7+(((TODAY()-E7)^0.5)/(336^0.5))+(LOG(O7)*4/3))*0.543)+((W7+(((TODAY()-E7)^0.5)/(336^0.5))+(LOG(O7)*4/3))*0.583)))</f>
        <v>8.9066282185487893</v>
      </c>
    </row>
    <row r="8" spans="1:45" s="98" customFormat="1" x14ac:dyDescent="0.25">
      <c r="A8" s="154" t="str">
        <f>PLANTILLA!D10</f>
        <v>Jorge W. Whitaker</v>
      </c>
      <c r="B8" s="73">
        <f ca="1">(N8+F8-J8)/K8</f>
        <v>490881.97156398103</v>
      </c>
      <c r="C8" s="139">
        <v>30</v>
      </c>
      <c r="D8" s="139">
        <v>16</v>
      </c>
      <c r="E8" s="148">
        <f>PLANTILLA!M10</f>
        <v>42865</v>
      </c>
      <c r="F8" s="140">
        <v>3250000</v>
      </c>
      <c r="G8" s="139">
        <f>PLANTILLA!E10</f>
        <v>32</v>
      </c>
      <c r="H8" s="139">
        <f ca="1">PLANTILLA!F10</f>
        <v>3</v>
      </c>
      <c r="I8" s="49">
        <f ca="1">E8+(H8-D8+(G8-C8)*112)</f>
        <v>43076</v>
      </c>
      <c r="J8" s="155">
        <v>3160050</v>
      </c>
      <c r="K8" s="40">
        <f ca="1">(I8-E8)/112</f>
        <v>1.8839285714285714</v>
      </c>
      <c r="L8" s="74">
        <f>J8-F8</f>
        <v>-89950</v>
      </c>
      <c r="M8" s="76">
        <f>PLANTILLA!V10</f>
        <v>27696</v>
      </c>
      <c r="N8" s="76">
        <f ca="1">((G8-C8)*M8*16)+(H8-D8)/7*M8</f>
        <v>834836.57142857148</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8.8488888888888901</v>
      </c>
      <c r="Y8" s="143">
        <f>PLANTILLA!AE10</f>
        <v>1700</v>
      </c>
      <c r="Z8" s="143">
        <f>O8*P8*P8</f>
        <v>36.799999999999997</v>
      </c>
      <c r="AA8" s="9">
        <f>((S8+1)+(V8+1)*2)/8</f>
        <v>3.9622222222222221</v>
      </c>
      <c r="AB8" s="9">
        <f>X8*0.7+W8*0.3</f>
        <v>6.8442222222222231</v>
      </c>
      <c r="AC8" s="9">
        <f>(0.5*W8+ 0.3*X8)/10</f>
        <v>0.37380000000000002</v>
      </c>
      <c r="AD8" s="9">
        <f>(0.4*S8+0.3*X8)/10</f>
        <v>0.74546666666666683</v>
      </c>
      <c r="AE8" s="40">
        <f ca="1">IF(TODAY()-E8&gt;335,((S8+1+(LOG(O8)*4/3))*0.516),((S8+(((TODAY()-E8)^0.5)/(336^0.516))+(LOG(O8)*4/3))*0.516))</f>
        <v>7.2276491454184697</v>
      </c>
      <c r="AF8" s="40">
        <f ca="1">IF(TODAY()-E8&gt;335,((S8+1+(LOG(O8)*4/3))*1),((S8+(((TODAY()-E8)^0.5)/(336^0.5))+(LOG(O8)*4/3))*1))</f>
        <v>14.077499924110388</v>
      </c>
      <c r="AG8" s="40">
        <f ca="1">IF(TODAY()-E8&gt;335,((T8+1+(LOG(O8)*4/3))*0.238),((T8+(((TODAY()-E8)^0.5)/(336^0.238))+(LOG(O8)*4/3))*0.238))</f>
        <v>4.7512255120570162</v>
      </c>
      <c r="AH8" s="40">
        <f ca="1">IF(TODAY()-E8&gt;335,((S8+1+(LOG(O8)*4/3))*0.92),((S8+(((TODAY()-E8)^0.5)/(336^0.5))+(LOG(O8)*4/3))*0.92))</f>
        <v>12.951299930181557</v>
      </c>
      <c r="AI8" s="40">
        <f ca="1">IF(TODAY()-E8&gt;335,((S8+1+(LOG(O8)*4/3))*0.414),((S8+(((TODAY()-E8)^0.5)/(336^0.414))+(LOG(O8)*4/3))*0.414))</f>
        <v>6.0410605151187049</v>
      </c>
      <c r="AJ8" s="40">
        <f ca="1">IF(TODAY()-E8&gt;335,((T8+1+(LOG(O8)*4/3))*0.167),((T8+(((TODAY()-E8)^0.5)/(336^0.5))+(LOG(O8)*4/3))*0.167))</f>
        <v>2.8586224873264348</v>
      </c>
      <c r="AK8" s="203">
        <f ca="1">IF(TODAY()-E8&gt;335,((U8+1+(LOG(O8)*4/3))*0.588),((U8+(((TODAY()-E8)^0.5)/(336^0.5))+(LOG(O8)*4/3))*0.588))</f>
        <v>2.4034499553769084</v>
      </c>
      <c r="AL8" s="40">
        <f ca="1">IF(TODAY()-E8&gt;335,((S8+1+(LOG(O8)*4/3))*0.4),((S8+(((TODAY()-E8)^0.5)/(336^0.5))+(LOG(O8)*4/3))*0.4))</f>
        <v>5.6309999696441553</v>
      </c>
      <c r="AM8" s="40">
        <f ca="1">IF(TODAY()-E8&gt;335,((T8+1+(LOG(O8)*4/3))*1),((T8+(((TODAY()-E8)^0.5)/(336^0.5))+(LOG(O8)*4/3))*1))</f>
        <v>17.117499924110387</v>
      </c>
      <c r="AN8" s="40">
        <f ca="1">IF(TODAY()-E8&gt;335,((W8+1+(LOG(O8)*4/3))*0.21)+((V8+1+(LOG(O8)*4/3))*0.341),((W8+(((TODAY()-E8)^0.5)/(336^0.5))+(LOG(O8)*4/3))*0.21)+((V8+(((TODAY()-E8)^0.5)/(336^0.5))+(LOG(O8)*4/3))*0.341))</f>
        <v>4.4466735692959345</v>
      </c>
      <c r="AO8" s="40">
        <f ca="1">IF(TODAY()-E8&gt;335,((T8+1+(LOG(O8)*4/3))*0.305),((T8+(((TODAY()-E8)^0.5)/(336^0.5))+(LOG(O8)*4/3))*0.305))</f>
        <v>5.2208374768536681</v>
      </c>
      <c r="AP8" s="40">
        <f ca="1">IF(TODAY()-E8&gt;335,((U8+1+(LOG(O8)*4/3))*1)+((V8+1+(LOG(O8)*4/3))*0.286),((U8+(((TODAY()-E8)^0.5)/(336^0.5))+(LOG(O8)*4/3))*1)+((V8+(((TODAY()-E8)^0.5)/(336^0.5))+(LOG(O8)*4/3))*0.286))</f>
        <v>7.0694471246281818</v>
      </c>
      <c r="AQ8" s="40">
        <f ca="1">IF(TODAY()-E8&gt;335,((T8+1+(LOG(O8)*4/3))*0.406),((T8+(((TODAY()-E8)^0.5)/(336^0.5))+(LOG(O8)*4/3))*0.406))</f>
        <v>6.9497049691888177</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3.734206349350401</v>
      </c>
      <c r="AS8" s="40">
        <f ca="1">IF(Q8="TEC",IF(TODAY()-E8&gt;335,((V8+1+(LOG(O8)*4/3))*0.543)+((W8+1+(LOG(O8)*4/3))*0.583),((V8+(((TODAY()-E8)^0.5)/(336^0.5))+(LOG(O8)*4/3))*0.543)+((W8+(((TODAY()-E8)^0.5)/(336^0.5))+(LOG(O8)*4/3))*0.583)),IF(TODAY()-E8&gt;335,((V8+1+(LOG(O8)*4/3))*0.543)+((W8+1+(LOG(O8)*4/3))*0.583),((V8+(((TODAY()-E8)^0.5)/(336^0.5))+(LOG(O8)*4/3))*0.543)+((W8+(((TODAY()-E8)^0.5)/(336^0.5))+(LOG(O8)*4/3))*0.583)))</f>
        <v>8.1358782478816316</v>
      </c>
    </row>
    <row r="9" spans="1:45" s="98" customFormat="1" x14ac:dyDescent="0.25">
      <c r="A9" s="154" t="str">
        <f>PLANTILLA!D11</f>
        <v>Emilio Mochelato</v>
      </c>
      <c r="B9" s="73">
        <f t="shared" ca="1" si="0"/>
        <v>523630.57988165674</v>
      </c>
      <c r="C9" s="139">
        <v>29</v>
      </c>
      <c r="D9" s="139">
        <v>30</v>
      </c>
      <c r="E9" s="148">
        <f>PLANTILLA!M11</f>
        <v>42738</v>
      </c>
      <c r="F9" s="140">
        <v>2168000</v>
      </c>
      <c r="G9" s="139">
        <f>PLANTILLA!E11</f>
        <v>32</v>
      </c>
      <c r="H9" s="156">
        <f ca="1">PLANTILLA!F11</f>
        <v>32</v>
      </c>
      <c r="I9" s="49">
        <f t="shared" ca="1" si="1"/>
        <v>43076</v>
      </c>
      <c r="J9" s="155">
        <v>1640000</v>
      </c>
      <c r="K9" s="40">
        <f t="shared" ca="1" si="2"/>
        <v>3.0178571428571428</v>
      </c>
      <c r="L9" s="74">
        <f t="shared" si="3"/>
        <v>-528000</v>
      </c>
      <c r="M9" s="76">
        <f>PLANTILLA!V11</f>
        <v>21792</v>
      </c>
      <c r="N9" s="76">
        <f t="shared" ca="1" si="4"/>
        <v>1052242.2857142857</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15.666666666666664</v>
      </c>
      <c r="Y9" s="143">
        <f>PLANTILLA!AE11</f>
        <v>1571</v>
      </c>
      <c r="Z9" s="143">
        <f t="shared" si="5"/>
        <v>10.5</v>
      </c>
      <c r="AA9" s="9">
        <f t="shared" si="6"/>
        <v>4.1242763772175532</v>
      </c>
      <c r="AB9" s="9">
        <f t="shared" si="7"/>
        <v>11.989666666666665</v>
      </c>
      <c r="AC9" s="9">
        <f t="shared" si="8"/>
        <v>0.64049999999999996</v>
      </c>
      <c r="AD9" s="9">
        <f t="shared" si="9"/>
        <v>0.67078431372549008</v>
      </c>
      <c r="AE9" s="40">
        <f t="shared" ca="1" si="10"/>
        <v>3.8086958848189409</v>
      </c>
      <c r="AF9" s="40">
        <f t="shared" ca="1" si="11"/>
        <v>7.3811935752305056</v>
      </c>
      <c r="AG9" s="40">
        <f t="shared" ca="1" si="31"/>
        <v>3.9440374042381943</v>
      </c>
      <c r="AH9" s="40">
        <f t="shared" ca="1" si="32"/>
        <v>6.7906980892120652</v>
      </c>
      <c r="AI9" s="40">
        <f t="shared" ca="1" si="33"/>
        <v>3.0558141401454293</v>
      </c>
      <c r="AJ9" s="40">
        <f t="shared" ca="1" si="34"/>
        <v>2.7674548172595737</v>
      </c>
      <c r="AK9" s="203">
        <f t="shared" ca="1" si="35"/>
        <v>4.3286124104708312</v>
      </c>
      <c r="AL9" s="40">
        <f t="shared" ca="1" si="36"/>
        <v>2.9524774300922023</v>
      </c>
      <c r="AM9" s="40">
        <f t="shared" ca="1" si="37"/>
        <v>16.571585732093254</v>
      </c>
      <c r="AN9" s="40">
        <f t="shared" ca="1" si="38"/>
        <v>6.2755035796532228</v>
      </c>
      <c r="AO9" s="40">
        <f t="shared" ca="1" si="39"/>
        <v>5.0543336482884422</v>
      </c>
      <c r="AP9" s="40">
        <f t="shared" ca="1" si="40"/>
        <v>11.608367505440174</v>
      </c>
      <c r="AQ9" s="40">
        <f t="shared" ca="1" si="41"/>
        <v>6.7280638072298613</v>
      </c>
      <c r="AR9" s="40">
        <f t="shared" ca="1" si="42"/>
        <v>4.3141275949920121</v>
      </c>
      <c r="AS9" s="40">
        <f t="shared" ca="1" si="43"/>
        <v>11.427780296241764</v>
      </c>
    </row>
    <row r="10" spans="1:45" s="98" customFormat="1" x14ac:dyDescent="0.25">
      <c r="A10" s="154" t="str">
        <f>PLANTILLA!D12</f>
        <v>Cezary Pauch</v>
      </c>
      <c r="B10" s="73">
        <f t="shared" ca="1" si="0"/>
        <v>25481.504950495197</v>
      </c>
      <c r="C10" s="139">
        <v>29</v>
      </c>
      <c r="D10" s="139">
        <v>24</v>
      </c>
      <c r="E10" s="148">
        <v>42975</v>
      </c>
      <c r="F10" s="140">
        <v>3850000</v>
      </c>
      <c r="G10" s="139">
        <f>PLANTILLA!E12</f>
        <v>30</v>
      </c>
      <c r="H10" s="156">
        <f ca="1">PLANTILLA!F12</f>
        <v>13</v>
      </c>
      <c r="I10" s="49">
        <f t="shared" ca="1" si="1"/>
        <v>43076</v>
      </c>
      <c r="J10" s="155">
        <v>4125000</v>
      </c>
      <c r="K10" s="40">
        <f t="shared" ca="1" si="2"/>
        <v>0.9017857142857143</v>
      </c>
      <c r="L10" s="74">
        <f t="shared" si="3"/>
        <v>275000</v>
      </c>
      <c r="M10" s="76">
        <f>PLANTILLA!V12</f>
        <v>20652</v>
      </c>
      <c r="N10" s="76">
        <f t="shared" ca="1" si="4"/>
        <v>297978.85714285716</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1.1222222222222222</v>
      </c>
      <c r="Y10" s="143">
        <f>PLANTILLA!AE12</f>
        <v>1397</v>
      </c>
      <c r="Z10" s="143">
        <f t="shared" si="5"/>
        <v>24.4</v>
      </c>
      <c r="AA10" s="9">
        <f t="shared" si="6"/>
        <v>2.3746527777777779</v>
      </c>
      <c r="AB10" s="9">
        <f t="shared" si="7"/>
        <v>2.2885555555555555</v>
      </c>
      <c r="AC10" s="9">
        <f t="shared" si="8"/>
        <v>0.28416666666666668</v>
      </c>
      <c r="AD10" s="9">
        <f t="shared" si="9"/>
        <v>0.11366666666666667</v>
      </c>
      <c r="AE10" s="40">
        <f t="shared" ca="1" si="10"/>
        <v>1.830069180848831</v>
      </c>
      <c r="AF10" s="40">
        <f t="shared" ca="1" si="11"/>
        <v>3.595372110474806</v>
      </c>
      <c r="AG10" s="40">
        <f t="shared" ca="1" si="31"/>
        <v>3.9476784578955133</v>
      </c>
      <c r="AH10" s="40">
        <f t="shared" ca="1" si="32"/>
        <v>3.3077423416368217</v>
      </c>
      <c r="AI10" s="40">
        <f t="shared" ca="1" si="33"/>
        <v>1.6358337349639223</v>
      </c>
      <c r="AJ10" s="40">
        <f t="shared" ca="1" si="34"/>
        <v>2.4412225969947472</v>
      </c>
      <c r="AK10" s="203">
        <f t="shared" ca="1" si="35"/>
        <v>9.1740713935517775</v>
      </c>
      <c r="AL10" s="40">
        <f t="shared" ca="1" si="36"/>
        <v>1.4381488441899224</v>
      </c>
      <c r="AM10" s="40">
        <f t="shared" ca="1" si="37"/>
        <v>14.618099383202079</v>
      </c>
      <c r="AN10" s="40">
        <f t="shared" ca="1" si="38"/>
        <v>4.317676421760507</v>
      </c>
      <c r="AO10" s="40">
        <f t="shared" ca="1" si="39"/>
        <v>4.4585203118766339</v>
      </c>
      <c r="AP10" s="40">
        <f t="shared" ca="1" si="40"/>
        <v>18.060041435305166</v>
      </c>
      <c r="AQ10" s="40">
        <f t="shared" ca="1" si="41"/>
        <v>5.9349483495800444</v>
      </c>
      <c r="AR10" s="40">
        <f t="shared" ca="1" si="42"/>
        <v>5.2340894251129297</v>
      </c>
      <c r="AS10" s="40">
        <f t="shared" ca="1" si="43"/>
        <v>8.5174648297279649</v>
      </c>
    </row>
    <row r="11" spans="1:45" s="98" customFormat="1" x14ac:dyDescent="0.25">
      <c r="A11" s="154" t="str">
        <f>PLANTILLA!D13</f>
        <v>Iyad Chaabo</v>
      </c>
      <c r="B11" s="73">
        <f t="shared" ca="1" si="0"/>
        <v>-117625.72549019616</v>
      </c>
      <c r="C11" s="139">
        <v>30</v>
      </c>
      <c r="D11" s="139">
        <v>4</v>
      </c>
      <c r="E11" s="148">
        <f>PLANTILLA!M13</f>
        <v>42872</v>
      </c>
      <c r="F11" s="140">
        <v>2410000</v>
      </c>
      <c r="G11" s="139">
        <f>PLANTILLA!E13</f>
        <v>31</v>
      </c>
      <c r="H11" s="156">
        <f ca="1">PLANTILLA!F13</f>
        <v>96</v>
      </c>
      <c r="I11" s="49">
        <f t="shared" ca="1" si="1"/>
        <v>43076</v>
      </c>
      <c r="J11" s="155">
        <v>3110000</v>
      </c>
      <c r="K11" s="40">
        <f t="shared" ca="1" si="2"/>
        <v>1.8214285714285714</v>
      </c>
      <c r="L11" s="74">
        <f t="shared" si="3"/>
        <v>700000</v>
      </c>
      <c r="M11" s="76">
        <f>PLANTILLA!V13</f>
        <v>16668</v>
      </c>
      <c r="N11" s="76">
        <f t="shared" ca="1" si="4"/>
        <v>485753.14285714284</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7</v>
      </c>
      <c r="Y11" s="143">
        <f>PLANTILLA!AE13</f>
        <v>1380</v>
      </c>
      <c r="Z11" s="143">
        <f t="shared" si="5"/>
        <v>34.799999999999997</v>
      </c>
      <c r="AA11" s="9">
        <f t="shared" si="6"/>
        <v>3.0249999999999995</v>
      </c>
      <c r="AB11" s="9">
        <f t="shared" si="7"/>
        <v>5.802999999999999</v>
      </c>
      <c r="AC11" s="9">
        <f t="shared" si="8"/>
        <v>0.36049999999999999</v>
      </c>
      <c r="AD11" s="9">
        <f t="shared" si="9"/>
        <v>0.37</v>
      </c>
      <c r="AE11" s="40">
        <f t="shared" ca="1" si="10"/>
        <v>3.0767202852093698</v>
      </c>
      <c r="AF11" s="40">
        <f t="shared" ca="1" si="11"/>
        <v>6.0318860592988042</v>
      </c>
      <c r="AG11" s="40">
        <f t="shared" ca="1" si="31"/>
        <v>4.0109295708999442</v>
      </c>
      <c r="AH11" s="40">
        <f t="shared" ca="1" si="32"/>
        <v>5.5493351745549004</v>
      </c>
      <c r="AI11" s="40">
        <f t="shared" ca="1" si="33"/>
        <v>2.7066138087944056</v>
      </c>
      <c r="AJ11" s="40">
        <f t="shared" ca="1" si="34"/>
        <v>2.3471204264483552</v>
      </c>
      <c r="AK11" s="203">
        <f t="shared" ca="1" si="35"/>
        <v>9.4659490028676974</v>
      </c>
      <c r="AL11" s="40">
        <f t="shared" ca="1" si="36"/>
        <v>2.4127544237195218</v>
      </c>
      <c r="AM11" s="40">
        <f t="shared" ca="1" si="37"/>
        <v>14.054613332026079</v>
      </c>
      <c r="AN11" s="40">
        <f t="shared" ca="1" si="38"/>
        <v>4.6842692186736414</v>
      </c>
      <c r="AO11" s="40">
        <f t="shared" ca="1" si="39"/>
        <v>4.2866570662679537</v>
      </c>
      <c r="AP11" s="40">
        <f t="shared" ca="1" si="40"/>
        <v>19.13927213892493</v>
      </c>
      <c r="AQ11" s="40">
        <f t="shared" ca="1" si="41"/>
        <v>5.7061730128025889</v>
      </c>
      <c r="AR11" s="40">
        <f t="shared" ca="1" si="42"/>
        <v>5.6164826368946761</v>
      </c>
      <c r="AS11" s="40">
        <f t="shared" ca="1" si="43"/>
        <v>8.7125337027704539</v>
      </c>
    </row>
    <row r="12" spans="1:45" s="98" customFormat="1" x14ac:dyDescent="0.25">
      <c r="A12" s="154" t="str">
        <f>PLANTILLA!D14</f>
        <v>Morgan Thomas</v>
      </c>
      <c r="B12" s="73">
        <f t="shared" ref="B12" ca="1" si="44">(N12+F12-J12)/K12</f>
        <v>242212.92307692306</v>
      </c>
      <c r="C12" s="139">
        <v>29</v>
      </c>
      <c r="D12" s="139">
        <v>93</v>
      </c>
      <c r="E12" s="148">
        <f>PLANTILLA!M14</f>
        <v>42712</v>
      </c>
      <c r="F12" s="140">
        <v>3049000</v>
      </c>
      <c r="G12" s="139">
        <f>PLANTILLA!E14</f>
        <v>33</v>
      </c>
      <c r="H12" s="156">
        <f ca="1">PLANTILLA!F14</f>
        <v>9</v>
      </c>
      <c r="I12" s="49">
        <f t="shared" ref="I12" ca="1" si="45">E12+(H12-D12+(G12-C12)*112)</f>
        <v>43076</v>
      </c>
      <c r="J12" s="155">
        <v>3000000</v>
      </c>
      <c r="K12" s="40">
        <f t="shared" ref="K12" ca="1" si="46">(I12-E12)/112</f>
        <v>3.25</v>
      </c>
      <c r="L12" s="74">
        <f t="shared" ref="L12" si="47">J12-F12</f>
        <v>-49000</v>
      </c>
      <c r="M12" s="76">
        <f>PLANTILLA!V14</f>
        <v>14196</v>
      </c>
      <c r="N12" s="76">
        <f t="shared" ref="N12" ca="1" si="48">((G12-C12)*M12*16)+(H12-D12)/7*M12</f>
        <v>738192</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2.95</v>
      </c>
      <c r="X12" s="144">
        <f>PLANTILLA!AD14</f>
        <v>10.62962962962963</v>
      </c>
      <c r="Y12" s="143">
        <f>PLANTILLA!AE14</f>
        <v>1501</v>
      </c>
      <c r="Z12" s="143">
        <f t="shared" ref="Z12" si="49">O12*P12*P12</f>
        <v>10.199999999999999</v>
      </c>
      <c r="AA12" s="9">
        <f t="shared" ref="AA12" si="50">((S12+1)+(V12+1)*2)/8</f>
        <v>3.2387962962962962</v>
      </c>
      <c r="AB12" s="9">
        <f t="shared" ref="AB12" si="51">X12*0.7+W12*0.3</f>
        <v>8.3257407407407413</v>
      </c>
      <c r="AC12" s="9">
        <f t="shared" ref="AC12" si="52">(0.5*W12+ 0.3*X12)/10</f>
        <v>0.46638888888888885</v>
      </c>
      <c r="AD12" s="9">
        <f t="shared" ref="AD12" si="53">(0.4*S12+0.3*X12)/10</f>
        <v>0.36037037037037034</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PLANTILLA!D15</f>
        <v>Gianfranco Rezza</v>
      </c>
      <c r="B13" s="73">
        <f t="shared" ca="1" si="0"/>
        <v>11516.631578947368</v>
      </c>
      <c r="C13" s="139">
        <v>24</v>
      </c>
      <c r="D13" s="139">
        <v>30</v>
      </c>
      <c r="E13" s="148">
        <f>PLANTILLA!M15</f>
        <v>42411</v>
      </c>
      <c r="F13" s="140">
        <v>2399000</v>
      </c>
      <c r="G13" s="139">
        <f>PLANTILLA!E15</f>
        <v>30</v>
      </c>
      <c r="H13" s="156">
        <f ca="1">PLANTILLA!F15</f>
        <v>23</v>
      </c>
      <c r="I13" s="49">
        <f t="shared" ca="1" si="1"/>
        <v>43076</v>
      </c>
      <c r="J13" s="155">
        <v>5200000</v>
      </c>
      <c r="K13" s="40">
        <f t="shared" ca="1" si="2"/>
        <v>5.9375</v>
      </c>
      <c r="L13" s="74">
        <f t="shared" si="3"/>
        <v>2801000</v>
      </c>
      <c r="M13" s="76">
        <f>PLANTILLA!V15</f>
        <v>30204</v>
      </c>
      <c r="N13" s="76">
        <f t="shared" ca="1" si="4"/>
        <v>2869380</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14.5</v>
      </c>
      <c r="Y13" s="143">
        <f>PLANTILLA!AE15</f>
        <v>1756</v>
      </c>
      <c r="Z13" s="143">
        <f t="shared" si="5"/>
        <v>148.80000000000001</v>
      </c>
      <c r="AA13" s="9">
        <f t="shared" si="6"/>
        <v>4.2400000000000011</v>
      </c>
      <c r="AB13" s="9">
        <f t="shared" si="7"/>
        <v>12.581733333333332</v>
      </c>
      <c r="AC13" s="9">
        <f t="shared" si="8"/>
        <v>0.84028888888888886</v>
      </c>
      <c r="AD13" s="9">
        <f t="shared" si="9"/>
        <v>0.5149999999999999</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154990.70603337616</v>
      </c>
      <c r="C14" s="139">
        <v>22</v>
      </c>
      <c r="D14" s="139">
        <v>91</v>
      </c>
      <c r="E14" s="148">
        <f>PLANTILLA!M16</f>
        <v>42297</v>
      </c>
      <c r="F14" s="140">
        <v>2862000</v>
      </c>
      <c r="G14" s="139">
        <f>PLANTILLA!E16</f>
        <v>29</v>
      </c>
      <c r="H14" s="156">
        <f ca="1">PLANTILLA!F16</f>
        <v>86</v>
      </c>
      <c r="I14" s="49">
        <f t="shared" ca="1" si="1"/>
        <v>43076</v>
      </c>
      <c r="J14" s="155">
        <v>4910000</v>
      </c>
      <c r="K14" s="40">
        <f t="shared" ca="1" si="2"/>
        <v>6.9553571428571432</v>
      </c>
      <c r="L14" s="74">
        <f t="shared" si="3"/>
        <v>2048000</v>
      </c>
      <c r="M14" s="76">
        <f>PLANTILLA!V16</f>
        <v>28090</v>
      </c>
      <c r="N14" s="76">
        <f t="shared" ca="1" si="4"/>
        <v>3126015.7142857141</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15.599999999999998</v>
      </c>
      <c r="Y14" s="143">
        <f>PLANTILLA!AE16</f>
        <v>1829</v>
      </c>
      <c r="Z14" s="143">
        <f t="shared" si="5"/>
        <v>302.40000000000003</v>
      </c>
      <c r="AA14" s="9">
        <f t="shared" si="6"/>
        <v>4.1857222222222203</v>
      </c>
      <c r="AB14" s="9">
        <f t="shared" si="7"/>
        <v>13.721999999999998</v>
      </c>
      <c r="AC14" s="9">
        <f t="shared" si="8"/>
        <v>0.93499999999999983</v>
      </c>
      <c r="AD14" s="9">
        <f t="shared" si="9"/>
        <v>0.55599999999999983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163197.75438596492</v>
      </c>
      <c r="C15" s="139">
        <v>23</v>
      </c>
      <c r="D15" s="139">
        <v>11</v>
      </c>
      <c r="E15" s="148">
        <f>PLANTILLA!M17</f>
        <v>42278</v>
      </c>
      <c r="F15" s="140">
        <v>2540000</v>
      </c>
      <c r="G15" s="139">
        <f>PLANTILLA!E17</f>
        <v>30</v>
      </c>
      <c r="H15" s="156">
        <f ca="1">PLANTILLA!F17</f>
        <v>25</v>
      </c>
      <c r="I15" s="49">
        <f t="shared" ca="1" si="1"/>
        <v>43076</v>
      </c>
      <c r="J15" s="155">
        <v>4910760</v>
      </c>
      <c r="K15" s="40">
        <f t="shared" ca="1" si="2"/>
        <v>7.125</v>
      </c>
      <c r="L15" s="74">
        <f t="shared" si="3"/>
        <v>2370760</v>
      </c>
      <c r="M15" s="76">
        <f>PLANTILLA!V17</f>
        <v>30996</v>
      </c>
      <c r="N15" s="76">
        <f t="shared" ca="1" si="4"/>
        <v>3533544</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16.099999999999998</v>
      </c>
      <c r="Y15" s="143">
        <f>PLANTILLA!AE17</f>
        <v>1881</v>
      </c>
      <c r="Z15" s="143">
        <f t="shared" si="5"/>
        <v>9.8000000000000007</v>
      </c>
      <c r="AA15" s="9">
        <f t="shared" si="6"/>
        <v>4.3414999999999999</v>
      </c>
      <c r="AB15" s="9">
        <f t="shared" si="7"/>
        <v>13.999999999999996</v>
      </c>
      <c r="AC15" s="9">
        <f t="shared" si="8"/>
        <v>0.93799999999999972</v>
      </c>
      <c r="AD15" s="9">
        <f t="shared" si="9"/>
        <v>0.61099999999999999</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-109411.52039555008</v>
      </c>
      <c r="C16" s="139">
        <v>22</v>
      </c>
      <c r="D16" s="139">
        <v>57</v>
      </c>
      <c r="E16" s="148">
        <f>PLANTILLA!M18</f>
        <v>42267</v>
      </c>
      <c r="F16" s="140">
        <v>2652000</v>
      </c>
      <c r="G16" s="139">
        <f>PLANTILLA!E18</f>
        <v>29</v>
      </c>
      <c r="H16" s="156">
        <f ca="1">PLANTILLA!F18</f>
        <v>82</v>
      </c>
      <c r="I16" s="49">
        <f t="shared" ca="1" si="1"/>
        <v>43076</v>
      </c>
      <c r="J16" s="155">
        <v>7062000</v>
      </c>
      <c r="K16" s="40">
        <f t="shared" ca="1" si="2"/>
        <v>7.2232142857142856</v>
      </c>
      <c r="L16" s="74">
        <f t="shared" si="3"/>
        <v>4410000</v>
      </c>
      <c r="M16" s="76">
        <f>PLANTILLA!V18</f>
        <v>31320</v>
      </c>
      <c r="N16" s="76">
        <f t="shared" ca="1" si="4"/>
        <v>3619697.1428571427</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15.2</v>
      </c>
      <c r="Y16" s="143">
        <f>PLANTILLA!AE18</f>
        <v>1804</v>
      </c>
      <c r="Z16" s="143">
        <f t="shared" si="5"/>
        <v>9.5</v>
      </c>
      <c r="AA16" s="9">
        <f t="shared" si="6"/>
        <v>4.2178632478632476</v>
      </c>
      <c r="AB16" s="9">
        <f t="shared" si="7"/>
        <v>13.6686</v>
      </c>
      <c r="AC16" s="9">
        <f t="shared" si="8"/>
        <v>0.96076666666666666</v>
      </c>
      <c r="AD16" s="9">
        <f t="shared" si="9"/>
        <v>0.53753846153846152</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AB27" sqref="AB27"/>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43076</v>
      </c>
      <c r="I2" s="35">
        <f>AVERAGE(I4:I18)</f>
        <v>9.2799999999999994</v>
      </c>
      <c r="J2" s="35"/>
      <c r="N2" s="40">
        <f ca="1">AVERAGE(N4:N18)</f>
        <v>0.86055965838921622</v>
      </c>
      <c r="O2" s="35">
        <f>AVERAGE(O4:O18)</f>
        <v>7.1733333333333338</v>
      </c>
      <c r="Q2" s="35">
        <f>AVERAGE(Q4:Q18)</f>
        <v>5.4</v>
      </c>
      <c r="R2" s="127">
        <f>AVERAGE(R4:R18)</f>
        <v>0.87527630369181919</v>
      </c>
      <c r="S2" s="127">
        <f>AVERAGE(S4:S18)</f>
        <v>0.94854115270578465</v>
      </c>
      <c r="T2" s="41">
        <f>SUM(T4:T18)</f>
        <v>1755400</v>
      </c>
      <c r="U2" s="41">
        <f>SUM(U4:U18)</f>
        <v>-27330</v>
      </c>
      <c r="V2" s="41">
        <f>SUM(V4:V18)</f>
        <v>331506</v>
      </c>
      <c r="W2" s="42">
        <f>T2/V2</f>
        <v>5.2952284423208029</v>
      </c>
      <c r="AD2" s="40">
        <f>AVERAGE(AD4:AD18)</f>
        <v>13.098345679012343</v>
      </c>
      <c r="AE2" s="36">
        <f>AVERAGE(AE4:AE18)</f>
        <v>1609.8666666666666</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2.6339285714285716</v>
      </c>
      <c r="D4" s="31" t="s">
        <v>47</v>
      </c>
      <c r="E4" s="18">
        <v>30</v>
      </c>
      <c r="F4" s="19">
        <f ca="1">17+D2-D1-112-112-112-112-112-112-112</f>
        <v>41</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7.7</v>
      </c>
      <c r="P4" s="22">
        <f>O4*10+19</f>
        <v>96</v>
      </c>
      <c r="Q4" s="22">
        <v>6</v>
      </c>
      <c r="R4" s="126">
        <f>(Q4/7)^0.5</f>
        <v>0.92582009977255142</v>
      </c>
      <c r="S4" s="126">
        <f>IF(Q4=7,1,((Q4+0.99)/7)^0.5)</f>
        <v>0.99928545900129484</v>
      </c>
      <c r="T4" s="32">
        <v>55230</v>
      </c>
      <c r="U4" s="32">
        <f>T4-AS4</f>
        <v>-620</v>
      </c>
      <c r="V4" s="32">
        <v>16820</v>
      </c>
      <c r="W4" s="9">
        <f t="shared" ref="W4:W8" si="2">T4/V4</f>
        <v>3.2835909631391202</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19+0.15+0.15+0.15</f>
        <v>19.449999999999996</v>
      </c>
      <c r="AE4" s="10">
        <v>1284</v>
      </c>
      <c r="AF4" s="10"/>
      <c r="AG4" s="25">
        <f ca="1">(AD4+1+(LOG(I4)*4/3)+N4)*(Q4/7)^0.5</f>
        <v>21.124506178090307</v>
      </c>
      <c r="AH4" s="25">
        <f ca="1">(AD4+1+N4+(LOG(I4)*4/3))*(IF(Q4=7, (Q4/7)^0.5, ((Q4+1)/7)^0.5))</f>
        <v>22.817074487019688</v>
      </c>
      <c r="AI4" s="131">
        <f ca="1">(Z4+N4+(LOG(I4)*4/3))*(Q4/7)^0.5</f>
        <v>2.3581327557006926</v>
      </c>
      <c r="AJ4" s="131">
        <f ca="1">(Z4+N4+(LOG(I4)*4/3))*(IF(Q4=7, (Q4/7)^0.5, ((Q4+1)/7)^0.5))</f>
        <v>2.5470744870196933</v>
      </c>
      <c r="AK4" s="9">
        <f ca="1">(((Y4+LOG(I4)*4/3+N4)+(AB4+LOG(I4)*4/3+N4)*2)/8)*(Q4/7)^0.5</f>
        <v>2.6418149394559864</v>
      </c>
      <c r="AL4" s="9">
        <f ca="1">(AD4+LOG(I4)*4/3+N4)*0.7+(AC4+LOG(I4)*4/3+N4)*0.3</f>
        <v>16.52507448701969</v>
      </c>
      <c r="AM4" s="9">
        <f ca="1">(0.5*(AC4+LOG(I4)*4/3+N4)+ 0.3*(AD4+LOG(I4)*4/3+N4))/10</f>
        <v>0.86336595896157531</v>
      </c>
      <c r="AN4" s="9">
        <f ca="1">(0.4*(Y4+LOG(I4)*4/3+N4)+0.3*(AD4+LOG(I4)*4/3+N4))/10</f>
        <v>1.191861880758045</v>
      </c>
      <c r="AO4" s="22">
        <v>2</v>
      </c>
      <c r="AP4" s="22">
        <v>2</v>
      </c>
      <c r="AQ4" s="22">
        <v>3</v>
      </c>
      <c r="AR4" s="145">
        <f>IF(AP4=4,IF(AQ4=0,0.137+0.0697,0.137+0.02),IF(AP4=3,IF(AQ4=0,0.0958+0.0697,0.0958+0.02),IF(AP4=2,IF(AQ4=0,0.0415+0.0697,0.0415+0.02),IF(AP4=1,IF(AQ4=0,0.0294+0.0697,0.0294+0.02),IF(AP4=0,IF(AQ4=0,0.0063+0.0697,0.0063+0.02))))))</f>
        <v>6.1499999999999999E-2</v>
      </c>
      <c r="AS4">
        <v>55850</v>
      </c>
    </row>
    <row r="5" spans="1:45" x14ac:dyDescent="0.25">
      <c r="A5" s="16" t="s">
        <v>32</v>
      </c>
      <c r="B5" s="16" t="s">
        <v>30</v>
      </c>
      <c r="C5" s="132">
        <f t="shared" ref="C5:C18" ca="1" si="3">((33*112)-(E5*112)-(F5))/112</f>
        <v>0.9017857142857143</v>
      </c>
      <c r="D5" s="31" t="s">
        <v>245</v>
      </c>
      <c r="E5" s="18">
        <v>32</v>
      </c>
      <c r="F5" s="19">
        <f ca="1">72+D2-D1-112-112-112-112-112+17-112-112+10-112</f>
        <v>11</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0.82336412097478195</v>
      </c>
      <c r="O5" s="21">
        <v>7.1</v>
      </c>
      <c r="P5" s="22">
        <f t="shared" ref="P5:P6" si="6">O5*10+19</f>
        <v>90</v>
      </c>
      <c r="Q5" s="22">
        <v>5</v>
      </c>
      <c r="R5" s="126">
        <f t="shared" ref="R5:R18" si="7">(Q5/7)^0.5</f>
        <v>0.84515425472851657</v>
      </c>
      <c r="S5" s="126">
        <f t="shared" ref="S5:S18" si="8">IF(Q5=7,1,((Q5+0.99)/7)^0.5)</f>
        <v>0.92504826128926143</v>
      </c>
      <c r="T5" s="32">
        <v>56730</v>
      </c>
      <c r="U5" s="32">
        <f t="shared" ref="U5:U18" si="9">T5-AS5</f>
        <v>-2090</v>
      </c>
      <c r="V5" s="32">
        <v>15156</v>
      </c>
      <c r="W5" s="9">
        <f t="shared" si="2"/>
        <v>3.7430720506730006</v>
      </c>
      <c r="X5" s="23">
        <v>0</v>
      </c>
      <c r="Y5" s="24">
        <v>14</v>
      </c>
      <c r="Z5" s="23">
        <f>7+0.1+0.01</f>
        <v>7.1099999999999994</v>
      </c>
      <c r="AA5" s="24">
        <f>11+1/14*0.5</f>
        <v>11.035714285714286</v>
      </c>
      <c r="AB5" s="23">
        <f>7+0.01+0.01+0.01+0.01+0.01</f>
        <v>7.0499999999999989</v>
      </c>
      <c r="AC5" s="24">
        <f>2+0.01</f>
        <v>2.0099999999999998</v>
      </c>
      <c r="AD5" s="23">
        <f>15+1/6+1/6+1/6+1/6</f>
        <v>15.666666666666664</v>
      </c>
      <c r="AE5" s="10">
        <v>1650</v>
      </c>
      <c r="AF5" s="10"/>
      <c r="AG5" s="25">
        <f t="shared" ref="AG5:AG18" ca="1" si="10">(AD5+1+(LOG(I5)*4/3)+N5)*(Q5/7)^0.5</f>
        <v>15.893739708389189</v>
      </c>
      <c r="AH5" s="25">
        <f t="shared" ref="AH5:AH18" ca="1" si="11">(AD5+1+N5+(LOG(I5)*4/3))*(IF(Q5=7, (Q5/7)^0.5, ((Q5+1)/7)^0.5))</f>
        <v>17.410719522800676</v>
      </c>
      <c r="AI5" s="131">
        <f t="shared" ref="AI5:AI18" ca="1" si="12">(Z5+N5+(LOG(I5)*4/3))*(Q5/7)^0.5</f>
        <v>7.816882214033666</v>
      </c>
      <c r="AJ5" s="131">
        <f t="shared" ref="AJ5:AJ18" ca="1" si="13">(Z5+N5+(LOG(I5)*4/3))*(IF(Q5=7, (Q5/7)^0.5, ((Q5+1)/7)^0.5))</f>
        <v>8.5629654359743288</v>
      </c>
      <c r="AK5" s="9">
        <f t="shared" ref="AK5:AK18" ca="1" si="14">(((Y5+LOG(I5)*4/3+N5)+(AB5+LOG(I5)*4/3+N5)*2)/8)*(Q5/7)^0.5</f>
        <v>3.6465426183266318</v>
      </c>
      <c r="AL5" s="9">
        <f t="shared" ref="AL5:AL18" ca="1" si="15">(AD5+LOG(I5)*4/3+N5)*0.7+(AC5+LOG(I5)*4/3+N5)*0.3</f>
        <v>13.708726433329774</v>
      </c>
      <c r="AM5" s="9">
        <f t="shared" ref="AM5:AM18" ca="1" si="16">(0.5*(AC5+LOG(I5)*4/3+N5)+ 0.3*(AD5+LOG(I5)*4/3+N5))/10</f>
        <v>0.74162478133304854</v>
      </c>
      <c r="AN5" s="9">
        <f t="shared" ref="AN5:AN18" ca="1" si="17">(0.4*(Y5+LOG(I5)*4/3+N5)+0.3*(AD5+LOG(I5)*4/3+N5))/10</f>
        <v>1.1797341836664177</v>
      </c>
      <c r="AO5" s="22">
        <v>2</v>
      </c>
      <c r="AP5" s="22">
        <v>1</v>
      </c>
      <c r="AQ5" s="22">
        <v>3</v>
      </c>
      <c r="AR5" s="145">
        <f t="shared" ref="AR5:AR19" si="18">IF(AP5=4,IF(AQ5=0,0.137+0.0697,0.137+0.02),IF(AP5=3,IF(AQ5=0,0.0958+0.0697,0.0958+0.02),IF(AP5=2,IF(AQ5=0,0.0415+0.0697,0.0415+0.02),IF(AP5=1,IF(AQ5=0,0.0294+0.0697,0.0294+0.02),IF(AP5=0,IF(AQ5=0,0.0063+0.0697,0.0063+0.02))))))</f>
        <v>4.9399999999999999E-2</v>
      </c>
      <c r="AS5">
        <v>58820</v>
      </c>
    </row>
    <row r="6" spans="1:45" x14ac:dyDescent="0.25">
      <c r="A6" s="16" t="s">
        <v>33</v>
      </c>
      <c r="B6" s="26" t="s">
        <v>30</v>
      </c>
      <c r="C6" s="132">
        <f t="shared" ca="1" si="3"/>
        <v>1.0982142857142858</v>
      </c>
      <c r="D6" s="1" t="s">
        <v>244</v>
      </c>
      <c r="E6" s="2">
        <v>31</v>
      </c>
      <c r="F6" s="3">
        <f ca="1">16+D2-D1-112-51-112-112-112-112-112</f>
        <v>101</v>
      </c>
      <c r="G6" s="4"/>
      <c r="H6" s="5">
        <v>3</v>
      </c>
      <c r="I6" s="6">
        <v>9.1</v>
      </c>
      <c r="J6" s="24">
        <f t="shared" si="4"/>
        <v>1.2787218564281246</v>
      </c>
      <c r="K6" s="7">
        <f t="shared" si="0"/>
        <v>81.899999999999991</v>
      </c>
      <c r="L6" s="7">
        <f t="shared" si="1"/>
        <v>145.6</v>
      </c>
      <c r="M6" s="146">
        <v>42799</v>
      </c>
      <c r="N6" s="147">
        <f t="shared" ca="1" si="5"/>
        <v>0.8837509927653624</v>
      </c>
      <c r="O6" s="27">
        <v>6.9</v>
      </c>
      <c r="P6" s="22">
        <f t="shared" si="6"/>
        <v>88</v>
      </c>
      <c r="Q6" s="28">
        <v>5</v>
      </c>
      <c r="R6" s="126">
        <f t="shared" si="7"/>
        <v>0.84515425472851657</v>
      </c>
      <c r="S6" s="126">
        <f t="shared" si="8"/>
        <v>0.92504826128926143</v>
      </c>
      <c r="T6" s="32">
        <v>75600</v>
      </c>
      <c r="U6" s="32">
        <f t="shared" si="9"/>
        <v>-2610</v>
      </c>
      <c r="V6" s="8">
        <v>13584</v>
      </c>
      <c r="W6" s="9">
        <f t="shared" si="2"/>
        <v>5.5653710247349819</v>
      </c>
      <c r="X6" s="23">
        <v>0</v>
      </c>
      <c r="Y6" s="24">
        <f>13+1/20</f>
        <v>13.05</v>
      </c>
      <c r="Z6" s="23">
        <f>3+0.12+0.12*0.5</f>
        <v>3.18</v>
      </c>
      <c r="AA6" s="24">
        <f>12+1/15*0.5</f>
        <v>12.033333333333333</v>
      </c>
      <c r="AB6" s="23">
        <f>9+0.01+0.01+0.01+0.01</f>
        <v>9.0399999999999991</v>
      </c>
      <c r="AC6" s="24">
        <f>4+0.01</f>
        <v>4.01</v>
      </c>
      <c r="AD6" s="23">
        <f>10+1/3</f>
        <v>10.333333333333334</v>
      </c>
      <c r="AE6" s="10">
        <v>1507</v>
      </c>
      <c r="AF6" s="10"/>
      <c r="AG6" s="25">
        <f t="shared" ca="1" si="10"/>
        <v>11.406038016153961</v>
      </c>
      <c r="AH6" s="25">
        <f t="shared" ca="1" si="11"/>
        <v>12.494688626417997</v>
      </c>
      <c r="AI6" s="131">
        <f t="shared" ca="1" si="12"/>
        <v>4.5152136592674559</v>
      </c>
      <c r="AJ6" s="131">
        <f t="shared" ca="1" si="13"/>
        <v>4.9461687462724608</v>
      </c>
      <c r="AK6" s="9">
        <f t="shared" ca="1" si="14"/>
        <v>3.9740651671738796</v>
      </c>
      <c r="AL6" s="9">
        <f t="shared" ca="1" si="15"/>
        <v>10.59880618252682</v>
      </c>
      <c r="AM6" s="9">
        <f t="shared" ca="1" si="16"/>
        <v>0.68349782793547897</v>
      </c>
      <c r="AN6" s="9">
        <f t="shared" ca="1" si="17"/>
        <v>0.98337309944354412</v>
      </c>
      <c r="AO6" s="22">
        <v>3</v>
      </c>
      <c r="AP6" s="22">
        <v>0</v>
      </c>
      <c r="AQ6" s="22">
        <v>3</v>
      </c>
      <c r="AR6" s="145">
        <f t="shared" si="18"/>
        <v>2.63E-2</v>
      </c>
      <c r="AS6">
        <v>78210</v>
      </c>
    </row>
    <row r="7" spans="1:45" x14ac:dyDescent="0.25">
      <c r="A7" s="16" t="s">
        <v>41</v>
      </c>
      <c r="B7" s="16" t="s">
        <v>30</v>
      </c>
      <c r="C7" s="132">
        <f t="shared" ca="1" si="3"/>
        <v>1.5982142857142858</v>
      </c>
      <c r="D7" s="1" t="s">
        <v>247</v>
      </c>
      <c r="E7" s="2">
        <v>31</v>
      </c>
      <c r="F7" s="3">
        <f ca="1">8-659+D2-D1-112</f>
        <v>45</v>
      </c>
      <c r="G7" s="4"/>
      <c r="H7" s="5">
        <v>2</v>
      </c>
      <c r="I7" s="6">
        <v>8.9</v>
      </c>
      <c r="J7" s="24">
        <f t="shared" si="4"/>
        <v>1.265853342193217</v>
      </c>
      <c r="K7" s="7">
        <f t="shared" ref="K7" si="19">(H7)*(H7)*(I7)</f>
        <v>35.6</v>
      </c>
      <c r="L7" s="7">
        <f t="shared" ref="L7" si="20">(H7+1)*(H7+1)*I7</f>
        <v>80.100000000000009</v>
      </c>
      <c r="M7" s="146">
        <v>42948</v>
      </c>
      <c r="N7" s="147">
        <f t="shared" ca="1" si="5"/>
        <v>0.53920913731540465</v>
      </c>
      <c r="O7" s="27">
        <v>6.9</v>
      </c>
      <c r="P7" s="22">
        <f t="shared" ref="P7:P8" si="21">O7*10+19</f>
        <v>88</v>
      </c>
      <c r="Q7" s="28">
        <v>6</v>
      </c>
      <c r="R7" s="126">
        <f t="shared" ref="R7" si="22">(Q7/7)^0.5</f>
        <v>0.92582009977255142</v>
      </c>
      <c r="S7" s="126">
        <f t="shared" ref="S7" si="23">IF(Q7=7,1,((Q7+0.99)/7)^0.5)</f>
        <v>0.99928545900129484</v>
      </c>
      <c r="T7" s="32">
        <v>92150</v>
      </c>
      <c r="U7" s="32">
        <f t="shared" si="9"/>
        <v>610</v>
      </c>
      <c r="V7" s="8">
        <v>21540</v>
      </c>
      <c r="W7" s="9">
        <f t="shared" si="2"/>
        <v>4.2780872794800375</v>
      </c>
      <c r="X7" s="23">
        <v>0</v>
      </c>
      <c r="Y7" s="24">
        <v>14</v>
      </c>
      <c r="Z7" s="23">
        <f>5+0.02</f>
        <v>5.0199999999999996</v>
      </c>
      <c r="AA7" s="24">
        <f>10+0.01</f>
        <v>10.01</v>
      </c>
      <c r="AB7" s="23">
        <f>9+0.01+0.01+0.01+0.01</f>
        <v>9.0399999999999991</v>
      </c>
      <c r="AC7" s="24">
        <f>1+0.01</f>
        <v>1.01</v>
      </c>
      <c r="AD7" s="23">
        <f>13.6+0.2+0.2+0.2*11/90</f>
        <v>14.024444444444443</v>
      </c>
      <c r="AE7" s="10">
        <v>1570</v>
      </c>
      <c r="AF7" s="10"/>
      <c r="AG7" s="25">
        <f t="shared" ca="1" si="10"/>
        <v>15.581095779457069</v>
      </c>
      <c r="AH7" s="25">
        <f t="shared" ca="1" si="11"/>
        <v>16.829506923953065</v>
      </c>
      <c r="AI7" s="131">
        <f t="shared" ca="1" si="12"/>
        <v>6.3187800257325692</v>
      </c>
      <c r="AJ7" s="131">
        <f t="shared" ca="1" si="13"/>
        <v>6.8250624795086212</v>
      </c>
      <c r="AK7" s="9">
        <f t="shared" ca="1" si="14"/>
        <v>4.3392247719158172</v>
      </c>
      <c r="AL7" s="9">
        <f t="shared" ca="1" si="15"/>
        <v>11.92517359061973</v>
      </c>
      <c r="AM7" s="9">
        <f t="shared" ca="1" si="16"/>
        <v>0.61563833169402304</v>
      </c>
      <c r="AN7" s="9">
        <f t="shared" ca="1" si="17"/>
        <v>1.1070877068989369</v>
      </c>
      <c r="AO7" s="22">
        <v>2</v>
      </c>
      <c r="AP7" s="22">
        <v>3</v>
      </c>
      <c r="AQ7" s="22">
        <v>2</v>
      </c>
      <c r="AR7" s="145">
        <f t="shared" ref="AR7:AR13" si="24">IF(AP7=4,IF(AQ7=0,0.137+0.0697,0.137+0.02),IF(AP7=3,IF(AQ7=0,0.0958+0.0697,0.0958+0.02),IF(AP7=2,IF(AQ7=0,0.0415+0.0697,0.0415+0.02),IF(AP7=1,IF(AQ7=0,0.0294+0.0697,0.0294+0.02),IF(AP7=0,IF(AQ7=0,0.0063+0.0697,0.0063+0.02))))))</f>
        <v>0.1158</v>
      </c>
      <c r="AS7">
        <v>91540</v>
      </c>
    </row>
    <row r="8" spans="1:45" x14ac:dyDescent="0.25">
      <c r="A8" s="16" t="s">
        <v>31</v>
      </c>
      <c r="B8" s="26" t="s">
        <v>30</v>
      </c>
      <c r="C8" s="132">
        <f t="shared" ca="1" si="3"/>
        <v>1.75</v>
      </c>
      <c r="D8" s="1" t="s">
        <v>246</v>
      </c>
      <c r="E8" s="2">
        <v>31</v>
      </c>
      <c r="F8" s="3">
        <f ca="1">8-659-17+D2-D1-112</f>
        <v>28</v>
      </c>
      <c r="G8" s="4"/>
      <c r="H8" s="5">
        <v>3</v>
      </c>
      <c r="I8" s="6">
        <v>8.3000000000000007</v>
      </c>
      <c r="J8" s="24">
        <f t="shared" si="4"/>
        <v>1.2254374565014319</v>
      </c>
      <c r="K8" s="7">
        <f t="shared" ref="K8" si="25">(H8)*(H8)*(I8)</f>
        <v>74.7</v>
      </c>
      <c r="L8" s="7">
        <f t="shared" ref="L8" si="26">(H8+1)*(H8+1)*I8</f>
        <v>132.80000000000001</v>
      </c>
      <c r="M8" s="146">
        <v>42869</v>
      </c>
      <c r="N8" s="147">
        <f t="shared" ca="1" si="5"/>
        <v>0.73343880423652585</v>
      </c>
      <c r="O8" s="27">
        <v>7</v>
      </c>
      <c r="P8" s="22">
        <f t="shared" si="21"/>
        <v>89</v>
      </c>
      <c r="Q8" s="28">
        <v>6</v>
      </c>
      <c r="R8" s="126">
        <f t="shared" ref="R8" si="27">(Q8/7)^0.5</f>
        <v>0.92582009977255142</v>
      </c>
      <c r="S8" s="126">
        <f t="shared" ref="S8" si="28">IF(Q8=7,1,((Q8+0.99)/7)^0.5)</f>
        <v>0.99928545900129484</v>
      </c>
      <c r="T8" s="32">
        <v>67290</v>
      </c>
      <c r="U8" s="32">
        <f t="shared" si="9"/>
        <v>1310</v>
      </c>
      <c r="V8" s="8">
        <v>20832</v>
      </c>
      <c r="W8" s="9">
        <f t="shared" si="2"/>
        <v>3.2301267281105992</v>
      </c>
      <c r="X8" s="23">
        <v>0</v>
      </c>
      <c r="Y8" s="24">
        <v>14</v>
      </c>
      <c r="Z8" s="23">
        <f>3+0.02</f>
        <v>3.02</v>
      </c>
      <c r="AA8" s="24">
        <f>3+0.01</f>
        <v>3.01</v>
      </c>
      <c r="AB8" s="23">
        <f>10+0.01</f>
        <v>10.01</v>
      </c>
      <c r="AC8" s="24">
        <v>3</v>
      </c>
      <c r="AD8" s="23">
        <f>17+1/6+1/6</f>
        <v>17.333333333333336</v>
      </c>
      <c r="AE8" s="10">
        <v>1493</v>
      </c>
      <c r="AF8" s="10"/>
      <c r="AG8" s="25">
        <f t="shared" ca="1" si="10"/>
        <v>18.786935510988613</v>
      </c>
      <c r="AH8" s="25">
        <f t="shared" ca="1" si="11"/>
        <v>20.292209594071295</v>
      </c>
      <c r="AI8" s="131">
        <f t="shared" ca="1" si="12"/>
        <v>4.6095437164716042</v>
      </c>
      <c r="AJ8" s="131">
        <f t="shared" ca="1" si="13"/>
        <v>4.978876260737958</v>
      </c>
      <c r="AK8" s="9">
        <f t="shared" ca="1" si="14"/>
        <v>4.6171376049672119</v>
      </c>
      <c r="AL8" s="9">
        <f t="shared" ca="1" si="15"/>
        <v>14.992209594071292</v>
      </c>
      <c r="AM8" s="9">
        <f t="shared" ca="1" si="16"/>
        <v>0.82671010085903662</v>
      </c>
      <c r="AN8" s="9">
        <f t="shared" ca="1" si="17"/>
        <v>1.217121338251657</v>
      </c>
      <c r="AO8" s="22">
        <v>1</v>
      </c>
      <c r="AP8" s="22">
        <v>2</v>
      </c>
      <c r="AQ8" s="22">
        <v>3</v>
      </c>
      <c r="AR8" s="145">
        <f t="shared" si="24"/>
        <v>6.1499999999999999E-2</v>
      </c>
      <c r="AS8">
        <v>65980</v>
      </c>
    </row>
    <row r="9" spans="1:45" x14ac:dyDescent="0.25">
      <c r="A9" s="16" t="s">
        <v>35</v>
      </c>
      <c r="B9" s="26" t="s">
        <v>30</v>
      </c>
      <c r="C9" s="132">
        <f t="shared" ca="1" si="3"/>
        <v>0.2857142857142857</v>
      </c>
      <c r="D9" s="1" t="s">
        <v>243</v>
      </c>
      <c r="E9" s="2">
        <v>32</v>
      </c>
      <c r="F9" s="3">
        <f ca="1">51+D2-D1-112-27-112+36+37-112-112-41-112-112-112</f>
        <v>80</v>
      </c>
      <c r="G9" s="4" t="s">
        <v>0</v>
      </c>
      <c r="H9" s="5">
        <v>3</v>
      </c>
      <c r="I9" s="6">
        <v>10.9</v>
      </c>
      <c r="J9" s="24">
        <f t="shared" ref="J9" si="29">LOG(I9)*4/3</f>
        <v>1.383235330587498</v>
      </c>
      <c r="K9" s="7">
        <f>(H9)*(H9)*(I9)</f>
        <v>98.100000000000009</v>
      </c>
      <c r="L9" s="7">
        <f>(H9+1)*(H9+1)*I9</f>
        <v>174.4</v>
      </c>
      <c r="M9" s="146">
        <v>42742</v>
      </c>
      <c r="N9" s="147">
        <f ca="1">IF((TODAY()-M9)&gt;335,1,((TODAY()-M9)^0.64)/(336^0.64))</f>
        <v>0.99618638350505884</v>
      </c>
      <c r="O9" s="27">
        <v>6.9</v>
      </c>
      <c r="P9" s="22">
        <f>O9*10+19</f>
        <v>88</v>
      </c>
      <c r="Q9" s="28">
        <v>4</v>
      </c>
      <c r="R9" s="126">
        <f t="shared" ref="R9" si="30">(Q9/7)^0.5</f>
        <v>0.7559289460184544</v>
      </c>
      <c r="S9" s="126">
        <f t="shared" ref="S9" si="31">IF(Q9=7,1,((Q9+0.99)/7)^0.5)</f>
        <v>0.84430867747355465</v>
      </c>
      <c r="T9" s="32">
        <v>77280</v>
      </c>
      <c r="U9" s="32">
        <f t="shared" si="9"/>
        <v>-1770</v>
      </c>
      <c r="V9" s="8">
        <v>21960</v>
      </c>
      <c r="W9" s="9">
        <f>T9/V9</f>
        <v>3.5191256830601092</v>
      </c>
      <c r="X9" s="23">
        <v>0</v>
      </c>
      <c r="Y9" s="24">
        <f>15+1/35</f>
        <v>15.028571428571428</v>
      </c>
      <c r="Z9" s="23">
        <v>12</v>
      </c>
      <c r="AA9" s="24">
        <f>2+0.01</f>
        <v>2.0099999999999998</v>
      </c>
      <c r="AB9" s="23">
        <f>7+1/7+0.01+0.01+0.01+0.01</f>
        <v>7.1828571428571424</v>
      </c>
      <c r="AC9" s="24">
        <v>3.99</v>
      </c>
      <c r="AD9" s="23">
        <v>15</v>
      </c>
      <c r="AE9" s="10">
        <v>1825</v>
      </c>
      <c r="AF9" s="10"/>
      <c r="AG9" s="25">
        <f t="shared" ca="1" si="10"/>
        <v>13.893536884762682</v>
      </c>
      <c r="AH9" s="25">
        <f t="shared" ca="1" si="11"/>
        <v>15.533446461115011</v>
      </c>
      <c r="AI9" s="131">
        <f t="shared" ca="1" si="12"/>
        <v>10.869821100688863</v>
      </c>
      <c r="AJ9" s="131">
        <f t="shared" ca="1" si="13"/>
        <v>12.152829442200943</v>
      </c>
      <c r="AK9" s="9">
        <f t="shared" ca="1" si="14"/>
        <v>3.4520015830459432</v>
      </c>
      <c r="AL9" s="9">
        <f t="shared" ca="1" si="15"/>
        <v>14.076421714092556</v>
      </c>
      <c r="AM9" s="9">
        <f t="shared" ca="1" si="16"/>
        <v>0.83985373712740452</v>
      </c>
      <c r="AN9" s="9">
        <f t="shared" ca="1" si="17"/>
        <v>1.2177023771293363</v>
      </c>
      <c r="AO9" s="22">
        <v>3</v>
      </c>
      <c r="AP9" s="22">
        <v>2</v>
      </c>
      <c r="AQ9" s="22">
        <v>2</v>
      </c>
      <c r="AR9" s="145">
        <f t="shared" si="24"/>
        <v>6.1499999999999999E-2</v>
      </c>
      <c r="AS9">
        <v>79050</v>
      </c>
    </row>
    <row r="10" spans="1:45" x14ac:dyDescent="0.25">
      <c r="A10" s="16" t="s">
        <v>39</v>
      </c>
      <c r="B10" s="16" t="s">
        <v>30</v>
      </c>
      <c r="C10" s="132">
        <f ca="1">((33*112)-(E10*112)-(F10))/112</f>
        <v>0.9732142857142857</v>
      </c>
      <c r="D10" s="31" t="s">
        <v>416</v>
      </c>
      <c r="E10" s="18">
        <v>32</v>
      </c>
      <c r="F10" s="3">
        <f ca="1">51+D2-D1-112-27-112+36+37-112-112+24-112-112-30-112-112</f>
        <v>3</v>
      </c>
      <c r="G10" s="20" t="s">
        <v>190</v>
      </c>
      <c r="H10" s="5">
        <v>2</v>
      </c>
      <c r="I10" s="30">
        <v>9.1999999999999993</v>
      </c>
      <c r="J10" s="24">
        <f>LOG(I10)*4/3</f>
        <v>1.2850504364607402</v>
      </c>
      <c r="K10" s="7">
        <f>(H10)*(H10)*(I10)</f>
        <v>36.799999999999997</v>
      </c>
      <c r="L10" s="7">
        <f>(H10+1)*(H10+1)*I10</f>
        <v>82.8</v>
      </c>
      <c r="M10" s="146">
        <v>42865</v>
      </c>
      <c r="N10" s="147">
        <f ca="1">IF((TODAY()-M10)&gt;335,1,((TODAY()-M10)^0.64)/(336^0.64))</f>
        <v>0.74247807530368926</v>
      </c>
      <c r="O10" s="21">
        <v>6.9</v>
      </c>
      <c r="P10" s="22">
        <f>O10*10+19</f>
        <v>88</v>
      </c>
      <c r="Q10" s="28">
        <v>4</v>
      </c>
      <c r="R10" s="126">
        <f t="shared" ref="R10:R11" si="32">(Q10/7)^0.5</f>
        <v>0.7559289460184544</v>
      </c>
      <c r="S10" s="126">
        <f t="shared" ref="S10:S11" si="33">IF(Q10=7,1,((Q10+0.99)/7)^0.5)</f>
        <v>0.84430867747355465</v>
      </c>
      <c r="T10" s="32">
        <v>119540</v>
      </c>
      <c r="U10" s="32">
        <f t="shared" si="9"/>
        <v>-4090</v>
      </c>
      <c r="V10" s="32">
        <v>27696</v>
      </c>
      <c r="W10" s="9">
        <f>T10/V10</f>
        <v>4.316146735990757</v>
      </c>
      <c r="X10" s="23">
        <v>0</v>
      </c>
      <c r="Y10" s="24">
        <v>12</v>
      </c>
      <c r="Z10" s="23">
        <f>15+1/25</f>
        <v>15.04</v>
      </c>
      <c r="AA10" s="24">
        <f>2+0.01</f>
        <v>2.0099999999999998</v>
      </c>
      <c r="AB10" s="23">
        <f>8+0.1+0.1+0.1+0.1*44/90</f>
        <v>8.3488888888888884</v>
      </c>
      <c r="AC10" s="24">
        <f>2+1/6</f>
        <v>2.1666666666666665</v>
      </c>
      <c r="AD10" s="23">
        <f>8+0.4+0.4*11/90+0.4</f>
        <v>8.8488888888888901</v>
      </c>
      <c r="AE10" s="10">
        <v>1700</v>
      </c>
      <c r="AF10" s="10"/>
      <c r="AG10" s="25">
        <f t="shared" ca="1" si="10"/>
        <v>8.977727688151095</v>
      </c>
      <c r="AH10" s="25">
        <f t="shared" ca="1" si="11"/>
        <v>10.037404697093942</v>
      </c>
      <c r="AI10" s="131">
        <f t="shared" ca="1" si="12"/>
        <v>12.901838839038005</v>
      </c>
      <c r="AJ10" s="131">
        <f t="shared" ca="1" si="13"/>
        <v>14.424694339417973</v>
      </c>
      <c r="AK10" s="9">
        <f t="shared" ca="1" si="14"/>
        <v>3.2864354226735908</v>
      </c>
      <c r="AL10" s="9">
        <f t="shared" ca="1" si="15"/>
        <v>8.8717507339866515</v>
      </c>
      <c r="AM10" s="9">
        <f t="shared" ca="1" si="16"/>
        <v>0.53600228094115432</v>
      </c>
      <c r="AN10" s="9">
        <f t="shared" ca="1" si="17"/>
        <v>0.88739366249017659</v>
      </c>
      <c r="AO10" s="22">
        <v>2</v>
      </c>
      <c r="AP10" s="22">
        <v>3</v>
      </c>
      <c r="AQ10" s="22">
        <v>1</v>
      </c>
      <c r="AR10" s="145">
        <f t="shared" si="24"/>
        <v>0.1158</v>
      </c>
      <c r="AS10">
        <v>123630</v>
      </c>
    </row>
    <row r="11" spans="1:45" x14ac:dyDescent="0.25">
      <c r="A11" s="16" t="s">
        <v>34</v>
      </c>
      <c r="B11" s="26" t="s">
        <v>99</v>
      </c>
      <c r="C11" s="132">
        <f ca="1">((33*112)-(E11*112)-(F11))/112</f>
        <v>0.7142857142857143</v>
      </c>
      <c r="D11" s="1" t="s">
        <v>242</v>
      </c>
      <c r="E11" s="2">
        <v>32</v>
      </c>
      <c r="F11" s="3">
        <f ca="1">51+D2-D1-112-27-112+36+37-112-112+24-112-1-112-112-112</f>
        <v>32</v>
      </c>
      <c r="G11" s="4" t="s">
        <v>45</v>
      </c>
      <c r="H11" s="5">
        <v>1</v>
      </c>
      <c r="I11" s="6">
        <v>10.5</v>
      </c>
      <c r="J11" s="24">
        <f t="shared" ref="J11" si="34">LOG(I11)*4/3</f>
        <v>1.3615857320932507</v>
      </c>
      <c r="K11" s="7">
        <f>(H11)*(H11)*(I11)</f>
        <v>10.5</v>
      </c>
      <c r="L11" s="7">
        <f>(H11+1)*(H11+1)*I11</f>
        <v>42</v>
      </c>
      <c r="M11" s="146">
        <v>42738</v>
      </c>
      <c r="N11" s="147">
        <f ca="1">IF((TODAY()-M11)&gt;335,1,((TODAY()-M11)^0.64)/(336^0.64))</f>
        <v>1</v>
      </c>
      <c r="O11" s="27">
        <v>6.6</v>
      </c>
      <c r="P11" s="22">
        <f>O11*10+19</f>
        <v>85</v>
      </c>
      <c r="Q11" s="28">
        <v>6</v>
      </c>
      <c r="R11" s="126">
        <f t="shared" si="32"/>
        <v>0.92582009977255142</v>
      </c>
      <c r="S11" s="126">
        <f t="shared" si="33"/>
        <v>0.99928545900129484</v>
      </c>
      <c r="T11" s="32">
        <v>74810</v>
      </c>
      <c r="U11" s="32">
        <f t="shared" si="9"/>
        <v>2370</v>
      </c>
      <c r="V11" s="8">
        <v>21792</v>
      </c>
      <c r="W11" s="9">
        <f>T11/V11</f>
        <v>3.4329111600587372</v>
      </c>
      <c r="X11" s="23">
        <v>0</v>
      </c>
      <c r="Y11" s="24">
        <f>5+1/51</f>
        <v>5.0196078431372548</v>
      </c>
      <c r="Z11" s="23">
        <f>14+1/20+1/20+1/20+0.01+1/20</f>
        <v>14.210000000000003</v>
      </c>
      <c r="AA11" s="24">
        <f>5</f>
        <v>5</v>
      </c>
      <c r="AB11" s="23">
        <f>12+1/14+1/14+1/14+1/14*30/90+1/14+1/14+1/14*44/90+1/14</f>
        <v>12.487301587301586</v>
      </c>
      <c r="AC11" s="24">
        <f>3+1/5+1/5+0.01</f>
        <v>3.41</v>
      </c>
      <c r="AD11" s="23">
        <f>15+1/6+1/6+1/6+1/6</f>
        <v>15.666666666666664</v>
      </c>
      <c r="AE11" s="10">
        <v>1571</v>
      </c>
      <c r="AF11" s="10"/>
      <c r="AG11" s="25">
        <f t="shared" ca="1" si="10"/>
        <v>17.616738534317193</v>
      </c>
      <c r="AH11" s="25">
        <f t="shared" ca="1" si="11"/>
        <v>19.028252398759914</v>
      </c>
      <c r="AI11" s="131">
        <f t="shared" ca="1" si="12"/>
        <v>15.342307155875966</v>
      </c>
      <c r="AJ11" s="131">
        <f t="shared" ca="1" si="13"/>
        <v>16.571585732093254</v>
      </c>
      <c r="AK11" s="9">
        <f t="shared" ca="1" si="14"/>
        <v>4.2910567564209279</v>
      </c>
      <c r="AL11" s="9">
        <f t="shared" ca="1" si="15"/>
        <v>14.351252398759915</v>
      </c>
      <c r="AM11" s="9">
        <f t="shared" ca="1" si="16"/>
        <v>0.8294268585674599</v>
      </c>
      <c r="AN11" s="9">
        <f t="shared" ca="1" si="17"/>
        <v>0.83609531497201761</v>
      </c>
      <c r="AO11" s="22">
        <v>1</v>
      </c>
      <c r="AP11" s="22">
        <v>3</v>
      </c>
      <c r="AQ11" s="22">
        <v>2</v>
      </c>
      <c r="AR11" s="145">
        <f t="shared" si="24"/>
        <v>0.1158</v>
      </c>
      <c r="AS11">
        <v>72440</v>
      </c>
    </row>
    <row r="12" spans="1:45" x14ac:dyDescent="0.25">
      <c r="A12" s="16" t="s">
        <v>38</v>
      </c>
      <c r="B12" s="16" t="s">
        <v>44</v>
      </c>
      <c r="C12" s="132">
        <f ca="1">((33*112)-(E12*112)-(F12))/112</f>
        <v>2.8839285714285716</v>
      </c>
      <c r="D12" s="1" t="s">
        <v>248</v>
      </c>
      <c r="E12" s="2">
        <v>30</v>
      </c>
      <c r="F12" s="3">
        <f ca="1">8-659-32+D2-D1-112</f>
        <v>13</v>
      </c>
      <c r="G12" s="4" t="s">
        <v>45</v>
      </c>
      <c r="H12" s="5">
        <v>2</v>
      </c>
      <c r="I12" s="6">
        <v>6.1</v>
      </c>
      <c r="J12" s="24">
        <f>LOG(I12)*4/3</f>
        <v>1.0471064466810227</v>
      </c>
      <c r="K12" s="7">
        <f>(H12)*(H12)*(I12)</f>
        <v>24.4</v>
      </c>
      <c r="L12" s="7">
        <f>(H12+1)*(H12+1)*I12</f>
        <v>54.9</v>
      </c>
      <c r="M12" s="146">
        <v>42975</v>
      </c>
      <c r="N12" s="147">
        <f t="shared" ca="1" si="5"/>
        <v>0.46334933247594834</v>
      </c>
      <c r="O12" s="27">
        <v>6.9</v>
      </c>
      <c r="P12" s="22">
        <f>O12*10+19</f>
        <v>88</v>
      </c>
      <c r="Q12" s="28">
        <v>5</v>
      </c>
      <c r="R12" s="126">
        <f>(Q12/7)^0.5</f>
        <v>0.84515425472851657</v>
      </c>
      <c r="S12" s="126">
        <f>IF(Q12=7,1,((Q12+0.99)/7)^0.5)</f>
        <v>0.92504826128926143</v>
      </c>
      <c r="T12" s="32">
        <v>113010</v>
      </c>
      <c r="U12" s="32">
        <f t="shared" si="9"/>
        <v>11310</v>
      </c>
      <c r="V12" s="8">
        <v>20652</v>
      </c>
      <c r="W12" s="9">
        <f>T12/V12</f>
        <v>5.4721092388146424</v>
      </c>
      <c r="X12" s="23">
        <v>0</v>
      </c>
      <c r="Y12" s="24">
        <v>2</v>
      </c>
      <c r="Z12" s="23">
        <f>13+1/22*0.5</f>
        <v>13.022727272727273</v>
      </c>
      <c r="AA12" s="24">
        <f>14+1/18*11/90</f>
        <v>14.00679012345679</v>
      </c>
      <c r="AB12" s="23">
        <f>6.4+(1/8*65/90)+1/8+1/8+1/8+(1/8*6/90)+1/8</f>
        <v>6.9986111111111118</v>
      </c>
      <c r="AC12" s="24">
        <f>5+0.01</f>
        <v>5.01</v>
      </c>
      <c r="AD12" s="23">
        <f>1+1*11/90</f>
        <v>1.1222222222222222</v>
      </c>
      <c r="AE12" s="10">
        <v>1397</v>
      </c>
      <c r="AF12" s="10"/>
      <c r="AG12" s="25">
        <f t="shared" ca="1" si="10"/>
        <v>3.0701732689243091</v>
      </c>
      <c r="AH12" s="25">
        <f t="shared" ca="1" si="11"/>
        <v>3.3632063096784375</v>
      </c>
      <c r="AI12" s="131">
        <f t="shared" ca="1" si="12"/>
        <v>12.282781491048336</v>
      </c>
      <c r="AJ12" s="131">
        <f t="shared" ca="1" si="13"/>
        <v>13.455112983108224</v>
      </c>
      <c r="AK12" s="9">
        <f t="shared" ca="1" si="14"/>
        <v>2.1687281012437571</v>
      </c>
      <c r="AL12" s="9">
        <f t="shared" ca="1" si="15"/>
        <v>3.7990113347125263</v>
      </c>
      <c r="AM12" s="9">
        <f t="shared" ca="1" si="16"/>
        <v>0.4050031289992243</v>
      </c>
      <c r="AN12" s="9">
        <f t="shared" ca="1" si="17"/>
        <v>0.21939857120765463</v>
      </c>
      <c r="AO12" s="22">
        <v>1</v>
      </c>
      <c r="AP12" s="22">
        <v>2</v>
      </c>
      <c r="AQ12" s="22">
        <v>2</v>
      </c>
      <c r="AR12" s="145">
        <f t="shared" si="24"/>
        <v>6.1499999999999999E-2</v>
      </c>
      <c r="AS12">
        <v>101700</v>
      </c>
    </row>
    <row r="13" spans="1:45" x14ac:dyDescent="0.25">
      <c r="A13" s="16" t="s">
        <v>31</v>
      </c>
      <c r="B13" s="26" t="s">
        <v>75</v>
      </c>
      <c r="C13" s="132">
        <f ca="1">((33*112)-(E13*112)-(F13))/112</f>
        <v>1.1428571428571428</v>
      </c>
      <c r="D13" s="1" t="s">
        <v>249</v>
      </c>
      <c r="E13" s="2">
        <v>31</v>
      </c>
      <c r="F13" s="3">
        <f ca="1">8-159+16-570-5+D2-D1-2</f>
        <v>96</v>
      </c>
      <c r="G13" s="4"/>
      <c r="H13" s="5">
        <v>2</v>
      </c>
      <c r="I13" s="6">
        <v>8.6999999999999993</v>
      </c>
      <c r="J13" s="24">
        <f>LOG(I13)*4/3</f>
        <v>1.2526923368248246</v>
      </c>
      <c r="K13" s="7">
        <f>(H13)*(H13)*(I13)</f>
        <v>34.799999999999997</v>
      </c>
      <c r="L13" s="7">
        <f>(H13+1)*(H13+1)*I13</f>
        <v>78.3</v>
      </c>
      <c r="M13" s="146">
        <v>42872</v>
      </c>
      <c r="N13" s="147">
        <f t="shared" ca="1" si="5"/>
        <v>0.72661802926147456</v>
      </c>
      <c r="O13" s="27">
        <v>7</v>
      </c>
      <c r="P13" s="22">
        <f>O13*10+19</f>
        <v>89</v>
      </c>
      <c r="Q13" s="28">
        <v>7</v>
      </c>
      <c r="R13" s="126">
        <f>(Q13/7)^0.5</f>
        <v>1</v>
      </c>
      <c r="S13" s="126">
        <f>IF(Q13=7,1,((Q13+0.99)/7)^0.5)</f>
        <v>1</v>
      </c>
      <c r="T13" s="8">
        <v>99700</v>
      </c>
      <c r="U13" s="32">
        <f t="shared" si="9"/>
        <v>-310</v>
      </c>
      <c r="V13" s="8">
        <v>16668</v>
      </c>
      <c r="W13" s="9">
        <f>T13/V13</f>
        <v>5.9815214782817376</v>
      </c>
      <c r="X13" s="23">
        <v>0</v>
      </c>
      <c r="Y13" s="24">
        <v>4</v>
      </c>
      <c r="Z13" s="23">
        <f>12+1/22*0.5</f>
        <v>12.022727272727273</v>
      </c>
      <c r="AA13" s="24">
        <f>14+1/15</f>
        <v>14.066666666666666</v>
      </c>
      <c r="AB13" s="23">
        <f>8+0.1+0.1+0.1+0.1+0.1+0.1</f>
        <v>8.5999999999999979</v>
      </c>
      <c r="AC13" s="24">
        <f>3+0.01</f>
        <v>3.01</v>
      </c>
      <c r="AD13" s="23">
        <v>7</v>
      </c>
      <c r="AE13" s="10">
        <v>1380</v>
      </c>
      <c r="AF13" s="10"/>
      <c r="AG13" s="25">
        <f t="shared" ca="1" si="10"/>
        <v>9.9793103660863007</v>
      </c>
      <c r="AH13" s="25">
        <f t="shared" ca="1" si="11"/>
        <v>9.979310366086299</v>
      </c>
      <c r="AI13" s="131">
        <f t="shared" ca="1" si="12"/>
        <v>14.002037638813572</v>
      </c>
      <c r="AJ13" s="131">
        <f t="shared" ca="1" si="13"/>
        <v>14.002037638813572</v>
      </c>
      <c r="AK13" s="9">
        <f t="shared" ca="1" si="14"/>
        <v>3.392241387282362</v>
      </c>
      <c r="AL13" s="9">
        <f t="shared" ca="1" si="15"/>
        <v>7.7823103660862998</v>
      </c>
      <c r="AM13" s="9">
        <f t="shared" ca="1" si="16"/>
        <v>0.5188448292869039</v>
      </c>
      <c r="AN13" s="9">
        <f t="shared" ca="1" si="17"/>
        <v>0.50855172562604101</v>
      </c>
      <c r="AO13" s="22">
        <v>3</v>
      </c>
      <c r="AP13" s="22">
        <v>4</v>
      </c>
      <c r="AQ13" s="22">
        <v>2</v>
      </c>
      <c r="AR13" s="145">
        <f t="shared" si="24"/>
        <v>0.157</v>
      </c>
      <c r="AS13">
        <v>100010</v>
      </c>
    </row>
    <row r="14" spans="1:45" x14ac:dyDescent="0.25">
      <c r="A14" s="16" t="s">
        <v>37</v>
      </c>
      <c r="B14" s="16" t="s">
        <v>75</v>
      </c>
      <c r="C14" s="132">
        <f t="shared" ca="1" si="3"/>
        <v>-8.0357142857142863E-2</v>
      </c>
      <c r="D14" s="31" t="s">
        <v>241</v>
      </c>
      <c r="E14" s="18">
        <v>33</v>
      </c>
      <c r="F14" s="3">
        <f ca="1">-35+D2-D1-67-112-112-112+87-112-112-112-112</f>
        <v>9</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52070</v>
      </c>
      <c r="U14" s="32">
        <f t="shared" si="9"/>
        <v>-28060</v>
      </c>
      <c r="V14" s="32">
        <v>14196</v>
      </c>
      <c r="W14" s="9">
        <f t="shared" ref="W14" si="36">T14/V14</f>
        <v>3.6679346294730908</v>
      </c>
      <c r="X14" s="23">
        <v>0</v>
      </c>
      <c r="Y14" s="24">
        <f>1+1/27</f>
        <v>1.037037037037037</v>
      </c>
      <c r="Z14" s="23">
        <f>13+1/15*0.5+1/15*0.5+1/15*0.5+1/15*0.6+1/22/0.5</f>
        <v>13.230909090909091</v>
      </c>
      <c r="AA14" s="24">
        <f>14+1/15*79/90</f>
        <v>14.058518518518518</v>
      </c>
      <c r="AB14" s="23">
        <f>10+1/8+1/8+1/8+1/8+0.1+0.1*40/90+0.1*20/90+0.1+0.09+0.08</f>
        <v>10.936666666666666</v>
      </c>
      <c r="AC14" s="24">
        <v>2.95</v>
      </c>
      <c r="AD14" s="23">
        <f>10+1/3+1/3*80/90</f>
        <v>10.62962962962963</v>
      </c>
      <c r="AE14" s="10">
        <v>1501</v>
      </c>
      <c r="AF14" s="10"/>
      <c r="AG14" s="25">
        <f t="shared" ca="1" si="10"/>
        <v>10.563676034254726</v>
      </c>
      <c r="AH14" s="25">
        <f t="shared" ca="1" si="11"/>
        <v>11.810548852439483</v>
      </c>
      <c r="AI14" s="131">
        <f t="shared" ca="1" si="12"/>
        <v>11.774129529700708</v>
      </c>
      <c r="AJ14" s="131">
        <f t="shared" ca="1" si="13"/>
        <v>13.163877002149206</v>
      </c>
      <c r="AK14" s="9">
        <f t="shared" ca="1" si="14"/>
        <v>2.8295149030247417</v>
      </c>
      <c r="AL14" s="9">
        <f t="shared" ca="1" si="15"/>
        <v>10.67054096975663</v>
      </c>
      <c r="AM14" s="9">
        <f t="shared" ca="1" si="16"/>
        <v>0.6539729072101601</v>
      </c>
      <c r="AN14" s="9">
        <f t="shared" ca="1" si="17"/>
        <v>0.52450638640148273</v>
      </c>
      <c r="AO14" s="22">
        <v>3</v>
      </c>
      <c r="AP14" s="22">
        <v>2</v>
      </c>
      <c r="AQ14" s="22">
        <v>0</v>
      </c>
      <c r="AR14" s="145">
        <f t="shared" si="18"/>
        <v>0.11119999999999999</v>
      </c>
      <c r="AS14">
        <v>80130</v>
      </c>
    </row>
    <row r="15" spans="1:45" x14ac:dyDescent="0.25">
      <c r="A15" s="16" t="s">
        <v>43</v>
      </c>
      <c r="B15" s="16" t="s">
        <v>44</v>
      </c>
      <c r="C15" s="132">
        <f t="shared" ca="1" si="3"/>
        <v>2.7946428571428572</v>
      </c>
      <c r="D15" s="31" t="s">
        <v>188</v>
      </c>
      <c r="E15" s="18">
        <v>30</v>
      </c>
      <c r="F15" s="3">
        <f ca="1">-35+D2-D1-67-11-112-112-112-112-112-112</f>
        <v>23</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7.8</v>
      </c>
      <c r="P15" s="22">
        <f t="shared" ref="P15" si="39">O15*10+19</f>
        <v>97</v>
      </c>
      <c r="Q15" s="22">
        <v>6</v>
      </c>
      <c r="R15" s="126">
        <f t="shared" si="7"/>
        <v>0.92582009977255142</v>
      </c>
      <c r="S15" s="126">
        <f t="shared" si="8"/>
        <v>0.99928545900129484</v>
      </c>
      <c r="T15" s="32">
        <v>192430</v>
      </c>
      <c r="U15" s="32">
        <f t="shared" si="9"/>
        <v>6770</v>
      </c>
      <c r="V15" s="32">
        <v>30204</v>
      </c>
      <c r="W15" s="9">
        <f t="shared" ref="W15" si="40">T15/V15</f>
        <v>6.371010462190438</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f>14+1/4+1/4</f>
        <v>14.5</v>
      </c>
      <c r="AE15" s="10">
        <v>1756</v>
      </c>
      <c r="AF15" s="10"/>
      <c r="AG15" s="25">
        <f t="shared" ca="1" si="10"/>
        <v>16.471552952991392</v>
      </c>
      <c r="AH15" s="25">
        <f t="shared" ca="1" si="11"/>
        <v>17.791310598071913</v>
      </c>
      <c r="AI15" s="131">
        <f t="shared" ca="1" si="12"/>
        <v>15.144544143317399</v>
      </c>
      <c r="AJ15" s="131">
        <f t="shared" ca="1" si="13"/>
        <v>16.357977264738579</v>
      </c>
      <c r="AK15" s="9">
        <f t="shared" ca="1" si="14"/>
        <v>4.3737977130647288</v>
      </c>
      <c r="AL15" s="9">
        <f t="shared" ca="1" si="15"/>
        <v>14.873043931405245</v>
      </c>
      <c r="AM15" s="9">
        <f t="shared" ca="1" si="16"/>
        <v>1.0235937367346417</v>
      </c>
      <c r="AN15" s="9">
        <f t="shared" ca="1" si="17"/>
        <v>0.67539174186503392</v>
      </c>
      <c r="AO15" s="22">
        <v>1</v>
      </c>
      <c r="AP15" s="22">
        <v>3</v>
      </c>
      <c r="AQ15" s="22">
        <v>3</v>
      </c>
      <c r="AR15" s="145">
        <f t="shared" si="18"/>
        <v>0.1158</v>
      </c>
      <c r="AS15">
        <v>185660</v>
      </c>
    </row>
    <row r="16" spans="1:45" x14ac:dyDescent="0.25">
      <c r="A16" s="16" t="s">
        <v>36</v>
      </c>
      <c r="B16" s="16" t="s">
        <v>44</v>
      </c>
      <c r="C16" s="132">
        <f t="shared" ca="1" si="3"/>
        <v>3.2321428571428572</v>
      </c>
      <c r="D16" s="31" t="s">
        <v>73</v>
      </c>
      <c r="E16" s="18">
        <v>29</v>
      </c>
      <c r="F16" s="3">
        <f ca="1">62+D2-D1-112-112-112-112-112-112-112</f>
        <v>86</v>
      </c>
      <c r="G16" s="20" t="s">
        <v>74</v>
      </c>
      <c r="H16" s="43">
        <v>6</v>
      </c>
      <c r="I16" s="30">
        <v>8.4</v>
      </c>
      <c r="J16" s="24">
        <f t="shared" si="4"/>
        <v>1.2323723814158423</v>
      </c>
      <c r="K16" s="7">
        <f t="shared" si="37"/>
        <v>302.40000000000003</v>
      </c>
      <c r="L16" s="7">
        <f t="shared" si="38"/>
        <v>411.6</v>
      </c>
      <c r="M16" s="146">
        <v>42297</v>
      </c>
      <c r="N16" s="147">
        <f t="shared" ca="1" si="5"/>
        <v>1</v>
      </c>
      <c r="O16" s="21">
        <v>7.7</v>
      </c>
      <c r="P16" s="22">
        <f t="shared" ref="P16" si="41">O16*10+19</f>
        <v>96</v>
      </c>
      <c r="Q16" s="22">
        <v>5</v>
      </c>
      <c r="R16" s="126">
        <f t="shared" si="7"/>
        <v>0.84515425472851657</v>
      </c>
      <c r="S16" s="126">
        <f t="shared" si="8"/>
        <v>0.92504826128926143</v>
      </c>
      <c r="T16" s="32">
        <v>216260</v>
      </c>
      <c r="U16" s="32">
        <f t="shared" si="9"/>
        <v>-13780</v>
      </c>
      <c r="V16" s="32">
        <v>28090</v>
      </c>
      <c r="W16" s="9">
        <f t="shared" ref="W16:W18" si="42">T16/V16</f>
        <v>7.6988252046991814</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15+0.2+0.2+0.2</f>
        <v>15.599999999999998</v>
      </c>
      <c r="AE16" s="10">
        <v>1829</v>
      </c>
      <c r="AF16" s="10"/>
      <c r="AG16" s="25">
        <f t="shared" ca="1" si="10"/>
        <v>15.916259644785404</v>
      </c>
      <c r="AH16" s="25">
        <f t="shared" ca="1" si="11"/>
        <v>17.435388877116257</v>
      </c>
      <c r="AI16" s="131">
        <f t="shared" ca="1" si="12"/>
        <v>14.056920284382668</v>
      </c>
      <c r="AJ16" s="131">
        <f t="shared" ca="1" si="13"/>
        <v>15.398584657616643</v>
      </c>
      <c r="AK16" s="9">
        <f t="shared" ca="1" si="14"/>
        <v>3.9281602308091292</v>
      </c>
      <c r="AL16" s="9">
        <f t="shared" ca="1" si="15"/>
        <v>15.95437238141584</v>
      </c>
      <c r="AM16" s="9">
        <f t="shared" ca="1" si="16"/>
        <v>1.1135897905132672</v>
      </c>
      <c r="AN16" s="9">
        <f t="shared" ca="1" si="17"/>
        <v>0.71226606669910897</v>
      </c>
      <c r="AO16" s="22">
        <v>1</v>
      </c>
      <c r="AP16" s="22">
        <v>2</v>
      </c>
      <c r="AQ16" s="22">
        <v>1</v>
      </c>
      <c r="AR16" s="145">
        <f t="shared" si="18"/>
        <v>6.1499999999999999E-2</v>
      </c>
      <c r="AS16">
        <v>230040</v>
      </c>
    </row>
    <row r="17" spans="1:45" x14ac:dyDescent="0.25">
      <c r="A17" s="16" t="s">
        <v>40</v>
      </c>
      <c r="B17" s="26" t="s">
        <v>44</v>
      </c>
      <c r="C17" s="132">
        <f t="shared" ca="1" si="3"/>
        <v>2.7767857142857144</v>
      </c>
      <c r="D17" s="1" t="s">
        <v>72</v>
      </c>
      <c r="E17" s="2">
        <v>30</v>
      </c>
      <c r="F17" s="3">
        <f ca="1">1+D2-D1-112-112-112-112-112-112-112</f>
        <v>25</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7.5</v>
      </c>
      <c r="P17" s="22">
        <f t="shared" ref="P17:P18" si="43">O17*10+19</f>
        <v>94</v>
      </c>
      <c r="Q17" s="28">
        <v>6</v>
      </c>
      <c r="R17" s="126">
        <f t="shared" si="7"/>
        <v>0.92582009977255142</v>
      </c>
      <c r="S17" s="126">
        <f t="shared" si="8"/>
        <v>0.99928545900129484</v>
      </c>
      <c r="T17" s="32">
        <v>206090</v>
      </c>
      <c r="U17" s="32">
        <f t="shared" si="9"/>
        <v>1090</v>
      </c>
      <c r="V17" s="8">
        <v>30996</v>
      </c>
      <c r="W17" s="9">
        <f t="shared" si="42"/>
        <v>6.648922441605368</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f>15.7+0.2+0.2</f>
        <v>16.099999999999998</v>
      </c>
      <c r="AE17" s="10">
        <v>1881</v>
      </c>
      <c r="AF17" s="10"/>
      <c r="AG17" s="25">
        <f t="shared" ca="1" si="10"/>
        <v>17.980939838276221</v>
      </c>
      <c r="AH17" s="25">
        <f t="shared" ca="1" si="11"/>
        <v>19.421634767589993</v>
      </c>
      <c r="AI17" s="131">
        <f t="shared" ca="1" si="12"/>
        <v>15.481225568890332</v>
      </c>
      <c r="AJ17" s="131">
        <f t="shared" ca="1" si="13"/>
        <v>16.721634767589993</v>
      </c>
      <c r="AK17" s="9">
        <f t="shared" ca="1" si="14"/>
        <v>4.4782964753099224</v>
      </c>
      <c r="AL17" s="9">
        <f t="shared" ca="1" si="15"/>
        <v>16.321634767589991</v>
      </c>
      <c r="AM17" s="9">
        <f t="shared" ca="1" si="16"/>
        <v>1.1237307814071993</v>
      </c>
      <c r="AN17" s="9">
        <f t="shared" ca="1" si="17"/>
        <v>0.77351443373129958</v>
      </c>
      <c r="AO17" s="22">
        <v>2</v>
      </c>
      <c r="AP17" s="22">
        <v>2</v>
      </c>
      <c r="AQ17" s="22">
        <v>2</v>
      </c>
      <c r="AR17" s="145">
        <f t="shared" si="18"/>
        <v>6.1499999999999999E-2</v>
      </c>
      <c r="AS17">
        <v>205000</v>
      </c>
    </row>
    <row r="18" spans="1:45" x14ac:dyDescent="0.25">
      <c r="A18" s="16" t="s">
        <v>42</v>
      </c>
      <c r="B18" s="16" t="s">
        <v>44</v>
      </c>
      <c r="C18" s="132">
        <f t="shared" ca="1" si="3"/>
        <v>3.2678571428571428</v>
      </c>
      <c r="D18" s="1" t="s">
        <v>50</v>
      </c>
      <c r="E18" s="2">
        <v>29</v>
      </c>
      <c r="F18" s="3">
        <f ca="1">58++D2-D1-112-112-112-112-112-112-112</f>
        <v>82</v>
      </c>
      <c r="G18" s="4" t="s">
        <v>45</v>
      </c>
      <c r="H18" s="5">
        <v>1</v>
      </c>
      <c r="I18" s="6">
        <v>9.5</v>
      </c>
      <c r="J18" s="24">
        <f t="shared" si="4"/>
        <v>1.3036314737184636</v>
      </c>
      <c r="K18" s="7">
        <f t="shared" si="37"/>
        <v>9.5</v>
      </c>
      <c r="L18" s="7">
        <f t="shared" si="38"/>
        <v>38</v>
      </c>
      <c r="M18" s="146">
        <v>42267</v>
      </c>
      <c r="N18" s="147">
        <f t="shared" ca="1" si="5"/>
        <v>1</v>
      </c>
      <c r="O18" s="27">
        <v>7.8</v>
      </c>
      <c r="P18" s="22">
        <f t="shared" si="43"/>
        <v>97</v>
      </c>
      <c r="Q18" s="28">
        <v>6</v>
      </c>
      <c r="R18" s="126">
        <f t="shared" si="7"/>
        <v>0.92582009977255142</v>
      </c>
      <c r="S18" s="126">
        <f t="shared" si="8"/>
        <v>0.99928545900129484</v>
      </c>
      <c r="T18" s="32">
        <v>257210</v>
      </c>
      <c r="U18" s="32">
        <f t="shared" si="9"/>
        <v>2540</v>
      </c>
      <c r="V18" s="8">
        <v>31320</v>
      </c>
      <c r="W18" s="9">
        <f t="shared" si="42"/>
        <v>8.2123243933588768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14+0.25+0.25+0.25+0.25+0.2</f>
        <v>15.2</v>
      </c>
      <c r="AE18" s="10">
        <v>1804</v>
      </c>
      <c r="AF18" s="10"/>
      <c r="AG18" s="25">
        <f t="shared" ca="1" si="10"/>
        <v>17.131033937152552</v>
      </c>
      <c r="AH18" s="25">
        <f t="shared" ca="1" si="11"/>
        <v>18.503631473718464</v>
      </c>
      <c r="AI18" s="131">
        <f t="shared" ca="1" si="12"/>
        <v>14.631319667766659</v>
      </c>
      <c r="AJ18" s="131">
        <f t="shared" ca="1" si="13"/>
        <v>15.803631473718461</v>
      </c>
      <c r="AK18" s="9">
        <f t="shared" ca="1" si="14"/>
        <v>4.3575806558629795</v>
      </c>
      <c r="AL18" s="9">
        <f t="shared" ca="1" si="15"/>
        <v>15.972231473718464</v>
      </c>
      <c r="AM18" s="9">
        <f t="shared" ca="1" si="16"/>
        <v>1.1450571845641437</v>
      </c>
      <c r="AN18" s="9">
        <f t="shared" ca="1" si="17"/>
        <v>0.69879266469875401</v>
      </c>
      <c r="AO18" s="22">
        <v>1</v>
      </c>
      <c r="AP18" s="22">
        <v>1</v>
      </c>
      <c r="AQ18" s="22">
        <v>2</v>
      </c>
      <c r="AR18" s="145">
        <f t="shared" si="18"/>
        <v>4.9399999999999999E-2</v>
      </c>
      <c r="AS18">
        <v>254670</v>
      </c>
    </row>
    <row r="19" spans="1:45" x14ac:dyDescent="0.25">
      <c r="A19" s="16" t="s">
        <v>399</v>
      </c>
      <c r="B19" s="16" t="s">
        <v>75</v>
      </c>
      <c r="C19" s="132">
        <f ca="1">((33*112)-(E19*112)-(F19))/112</f>
        <v>15.678571428571429</v>
      </c>
      <c r="D19" s="31" t="s">
        <v>400</v>
      </c>
      <c r="E19" s="18">
        <v>17</v>
      </c>
      <c r="F19" s="19">
        <f ca="1">8-159+16-570-5+D2-D1-62</f>
        <v>36</v>
      </c>
      <c r="G19" s="20" t="s">
        <v>45</v>
      </c>
      <c r="H19" s="5">
        <v>1</v>
      </c>
      <c r="I19" s="30">
        <v>1</v>
      </c>
      <c r="J19" s="24">
        <f>LOG(I19)*4/3</f>
        <v>0</v>
      </c>
      <c r="K19" s="7">
        <f>(H19)*(H19)*(I19)</f>
        <v>1</v>
      </c>
      <c r="L19" s="7">
        <f>(H19+1)*(H19+1)*I19</f>
        <v>4</v>
      </c>
      <c r="M19" s="146">
        <v>43046</v>
      </c>
      <c r="N19" s="147">
        <v>1.5</v>
      </c>
      <c r="O19" s="21">
        <v>6</v>
      </c>
      <c r="P19" s="22">
        <f>O19*10+19</f>
        <v>79</v>
      </c>
      <c r="Q19" s="22">
        <v>6</v>
      </c>
      <c r="R19" s="126">
        <f>(Q19/7)^0.5</f>
        <v>0.92582009977255142</v>
      </c>
      <c r="S19" s="126">
        <f>IF(Q19=7,1,((Q19+0.99)/7)^0.5)</f>
        <v>0.99928545900129484</v>
      </c>
      <c r="T19" s="32">
        <v>1940</v>
      </c>
      <c r="U19" s="32">
        <f t="shared" ref="U19" si="44">T19-AS19</f>
        <v>120</v>
      </c>
      <c r="V19" s="32">
        <v>350</v>
      </c>
      <c r="W19" s="9">
        <f>T19/V19</f>
        <v>5.5428571428571427</v>
      </c>
      <c r="X19" s="23">
        <v>0</v>
      </c>
      <c r="Y19" s="24">
        <v>2</v>
      </c>
      <c r="Z19" s="23">
        <v>5.7</v>
      </c>
      <c r="AA19" s="24">
        <v>5.5</v>
      </c>
      <c r="AB19" s="23">
        <f>4.75+0.25+0.25</f>
        <v>5.25</v>
      </c>
      <c r="AC19" s="24">
        <v>3</v>
      </c>
      <c r="AD19" s="23">
        <v>4</v>
      </c>
      <c r="AE19" s="10">
        <v>414</v>
      </c>
      <c r="AF19" s="10">
        <v>2013</v>
      </c>
      <c r="AG19" s="25">
        <f t="shared" ref="AG19" si="45">(AD19+1+(LOG(I19)*4/3)+N19)*(Q19/7)^0.5</f>
        <v>6.017830648521584</v>
      </c>
      <c r="AH19" s="25">
        <f t="shared" ref="AH19" si="46">(AD19+1+N19+(LOG(I19)*4/3))*(IF(Q19=7, (Q19/7)^0.5, ((Q19+1)/7)^0.5))</f>
        <v>6.5</v>
      </c>
      <c r="AI19" s="131">
        <f t="shared" ref="AI19" si="47">(Z19+N19+(LOG(I19)*4/3))*(Q19/7)^0.5</f>
        <v>6.6659047183623708</v>
      </c>
      <c r="AJ19" s="131">
        <f t="shared" ref="AJ19" si="48">(Z19+N19+(LOG(I19)*4/3))*(IF(Q19=7, (Q19/7)^0.5, ((Q19+1)/7)^0.5))</f>
        <v>7.2</v>
      </c>
      <c r="AK19" s="9">
        <f t="shared" ref="AK19" si="49">(((Y19+LOG(I19)*4/3+N19)+(AB19+LOG(I19)*4/3+N19)*2)/8)*(Q19/7)^0.5</f>
        <v>1.9673677120166717</v>
      </c>
      <c r="AL19" s="9">
        <f t="shared" ref="AL19" si="50">(AD19+LOG(I19)*4/3+N19)*0.7+(AC19+LOG(I19)*4/3+N19)*0.3</f>
        <v>5.1999999999999993</v>
      </c>
      <c r="AM19" s="9">
        <f t="shared" ref="AM19" si="51">(0.5*(AC19+LOG(I19)*4/3+N19)+ 0.3*(AD19+LOG(I19)*4/3+N19))/10</f>
        <v>0.39</v>
      </c>
      <c r="AN19" s="9">
        <f t="shared" ref="AN19" si="52">(0.4*(Y19+LOG(I19)*4/3+N19)+0.3*(AD19+LOG(I19)*4/3+N19))/10</f>
        <v>0.30499999999999999</v>
      </c>
      <c r="AO19" s="22">
        <v>4</v>
      </c>
      <c r="AP19" s="22">
        <v>3</v>
      </c>
      <c r="AQ19" s="22">
        <v>2</v>
      </c>
      <c r="AR19" s="145">
        <f t="shared" si="18"/>
        <v>0.1158</v>
      </c>
      <c r="AS19">
        <v>1820</v>
      </c>
    </row>
    <row r="20" spans="1:45" x14ac:dyDescent="0.25">
      <c r="A20" s="16" t="s">
        <v>418</v>
      </c>
      <c r="B20" s="16" t="s">
        <v>75</v>
      </c>
      <c r="C20" s="132">
        <f ca="1">((33*112)-(E20*112)-(F20))/112</f>
        <v>15.642857142857142</v>
      </c>
      <c r="D20" s="31" t="s">
        <v>419</v>
      </c>
      <c r="E20" s="18">
        <v>17</v>
      </c>
      <c r="F20" s="3">
        <f ca="1">8-159+16-570-5+D2-D1-2-31-25</f>
        <v>40</v>
      </c>
      <c r="G20" s="20" t="s">
        <v>402</v>
      </c>
      <c r="H20" s="43">
        <v>6</v>
      </c>
      <c r="I20" s="30">
        <v>1</v>
      </c>
      <c r="J20" s="24">
        <f>LOG(I20)*4/3</f>
        <v>0</v>
      </c>
      <c r="K20" s="7">
        <f>(H20)*(H20)*(I20)</f>
        <v>36</v>
      </c>
      <c r="L20" s="7">
        <f>(H20+1)*(H20+1)*I20</f>
        <v>49</v>
      </c>
      <c r="M20" s="146">
        <v>43051</v>
      </c>
      <c r="N20" s="147">
        <f ca="1">IF((TODAY()-M20)&gt;335,1,((TODAY()-M20)^0.64)/(336^0.64))</f>
        <v>0.1895939470598198</v>
      </c>
      <c r="O20" s="21">
        <v>5.6</v>
      </c>
      <c r="P20" s="22">
        <f>O20*10+19</f>
        <v>75</v>
      </c>
      <c r="Q20" s="28">
        <v>6</v>
      </c>
      <c r="R20" s="126">
        <f>(Q20/7)^0.5</f>
        <v>0.92582009977255142</v>
      </c>
      <c r="S20" s="126">
        <f>IF(Q20=7,1,((Q20+0.99)/7)^0.5)</f>
        <v>0.99928545900129484</v>
      </c>
      <c r="T20" s="32">
        <v>1590</v>
      </c>
      <c r="U20" s="32">
        <f>T20-AS20</f>
        <v>150</v>
      </c>
      <c r="V20" s="32">
        <v>330</v>
      </c>
      <c r="W20" s="9">
        <f>T20/V20</f>
        <v>4.8181818181818183</v>
      </c>
      <c r="X20" s="23">
        <v>0</v>
      </c>
      <c r="Y20" s="24">
        <v>6</v>
      </c>
      <c r="Z20" s="23">
        <v>3</v>
      </c>
      <c r="AA20" s="24">
        <v>3</v>
      </c>
      <c r="AB20" s="23">
        <f>5+0.2</f>
        <v>5.2</v>
      </c>
      <c r="AC20" s="24">
        <v>2</v>
      </c>
      <c r="AD20" s="23">
        <v>2</v>
      </c>
      <c r="AE20" s="10">
        <v>420</v>
      </c>
      <c r="AF20" s="10">
        <v>2013</v>
      </c>
      <c r="AG20" s="25">
        <f t="shared" ref="AG20:AG21" ca="1" si="53">(AD20+1+(LOG(I20)*4/3)+N20)*(Q20/7)^0.5</f>
        <v>2.9529901863008483</v>
      </c>
      <c r="AH20" s="25">
        <f t="shared" ref="AH20:AH21" ca="1" si="54">(AD20+1+N20+(LOG(I20)*4/3))*(IF(Q20=7, (Q20/7)^0.5, ((Q20+1)/7)^0.5))</f>
        <v>3.1895939470598198</v>
      </c>
      <c r="AI20" s="131">
        <f t="shared" ref="AI20" ca="1" si="55">(Z20+N20+(LOG(I20)*4/3))*(Q20/7)^0.5</f>
        <v>2.9529901863008483</v>
      </c>
      <c r="AJ20" s="131">
        <f t="shared" ref="AJ20" ca="1" si="56">(Z20+N20+(LOG(I20)*4/3))*(IF(Q20=7, (Q20/7)^0.5, ((Q20+1)/7)^0.5))</f>
        <v>3.1895939470598198</v>
      </c>
      <c r="AK20" s="9">
        <f t="shared" ref="AK20" ca="1" si="57">(((Y20+LOG(I20)*4/3+N20)+(AB20+LOG(I20)*4/3+N20)*2)/8)*(Q20/7)^0.5</f>
        <v>1.9637549121524283</v>
      </c>
      <c r="AL20" s="9">
        <f t="shared" ref="AL20:AL21" ca="1" si="58">(AD20+LOG(I20)*4/3+N20)*0.7+(AC20+LOG(I20)*4/3+N20)*0.3</f>
        <v>2.1895939470598198</v>
      </c>
      <c r="AM20" s="9">
        <f t="shared" ref="AM20:AM21" ca="1" si="59">(0.5*(AC20+LOG(I20)*4/3+N20)+ 0.3*(AD20+LOG(I20)*4/3+N20))/10</f>
        <v>0.17516751576478556</v>
      </c>
      <c r="AN20" s="9">
        <f t="shared" ref="AN20:AN21" ca="1" si="60">(0.4*(Y20+LOG(I20)*4/3+N20)+0.3*(AD20+LOG(I20)*4/3+N20))/10</f>
        <v>0.31327157629418739</v>
      </c>
      <c r="AO20" s="22">
        <v>2</v>
      </c>
      <c r="AP20" s="22">
        <v>2</v>
      </c>
      <c r="AQ20" s="22">
        <v>1</v>
      </c>
      <c r="AR20" s="145">
        <f>IF(AP20=4,IF(AQ20=0,0.137+0.0697,0.137+0.02),IF(AP20=3,IF(AQ20=0,0.0958+0.0697,0.0958+0.02),IF(AP20=2,IF(AQ20=0,0.0415+0.0697,0.0415+0.02),IF(AP20=1,IF(AQ20=0,0.0294+0.0697,0.0294+0.02),IF(AP20=0,IF(AQ20=0,0.0063+0.0697,0.0063+0.02))))))</f>
        <v>6.1499999999999999E-2</v>
      </c>
      <c r="AS20">
        <v>1440</v>
      </c>
    </row>
    <row r="21" spans="1:45" x14ac:dyDescent="0.25">
      <c r="A21" s="16" t="s">
        <v>426</v>
      </c>
      <c r="B21" s="16" t="s">
        <v>75</v>
      </c>
      <c r="C21" s="132">
        <f ca="1">((33*112)-(E21*112)-(F21))/112</f>
        <v>15.678571428571429</v>
      </c>
      <c r="D21" s="31" t="s">
        <v>427</v>
      </c>
      <c r="E21" s="18">
        <v>17</v>
      </c>
      <c r="F21" s="3">
        <f ca="1">8-159+16-570-5+D2-D1-2-31-25-4</f>
        <v>36</v>
      </c>
      <c r="G21" s="20" t="s">
        <v>402</v>
      </c>
      <c r="H21" s="43">
        <v>6</v>
      </c>
      <c r="I21" s="30">
        <v>0.5</v>
      </c>
      <c r="J21" s="24">
        <f>LOG(I21)*4/3</f>
        <v>-0.40137332755197491</v>
      </c>
      <c r="K21" s="7">
        <f>(H21)*(H21)*(I21)</f>
        <v>18</v>
      </c>
      <c r="L21" s="7">
        <f>(H21+1)*(H21+1)*I21</f>
        <v>24.5</v>
      </c>
      <c r="M21" s="146">
        <v>43054</v>
      </c>
      <c r="N21" s="147">
        <f ca="1">IF((TODAY()-M21)&gt;335,1,((TODAY()-M21)^0.64)/(336^0.64))</f>
        <v>0.17470019035584383</v>
      </c>
      <c r="O21" s="21">
        <v>5.3</v>
      </c>
      <c r="P21" s="22">
        <f>O21*10+19</f>
        <v>72</v>
      </c>
      <c r="Q21" s="28">
        <v>5</v>
      </c>
      <c r="R21" s="126">
        <f>(Q21/7)^0.5</f>
        <v>0.84515425472851657</v>
      </c>
      <c r="S21" s="126">
        <f>IF(Q21=7,1,((Q21+0.99)/7)^0.5)</f>
        <v>0.92504826128926143</v>
      </c>
      <c r="T21" s="32">
        <v>850</v>
      </c>
      <c r="U21" s="32">
        <f>T21-AS21</f>
        <v>140</v>
      </c>
      <c r="V21" s="32">
        <v>290</v>
      </c>
      <c r="W21" s="9">
        <f>T21/V21</f>
        <v>2.9310344827586206</v>
      </c>
      <c r="X21" s="23">
        <v>0</v>
      </c>
      <c r="Y21" s="24">
        <v>3</v>
      </c>
      <c r="Z21" s="23">
        <v>5</v>
      </c>
      <c r="AA21" s="24">
        <v>4</v>
      </c>
      <c r="AB21" s="23">
        <v>4</v>
      </c>
      <c r="AC21" s="24">
        <v>3</v>
      </c>
      <c r="AD21" s="23">
        <v>2</v>
      </c>
      <c r="AE21" s="10">
        <v>380</v>
      </c>
      <c r="AF21" s="10">
        <v>1979</v>
      </c>
      <c r="AG21" s="25">
        <f t="shared" ca="1" si="53"/>
        <v>2.3438889978515789</v>
      </c>
      <c r="AH21" s="25">
        <f t="shared" ca="1" si="54"/>
        <v>2.5676017528229749</v>
      </c>
      <c r="AI21" s="131">
        <f t="shared" ref="AI21" ca="1" si="61">(Z21+N21+(LOG(I21)*4/3))*(Q21/7)^0.5</f>
        <v>4.0341975073086118</v>
      </c>
      <c r="AJ21" s="131">
        <f t="shared" ref="AJ21" ca="1" si="62">(Z21+N21+(LOG(I21)*4/3))*(IF(Q21=7, (Q21/7)^0.5, ((Q21+1)/7)^0.5))</f>
        <v>4.4192419523680773</v>
      </c>
      <c r="AK21" s="9">
        <f t="shared" ref="AK21" ca="1" si="63">(((Y21+LOG(I21)*4/3+N21)+(AB21+LOG(I21)*4/3+N21)*2)/8)*(Q21/7)^0.5</f>
        <v>1.0902469378764712</v>
      </c>
      <c r="AL21" s="9">
        <f t="shared" ca="1" si="58"/>
        <v>2.073326862803869</v>
      </c>
      <c r="AM21" s="9">
        <f t="shared" ca="1" si="59"/>
        <v>0.19186614902430951</v>
      </c>
      <c r="AN21" s="9">
        <f t="shared" ca="1" si="60"/>
        <v>0.16413288039627086</v>
      </c>
      <c r="AO21" s="22">
        <v>2</v>
      </c>
      <c r="AP21" s="22">
        <v>2</v>
      </c>
      <c r="AQ21" s="22">
        <v>1</v>
      </c>
      <c r="AR21" s="145">
        <f>IF(AP21=4,IF(AQ21=0,0.137+0.0697,0.137+0.02),IF(AP21=3,IF(AQ21=0,0.0958+0.0697,0.0958+0.02),IF(AP21=2,IF(AQ21=0,0.0415+0.0697,0.0415+0.02),IF(AP21=1,IF(AQ21=0,0.0294+0.0697,0.0294+0.02),IF(AP21=0,IF(AQ21=0,0.0063+0.0697,0.0063+0.02))))))</f>
        <v>6.1499999999999999E-2</v>
      </c>
      <c r="AS21" s="241">
        <v>710</v>
      </c>
    </row>
    <row r="22" spans="1:45" x14ac:dyDescent="0.25">
      <c r="A22" s="16" t="s">
        <v>404</v>
      </c>
      <c r="B22" s="16" t="s">
        <v>99</v>
      </c>
      <c r="C22" s="132">
        <f ca="1">((33*112)-(E22*112)-(F22))/112</f>
        <v>15.3125</v>
      </c>
      <c r="D22" s="31" t="s">
        <v>401</v>
      </c>
      <c r="E22" s="18">
        <v>17</v>
      </c>
      <c r="F22" s="19">
        <f ca="1">8-159+16-570-5+D2-D1-2-19</f>
        <v>77</v>
      </c>
      <c r="G22" s="20" t="s">
        <v>402</v>
      </c>
      <c r="H22" s="5">
        <v>3</v>
      </c>
      <c r="I22" s="30">
        <v>0.5</v>
      </c>
      <c r="J22" s="24">
        <f>LOG(I22)*4/3</f>
        <v>-0.40137332755197491</v>
      </c>
      <c r="K22" s="7">
        <f>(H22)*(H22)*(I22)</f>
        <v>4.5</v>
      </c>
      <c r="L22" s="7">
        <f>(H22+1)*(H22+1)*I22</f>
        <v>8</v>
      </c>
      <c r="M22" s="146">
        <v>43045</v>
      </c>
      <c r="N22" s="147">
        <f ca="1">IF((TODAY()-M22)&gt;335,1,((TODAY()-M22)^0.64)/(336^0.64))</f>
        <v>0.2175776824553268</v>
      </c>
      <c r="O22" s="21">
        <v>6.2</v>
      </c>
      <c r="P22" s="22">
        <f>O22*10+19</f>
        <v>81</v>
      </c>
      <c r="Q22" s="22">
        <v>6</v>
      </c>
      <c r="R22" s="126">
        <f>(Q22/7)^0.5</f>
        <v>0.92582009977255142</v>
      </c>
      <c r="S22" s="126">
        <f>IF(Q22=7,1,((Q22+0.99)/7)^0.5)</f>
        <v>0.99928545900129484</v>
      </c>
      <c r="T22" s="32">
        <v>1230</v>
      </c>
      <c r="U22" s="32">
        <f>T22-AS22</f>
        <v>120</v>
      </c>
      <c r="V22" s="32">
        <v>370</v>
      </c>
      <c r="W22" s="9">
        <f>T22/V22</f>
        <v>3.3243243243243241</v>
      </c>
      <c r="X22" s="23">
        <v>0</v>
      </c>
      <c r="Y22" s="24">
        <v>3</v>
      </c>
      <c r="Z22" s="23">
        <v>6</v>
      </c>
      <c r="AA22" s="24">
        <v>3</v>
      </c>
      <c r="AB22" s="23">
        <f>3+0.25+0.25</f>
        <v>3.5</v>
      </c>
      <c r="AC22" s="24">
        <v>4</v>
      </c>
      <c r="AD22" s="23">
        <v>2</v>
      </c>
      <c r="AE22" s="10">
        <v>402</v>
      </c>
      <c r="AF22" s="10">
        <v>1942</v>
      </c>
      <c r="AG22" s="25">
        <f ca="1">(AD22+1+(LOG(I22)*4/3)+N22)*(Q22/7)^0.5</f>
        <v>2.607298596836515</v>
      </c>
      <c r="AH22" s="25">
        <f ca="1">(AD22+1+N22+(LOG(I22)*4/3))*(IF(Q22=7, (Q22/7)^0.5, ((Q22+1)/7)^0.5))</f>
        <v>2.816204354903352</v>
      </c>
      <c r="AI22" s="131">
        <f ca="1">(Z22+N22+(LOG(I22)*4/3))*(Q22/7)^0.5</f>
        <v>5.3847588961541684</v>
      </c>
      <c r="AJ22" s="131">
        <f ca="1">(Z22+N22+(LOG(I22)*4/3))*(IF(Q22=7, (Q22/7)^0.5, ((Q22+1)/7)^0.5))</f>
        <v>5.8162043549033511</v>
      </c>
      <c r="AK22" s="9">
        <f ca="1">(((Y22+LOG(I22)*4/3+N22)+(AB22+LOG(I22)*4/3+N22)*2)/8)*(Q22/7)^0.5</f>
        <v>1.093464486285262</v>
      </c>
      <c r="AL22" s="9">
        <f ca="1">(AD22+LOG(I22)*4/3+N22)*0.7+(AC22+LOG(I22)*4/3+N22)*0.3</f>
        <v>2.4162043549033516</v>
      </c>
      <c r="AM22" s="9">
        <f ca="1">(0.5*(AC22+LOG(I22)*4/3+N22)+ 0.3*(AD22+LOG(I22)*4/3+N22))/10</f>
        <v>0.24529634839226816</v>
      </c>
      <c r="AN22" s="9">
        <f ca="1">(0.4*(Y22+LOG(I22)*4/3+N22)+0.3*(AD22+LOG(I22)*4/3+N22))/10</f>
        <v>0.16713430484323463</v>
      </c>
      <c r="AO22" s="22">
        <v>2</v>
      </c>
      <c r="AP22" s="22">
        <v>3</v>
      </c>
      <c r="AQ22" s="22">
        <v>2</v>
      </c>
      <c r="AR22" s="145">
        <f>IF(AP22=4,IF(AQ22=0,0.137+0.0697,0.137+0.02),IF(AP22=3,IF(AQ22=0,0.0958+0.0697,0.0958+0.02),IF(AP22=2,IF(AQ22=0,0.0415+0.0697,0.0415+0.02),IF(AP22=1,IF(AQ22=0,0.0294+0.0697,0.0294+0.02),IF(AP22=0,IF(AQ22=0,0.0063+0.0697,0.0063+0.02))))))</f>
        <v>0.1158</v>
      </c>
      <c r="AS22">
        <v>1110</v>
      </c>
    </row>
    <row r="23" spans="1:45" x14ac:dyDescent="0.25">
      <c r="A23" s="16" t="s">
        <v>405</v>
      </c>
      <c r="B23" s="26" t="s">
        <v>44</v>
      </c>
      <c r="C23" s="132">
        <f ca="1">((33*112)-(E23*112)-(F23))/112</f>
        <v>15.696428571428571</v>
      </c>
      <c r="D23" s="1" t="s">
        <v>406</v>
      </c>
      <c r="E23" s="2">
        <v>17</v>
      </c>
      <c r="F23" s="3">
        <f ca="1">8-159+16-570-5+D2-D1-2-62</f>
        <v>34</v>
      </c>
      <c r="G23" s="4" t="s">
        <v>0</v>
      </c>
      <c r="H23" s="5">
        <v>4</v>
      </c>
      <c r="I23" s="6">
        <v>1</v>
      </c>
      <c r="J23" s="24">
        <f>LOG(I23)*4/3</f>
        <v>0</v>
      </c>
      <c r="K23" s="7">
        <f>(H23)*(H23)*(I23)</f>
        <v>16</v>
      </c>
      <c r="L23" s="7">
        <f>(H23+1)*(H23+1)*I23</f>
        <v>25</v>
      </c>
      <c r="M23" s="146">
        <v>43045</v>
      </c>
      <c r="N23" s="147">
        <f ca="1">IF((TODAY()-M23)&gt;335,1,((TODAY()-M23)^0.64)/(336^0.64))</f>
        <v>0.2175776824553268</v>
      </c>
      <c r="O23" s="27">
        <v>6</v>
      </c>
      <c r="P23" s="22">
        <f>O23*10+19</f>
        <v>79</v>
      </c>
      <c r="Q23" s="28">
        <v>5</v>
      </c>
      <c r="R23" s="126">
        <f>(Q23/7)^0.5</f>
        <v>0.84515425472851657</v>
      </c>
      <c r="S23" s="126">
        <f>IF(Q23=7,1,((Q23+0.99)/7)^0.5)</f>
        <v>0.92504826128926143</v>
      </c>
      <c r="T23" s="32">
        <v>840</v>
      </c>
      <c r="U23" s="32">
        <f>T23-AS23</f>
        <v>20</v>
      </c>
      <c r="V23" s="8">
        <v>310</v>
      </c>
      <c r="W23" s="9">
        <f>T23/V23</f>
        <v>2.7096774193548385</v>
      </c>
      <c r="X23" s="23">
        <v>1</v>
      </c>
      <c r="Y23" s="24">
        <v>4</v>
      </c>
      <c r="Z23" s="23">
        <v>2</v>
      </c>
      <c r="AA23" s="24">
        <v>3</v>
      </c>
      <c r="AB23" s="23">
        <f>3.75+0.25+0.25</f>
        <v>4.25</v>
      </c>
      <c r="AC23" s="24">
        <v>5</v>
      </c>
      <c r="AD23" s="23">
        <v>5</v>
      </c>
      <c r="AE23" s="10">
        <v>400</v>
      </c>
      <c r="AF23" s="10">
        <v>2001</v>
      </c>
      <c r="AG23" s="25">
        <f ca="1">(AD23+1+(LOG(I23)*4/3)+N23)*(Q23/7)^0.5</f>
        <v>5.2548122324321884</v>
      </c>
      <c r="AH23" s="25">
        <f ca="1">(AD23+1+N23+(LOG(I23)*4/3))*(IF(Q23=7, (Q23/7)^0.5, ((Q23+1)/7)^0.5))</f>
        <v>5.7563583903143796</v>
      </c>
      <c r="AI23" s="131">
        <f ca="1">(Z23+N23+(LOG(I23)*4/3))*(Q23/7)^0.5</f>
        <v>1.8741952135181228</v>
      </c>
      <c r="AJ23" s="131">
        <f ca="1">(Z23+N23+(LOG(I23)*4/3))*(IF(Q23=7, (Q23/7)^0.5, ((Q23+1)/7)^0.5))</f>
        <v>2.0530779912241739</v>
      </c>
      <c r="AK23" s="9">
        <f ca="1">(((Y23+LOG(I23)*4/3+N23)+(AB23+LOG(I23)*4/3+N23)*2)/8)*(Q23/7)^0.5</f>
        <v>1.3895110370362156</v>
      </c>
      <c r="AL23" s="9">
        <f ca="1">(AD23+LOG(I23)*4/3+N23)*0.7+(AC23+LOG(I23)*4/3+N23)*0.3</f>
        <v>5.2175776824553264</v>
      </c>
      <c r="AM23" s="9">
        <f ca="1">(0.5*(AC23+LOG(I23)*4/3+N23)+ 0.3*(AD23+LOG(I23)*4/3+N23))/10</f>
        <v>0.41740621459642613</v>
      </c>
      <c r="AN23" s="9">
        <f ca="1">(0.4*(Y23+LOG(I23)*4/3+N23)+0.3*(AD23+LOG(I23)*4/3+N23))/10</f>
        <v>0.32523043777187288</v>
      </c>
      <c r="AO23" s="22">
        <v>1</v>
      </c>
      <c r="AP23" s="22">
        <v>1</v>
      </c>
      <c r="AQ23" s="22">
        <v>2</v>
      </c>
      <c r="AR23" s="145">
        <f>IF(AP23=4,IF(AQ23=0,0.137+0.0697,0.137+0.02),IF(AP23=3,IF(AQ23=0,0.0958+0.0697,0.0958+0.02),IF(AP23=2,IF(AQ23=0,0.0415+0.0697,0.0415+0.02),IF(AP23=1,IF(AQ23=0,0.0294+0.0697,0.0294+0.02),IF(AP23=0,IF(AQ23=0,0.0063+0.0697,0.0063+0.02))))))</f>
        <v>4.9399999999999999E-2</v>
      </c>
      <c r="AS23">
        <v>820</v>
      </c>
    </row>
    <row r="24" spans="1:45" x14ac:dyDescent="0.25">
      <c r="A24" s="16" t="s">
        <v>408</v>
      </c>
      <c r="B24" s="16" t="s">
        <v>30</v>
      </c>
      <c r="C24" s="132">
        <f t="shared" ref="C24" ca="1" si="64">((33*112)-(E24*112)-(F24))/112</f>
        <v>15.678571428571429</v>
      </c>
      <c r="D24" s="1" t="s">
        <v>407</v>
      </c>
      <c r="E24" s="2">
        <v>17</v>
      </c>
      <c r="F24" s="3">
        <f ca="1">8-159+16-570-5+D2-D1-2-60</f>
        <v>36</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0.2175776824553268</v>
      </c>
      <c r="O24" s="27">
        <v>6</v>
      </c>
      <c r="P24" s="22">
        <f t="shared" ref="P24" si="69">O24*10+19</f>
        <v>79</v>
      </c>
      <c r="Q24" s="28">
        <v>5</v>
      </c>
      <c r="R24" s="126">
        <f t="shared" ref="R24" si="70">(Q24/7)^0.5</f>
        <v>0.84515425472851657</v>
      </c>
      <c r="S24" s="126">
        <f t="shared" ref="S24" si="71">IF(Q24=7,1,((Q24+0.99)/7)^0.5)</f>
        <v>0.92504826128926143</v>
      </c>
      <c r="T24" s="32">
        <v>960</v>
      </c>
      <c r="U24" s="32">
        <f>T24-AS24</f>
        <v>30</v>
      </c>
      <c r="V24" s="8">
        <v>330</v>
      </c>
      <c r="W24" s="9">
        <f t="shared" ref="W24" si="72">T24/V24</f>
        <v>2.9090909090909092</v>
      </c>
      <c r="X24" s="23">
        <v>0</v>
      </c>
      <c r="Y24" s="24">
        <v>5</v>
      </c>
      <c r="Z24" s="23">
        <v>3</v>
      </c>
      <c r="AA24" s="24">
        <v>4</v>
      </c>
      <c r="AB24" s="23">
        <f>2+(0.33*0.16)+0.33</f>
        <v>2.3828</v>
      </c>
      <c r="AC24" s="24">
        <v>3</v>
      </c>
      <c r="AD24" s="23">
        <v>2</v>
      </c>
      <c r="AE24" s="10">
        <v>348</v>
      </c>
      <c r="AF24" s="10">
        <v>1947</v>
      </c>
      <c r="AG24" s="25">
        <f ca="1">(AD24+1+(LOG(I24)*4/3)+N24)*(Q24/7)^0.5</f>
        <v>2.7193494682466395</v>
      </c>
      <c r="AH24" s="25">
        <f ca="1">(AD24+1+N24+(LOG(I24)*4/3))*(IF(Q24=7, (Q24/7)^0.5, ((Q24+1)/7)^0.5))</f>
        <v>2.9788980909967253</v>
      </c>
      <c r="AI24" s="131">
        <f ca="1">(Z24+N24+(LOG(I24)*4/3))*(Q24/7)^0.5</f>
        <v>2.7193494682466395</v>
      </c>
      <c r="AJ24" s="131">
        <f ca="1">(Z24+N24+(LOG(I24)*4/3))*(IF(Q24=7, (Q24/7)^0.5, ((Q24+1)/7)^0.5))</f>
        <v>2.9788980909967253</v>
      </c>
      <c r="AK24" s="9">
        <f ca="1">(((Y24+LOG(I24)*4/3+N24)+(AB24+LOG(I24)*4/3+N24)*2)/8)*(Q24/7)^0.5</f>
        <v>1.1006373127700086</v>
      </c>
      <c r="AL24" s="9">
        <f ca="1">(AD24+LOG(I24)*4/3+N24)*0.7+(AC24+LOG(I24)*4/3+N24)*0.3</f>
        <v>2.5175776824553266</v>
      </c>
      <c r="AM24" s="9">
        <f ca="1">(0.5*(AC24+LOG(I24)*4/3+N24)+ 0.3*(AD24+LOG(I24)*4/3+N24))/10</f>
        <v>0.22740621459642613</v>
      </c>
      <c r="AN24" s="9">
        <f ca="1">(0.4*(Y24+LOG(I24)*4/3+N24)+0.3*(AD24+LOG(I24)*4/3+N24))/10</f>
        <v>0.27523043777187289</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930</v>
      </c>
    </row>
    <row r="25" spans="1:45" x14ac:dyDescent="0.25">
      <c r="A25" s="16" t="s">
        <v>410</v>
      </c>
      <c r="B25" s="16" t="s">
        <v>75</v>
      </c>
      <c r="C25" s="132">
        <f t="shared" ref="C25" ca="1" si="74">((33*112)-(E25*112)-(F25))/112</f>
        <v>15.607142857142858</v>
      </c>
      <c r="D25" s="31" t="s">
        <v>413</v>
      </c>
      <c r="E25" s="18">
        <v>17</v>
      </c>
      <c r="F25" s="3">
        <f ca="1">8-159+16-570-5+D2-D1-2-12-49+9</f>
        <v>44</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0.21305928511808678</v>
      </c>
      <c r="O25" s="21">
        <v>6</v>
      </c>
      <c r="P25" s="22">
        <f t="shared" ref="P25" si="79">O25*10+19</f>
        <v>79</v>
      </c>
      <c r="Q25" s="28">
        <v>4</v>
      </c>
      <c r="R25" s="126">
        <f t="shared" ref="R25" si="80">(Q25/7)^0.5</f>
        <v>0.7559289460184544</v>
      </c>
      <c r="S25" s="126">
        <f t="shared" ref="S25" si="81">IF(Q25=7,1,((Q25+0.99)/7)^0.5)</f>
        <v>0.84430867747355465</v>
      </c>
      <c r="T25" s="32">
        <v>570</v>
      </c>
      <c r="U25" s="32">
        <f t="shared" ref="U25" si="82">T25-AS25</f>
        <v>20</v>
      </c>
      <c r="V25" s="32">
        <v>270</v>
      </c>
      <c r="W25" s="9">
        <f t="shared" ref="W25" si="83">T25/V25</f>
        <v>2.1111111111111112</v>
      </c>
      <c r="X25" s="23">
        <v>0</v>
      </c>
      <c r="Y25" s="24">
        <v>4</v>
      </c>
      <c r="Z25" s="23">
        <v>2</v>
      </c>
      <c r="AA25" s="24">
        <v>5</v>
      </c>
      <c r="AB25" s="23">
        <f>3+(0.25*0.16)+0.25</f>
        <v>3.29</v>
      </c>
      <c r="AC25" s="24">
        <v>4</v>
      </c>
      <c r="AD25" s="23">
        <v>3</v>
      </c>
      <c r="AE25" s="10">
        <v>363</v>
      </c>
      <c r="AF25" s="10">
        <v>1950</v>
      </c>
      <c r="AG25" s="25">
        <f t="shared" ref="AG25" ca="1" si="84">(AD25+1+(LOG(I25)*4/3)+N25)*(Q25/7)^0.5</f>
        <v>2.8813637484562942</v>
      </c>
      <c r="AH25" s="25">
        <f t="shared" ref="AH25" ca="1" si="85">(AD25+1+N25+(LOG(I25)*4/3))*(IF(Q25=7, (Q25/7)^0.5, ((Q25+1)/7)^0.5))</f>
        <v>3.2214626047259394</v>
      </c>
      <c r="AI25" s="131">
        <f t="shared" ref="AI25" ca="1" si="86">(Z25+N25+(LOG(I25)*4/3))*(Q25/7)^0.5</f>
        <v>1.3695058564193854</v>
      </c>
      <c r="AJ25" s="131">
        <f t="shared" ref="AJ25" ca="1" si="87">(Z25+N25+(LOG(I25)*4/3))*(IF(Q25=7, (Q25/7)^0.5, ((Q25+1)/7)^0.5))</f>
        <v>1.5311540952689062</v>
      </c>
      <c r="AK25" s="9">
        <f t="shared" ref="AK25" ca="1" si="88">(((Y25+LOG(I25)*4/3+N25)+(AB25+LOG(I25)*4/3+N25)*2)/8)*(Q25/7)^0.5</f>
        <v>0.94633401775283454</v>
      </c>
      <c r="AL25" s="9">
        <f t="shared" ref="AL25" ca="1" si="89">(AD25+LOG(I25)*4/3+N25)*0.7+(AC25+LOG(I25)*4/3+N25)*0.3</f>
        <v>3.1116859575661118</v>
      </c>
      <c r="AM25" s="9">
        <f t="shared" ref="AM25" ca="1" si="90">(0.5*(AC25+LOG(I25)*4/3+N25)+ 0.3*(AD25+LOG(I25)*4/3+N25))/10</f>
        <v>0.27493487660528892</v>
      </c>
      <c r="AN25" s="9">
        <f t="shared" ref="AN25" ca="1" si="91">(0.4*(Y25+LOG(I25)*4/3+N25)+0.3*(AD25+LOG(I25)*4/3+N25))/10</f>
        <v>0.23681801702962785</v>
      </c>
      <c r="AO25" s="22">
        <v>3</v>
      </c>
      <c r="AP25" s="22">
        <v>4</v>
      </c>
      <c r="AQ25" s="22">
        <v>3</v>
      </c>
      <c r="AR25" s="145">
        <f t="shared" ref="AR25" si="92">IF(AP25=4,IF(AQ25=0,0.137+0.0697,0.137+0.02),IF(AP25=3,IF(AQ25=0,0.0958+0.0697,0.0958+0.02),IF(AP25=2,IF(AQ25=0,0.0415+0.0697,0.0415+0.02),IF(AP25=1,IF(AQ25=0,0.0294+0.0697,0.0294+0.02),IF(AP25=0,IF(AQ25=0,0.0063+0.0697,0.0063+0.02))))))</f>
        <v>0.157</v>
      </c>
      <c r="AS25">
        <v>550</v>
      </c>
    </row>
    <row r="26" spans="1:45" x14ac:dyDescent="0.25">
      <c r="A26" s="16" t="s">
        <v>420</v>
      </c>
      <c r="B26" s="16" t="s">
        <v>44</v>
      </c>
      <c r="C26" s="132">
        <f t="shared" ref="C26" ca="1" si="93">((33*112)-(E26*112)-(F26))/112</f>
        <v>15.3125</v>
      </c>
      <c r="D26" s="31" t="s">
        <v>415</v>
      </c>
      <c r="E26" s="18">
        <v>17</v>
      </c>
      <c r="F26" s="3">
        <f ca="1">8-159+16-570-5+D2-D1-2-12-49+9-11+44</f>
        <v>77</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0.21305928511808678</v>
      </c>
      <c r="O26" s="21">
        <v>6</v>
      </c>
      <c r="P26" s="22">
        <f t="shared" ref="P26" si="98">O26*10+19</f>
        <v>79</v>
      </c>
      <c r="Q26" s="28">
        <v>6</v>
      </c>
      <c r="R26" s="126">
        <f t="shared" ref="R26" si="99">(Q26/7)^0.5</f>
        <v>0.92582009977255142</v>
      </c>
      <c r="S26" s="126">
        <f t="shared" ref="S26" si="100">IF(Q26=7,1,((Q26+0.99)/7)^0.5)</f>
        <v>0.99928545900129484</v>
      </c>
      <c r="T26" s="32">
        <v>1960</v>
      </c>
      <c r="U26" s="32">
        <f t="shared" ref="U26" si="101">T26-AS26</f>
        <v>110</v>
      </c>
      <c r="V26" s="32">
        <v>370</v>
      </c>
      <c r="W26" s="9">
        <f t="shared" ref="W26" si="102">T26/V26</f>
        <v>5.2972972972972974</v>
      </c>
      <c r="X26" s="23">
        <v>0</v>
      </c>
      <c r="Y26" s="24">
        <v>5</v>
      </c>
      <c r="Z26" s="23">
        <v>2</v>
      </c>
      <c r="AA26" s="24">
        <v>3</v>
      </c>
      <c r="AB26" s="23">
        <f>4+0.25+0.25</f>
        <v>4.5</v>
      </c>
      <c r="AC26" s="24">
        <v>6</v>
      </c>
      <c r="AD26" s="23">
        <v>2</v>
      </c>
      <c r="AE26" s="10">
        <v>447</v>
      </c>
      <c r="AF26" s="10">
        <v>1987</v>
      </c>
      <c r="AG26" s="25">
        <f t="shared" ref="AG26" ca="1" si="103">(AD26+1+(LOG(I26)*4/3)+N26)*(Q26/7)^0.5</f>
        <v>2.6031153737629396</v>
      </c>
      <c r="AH26" s="25">
        <f t="shared" ref="AH26" ca="1" si="104">(AD26+1+N26+(LOG(I26)*4/3))*(IF(Q26=7, (Q26/7)^0.5, ((Q26+1)/7)^0.5))</f>
        <v>2.8116859575661119</v>
      </c>
      <c r="AI26" s="131">
        <f t="shared" ref="AI26" ca="1" si="105">(Z26+N26+(LOG(I26)*4/3))*(Q26/7)^0.5</f>
        <v>1.6772952739903881</v>
      </c>
      <c r="AJ26" s="131">
        <f t="shared" ref="AJ26" ca="1" si="106">(Z26+N26+(LOG(I26)*4/3))*(IF(Q26=7, (Q26/7)^0.5, ((Q26+1)/7)^0.5))</f>
        <v>1.8116859575661119</v>
      </c>
      <c r="AK26" s="9">
        <f t="shared" ref="AK26" ca="1" si="107">(((Y26+LOG(I26)*4/3+N26)+(AB26+LOG(I26)*4/3+N26)*2)/8)*(Q26/7)^0.5</f>
        <v>1.5548058275189467</v>
      </c>
      <c r="AL26" s="9">
        <f t="shared" ref="AL26" ca="1" si="108">(AD26+LOG(I26)*4/3+N26)*0.7+(AC26+LOG(I26)*4/3+N26)*0.3</f>
        <v>3.0116859575661117</v>
      </c>
      <c r="AM26" s="9">
        <f t="shared" ref="AM26" ca="1" si="109">(0.5*(AC26+LOG(I26)*4/3+N26)+ 0.3*(AD26+LOG(I26)*4/3+N26))/10</f>
        <v>0.34493487660528893</v>
      </c>
      <c r="AN26" s="9">
        <f t="shared" ref="AN26" ca="1" si="110">(0.4*(Y26+LOG(I26)*4/3+N26)+0.3*(AD26+LOG(I26)*4/3+N26))/10</f>
        <v>0.24681801702962783</v>
      </c>
      <c r="AO26" s="22">
        <v>2</v>
      </c>
      <c r="AP26" s="22">
        <v>3</v>
      </c>
      <c r="AQ26" s="22">
        <v>1</v>
      </c>
      <c r="AR26" s="145">
        <f t="shared" ref="AR26" si="111">IF(AP26=4,IF(AQ26=0,0.137+0.0697,0.137+0.02),IF(AP26=3,IF(AQ26=0,0.0958+0.0697,0.0958+0.02),IF(AP26=2,IF(AQ26=0,0.0415+0.0697,0.0415+0.02),IF(AP26=1,IF(AQ26=0,0.0294+0.0697,0.0294+0.02),IF(AP26=0,IF(AQ26=0,0.0063+0.0697,0.0063+0.02))))))</f>
        <v>0.1158</v>
      </c>
      <c r="AS26">
        <v>1850</v>
      </c>
    </row>
    <row r="27" spans="1:45" x14ac:dyDescent="0.25">
      <c r="A27" s="16" t="s">
        <v>421</v>
      </c>
      <c r="B27" s="26" t="s">
        <v>30</v>
      </c>
      <c r="C27" s="132">
        <f ca="1">((33*112)-(E27*112)-(F27))/112</f>
        <v>15.25</v>
      </c>
      <c r="D27" s="1" t="s">
        <v>411</v>
      </c>
      <c r="E27" s="2">
        <v>17</v>
      </c>
      <c r="F27" s="3">
        <f ca="1">8-159+16-570-5+D2-D1-2-12</f>
        <v>84</v>
      </c>
      <c r="G27" s="4" t="s">
        <v>74</v>
      </c>
      <c r="H27" s="5">
        <v>2</v>
      </c>
      <c r="I27" s="6">
        <v>0.5</v>
      </c>
      <c r="J27" s="24">
        <f>LOG(I27)*4/3</f>
        <v>-0.40137332755197491</v>
      </c>
      <c r="K27" s="7">
        <f>(H27)*(H27)*(I27)</f>
        <v>2</v>
      </c>
      <c r="L27" s="7">
        <f>(H27+1)*(H27+1)*I27</f>
        <v>4.5</v>
      </c>
      <c r="M27" s="146">
        <v>43046</v>
      </c>
      <c r="N27" s="147">
        <f ca="1">IF((TODAY()-M27)&gt;335,1,((TODAY()-M27)^0.64)/(336^0.64))</f>
        <v>0.21305928511808678</v>
      </c>
      <c r="O27" s="27">
        <v>6.5</v>
      </c>
      <c r="P27" s="22">
        <f>O27*10+19</f>
        <v>84</v>
      </c>
      <c r="Q27" s="28">
        <v>6</v>
      </c>
      <c r="R27" s="126">
        <f>(Q27/7)^0.5</f>
        <v>0.92582009977255142</v>
      </c>
      <c r="S27" s="126">
        <f>IF(Q27=7,1,((Q27+0.99)/7)^0.5)</f>
        <v>0.99928545900129484</v>
      </c>
      <c r="T27" s="32">
        <v>1980</v>
      </c>
      <c r="U27" s="32">
        <f>T27-AS27</f>
        <v>-20</v>
      </c>
      <c r="V27" s="8">
        <v>450</v>
      </c>
      <c r="W27" s="9">
        <f>T27/V27</f>
        <v>4.4000000000000004</v>
      </c>
      <c r="X27" s="23">
        <v>0</v>
      </c>
      <c r="Y27" s="24">
        <v>6</v>
      </c>
      <c r="Z27" s="23">
        <v>4</v>
      </c>
      <c r="AA27" s="24">
        <v>4</v>
      </c>
      <c r="AB27" s="23">
        <f>2.67+0.33+0.33*0.16</f>
        <v>3.0528</v>
      </c>
      <c r="AC27" s="24">
        <v>3</v>
      </c>
      <c r="AD27" s="23">
        <v>5</v>
      </c>
      <c r="AE27" s="10">
        <v>452</v>
      </c>
      <c r="AF27" s="10">
        <v>1982</v>
      </c>
      <c r="AG27" s="25">
        <f ca="1">(AD27+1+(LOG(I27)*4/3)+N27)*(Q27/7)^0.5</f>
        <v>5.3805756730805934</v>
      </c>
      <c r="AH27" s="25">
        <f ca="1">(AD27+1+N27+(LOG(I27)*4/3))*(IF(Q27=7, (Q27/7)^0.5, ((Q27+1)/7)^0.5))</f>
        <v>5.8116859575661115</v>
      </c>
      <c r="AI27" s="131">
        <f ca="1">(Z27+N27+(LOG(I27)*4/3))*(Q27/7)^0.5</f>
        <v>3.528935473535491</v>
      </c>
      <c r="AJ27" s="131">
        <f ca="1">(Z27+N27+(LOG(I27)*4/3))*(IF(Q27=7, (Q27/7)^0.5, ((Q27+1)/7)^0.5))</f>
        <v>3.8116859575661119</v>
      </c>
      <c r="AK27" s="9">
        <f ca="1">(((Y27+LOG(I27)*4/3+N27)+(AB27+LOG(I27)*4/3+N27)*2)/8)*(Q27/7)^0.5</f>
        <v>1.3355716278928069</v>
      </c>
      <c r="AL27" s="9">
        <f ca="1">(AD27+LOG(I27)*4/3+N27)*0.7+(AC27+LOG(I27)*4/3+N27)*0.3</f>
        <v>4.211685957566111</v>
      </c>
      <c r="AM27" s="9">
        <f ca="1">(0.5*(AC27+LOG(I27)*4/3+N27)+ 0.3*(AD27+LOG(I27)*4/3+N27))/10</f>
        <v>0.28493487660528893</v>
      </c>
      <c r="AN27" s="9">
        <f ca="1">(0.4*(Y27+LOG(I27)*4/3+N27)+0.3*(AD27+LOG(I27)*4/3+N27))/10</f>
        <v>0.37681801702962781</v>
      </c>
      <c r="AO27" s="22">
        <v>2</v>
      </c>
      <c r="AP27" s="22">
        <v>0</v>
      </c>
      <c r="AQ27" s="22">
        <v>3</v>
      </c>
      <c r="AR27" s="145">
        <f>IF(AP27=4,IF(AQ27=0,0.137+0.0697,0.137+0.02),IF(AP27=3,IF(AQ27=0,0.0958+0.0697,0.0958+0.02),IF(AP27=2,IF(AQ27=0,0.0415+0.0697,0.0415+0.02),IF(AP27=1,IF(AQ27=0,0.0294+0.0697,0.0294+0.02),IF(AP27=0,IF(AQ27=0,0.0063+0.0697,0.0063+0.02))))))</f>
        <v>2.63E-2</v>
      </c>
      <c r="AS27">
        <v>2000</v>
      </c>
    </row>
    <row r="28" spans="1:45" x14ac:dyDescent="0.25">
      <c r="A28" s="16" t="s">
        <v>422</v>
      </c>
      <c r="B28" s="26" t="s">
        <v>44</v>
      </c>
      <c r="C28" s="132">
        <f ca="1">((33*112)-(E28*112)-(F28))/112</f>
        <v>15.419642857142858</v>
      </c>
      <c r="D28" s="1" t="s">
        <v>409</v>
      </c>
      <c r="E28" s="2">
        <v>17</v>
      </c>
      <c r="F28" s="3">
        <f ca="1">8-159+16-570-5+D2-D1-2-31</f>
        <v>65</v>
      </c>
      <c r="G28" s="4" t="s">
        <v>0</v>
      </c>
      <c r="H28" s="5">
        <v>4</v>
      </c>
      <c r="I28" s="6">
        <v>0.5</v>
      </c>
      <c r="J28" s="24">
        <f>LOG(I28)*4/3</f>
        <v>-0.40137332755197491</v>
      </c>
      <c r="K28" s="7">
        <f>(H28)*(H28)*(I28)</f>
        <v>8</v>
      </c>
      <c r="L28" s="7">
        <f>(H28+1)*(H28+1)*I28</f>
        <v>12.5</v>
      </c>
      <c r="M28" s="146">
        <v>43046</v>
      </c>
      <c r="N28" s="147">
        <f ca="1">IF((TODAY()-M28)&gt;335,1,((TODAY()-M28)^0.64)/(336^0.64))</f>
        <v>0.21305928511808678</v>
      </c>
      <c r="O28" s="27">
        <v>6.1</v>
      </c>
      <c r="P28" s="22">
        <f>O28*10+19</f>
        <v>80</v>
      </c>
      <c r="Q28" s="28">
        <v>5</v>
      </c>
      <c r="R28" s="126">
        <f>(Q28/7)^0.5</f>
        <v>0.84515425472851657</v>
      </c>
      <c r="S28" s="126">
        <f>IF(Q28=7,1,((Q28+0.99)/7)^0.5)</f>
        <v>0.92504826128926143</v>
      </c>
      <c r="T28" s="32">
        <v>1050</v>
      </c>
      <c r="U28" s="32">
        <f>T28-AS28</f>
        <v>40</v>
      </c>
      <c r="V28" s="8">
        <v>330</v>
      </c>
      <c r="W28" s="9">
        <f>T28/V28</f>
        <v>3.1818181818181817</v>
      </c>
      <c r="X28" s="23">
        <v>0</v>
      </c>
      <c r="Y28" s="24">
        <v>2</v>
      </c>
      <c r="Z28" s="23">
        <v>5</v>
      </c>
      <c r="AA28" s="24">
        <v>3</v>
      </c>
      <c r="AB28" s="23">
        <f>2+(0.33*0.16)+(0.33*0.16)</f>
        <v>2.1055999999999999</v>
      </c>
      <c r="AC28" s="24">
        <v>5</v>
      </c>
      <c r="AD28" s="23">
        <v>4</v>
      </c>
      <c r="AE28" s="10">
        <v>361</v>
      </c>
      <c r="AF28" s="10">
        <v>1918</v>
      </c>
      <c r="AG28" s="25">
        <f ca="1">(AD28+1+(LOG(I28)*4/3)+N28)*(Q28/7)^0.5</f>
        <v>4.0666168594544558</v>
      </c>
      <c r="AH28" s="25">
        <f ca="1">(AD28+1+N28+(LOG(I28)*4/3))*(IF(Q28=7, (Q28/7)^0.5, ((Q28+1)/7)^0.5))</f>
        <v>4.4547555733080424</v>
      </c>
      <c r="AI28" s="131">
        <f ca="1">(Z28+N28+(LOG(I28)*4/3))*(Q28/7)^0.5</f>
        <v>4.0666168594544558</v>
      </c>
      <c r="AJ28" s="131">
        <f ca="1">(Z28+N28+(LOG(I28)*4/3))*(IF(Q28=7, (Q28/7)^0.5, ((Q28+1)/7)^0.5))</f>
        <v>4.4547555733080424</v>
      </c>
      <c r="AK28" s="9">
        <f ca="1">(((Y28+LOG(I28)*4/3+N28)+(AB28+LOG(I28)*4/3+N28)*2)/8)*(Q28/7)^0.5</f>
        <v>0.59649485805067259</v>
      </c>
      <c r="AL28" s="9">
        <f ca="1">(AD28+LOG(I28)*4/3+N28)*0.7+(AC28+LOG(I28)*4/3+N28)*0.3</f>
        <v>4.1116859575661113</v>
      </c>
      <c r="AM28" s="9">
        <f ca="1">(0.5*(AC28+LOG(I28)*4/3+N28)+ 0.3*(AD28+LOG(I28)*4/3+N28))/10</f>
        <v>0.35493487660528894</v>
      </c>
      <c r="AN28" s="9">
        <f ca="1">(0.4*(Y28+LOG(I28)*4/3+N28)+0.3*(AD28+LOG(I28)*4/3+N28))/10</f>
        <v>0.18681801702962783</v>
      </c>
      <c r="AO28" s="22">
        <v>4</v>
      </c>
      <c r="AP28" s="22">
        <v>2</v>
      </c>
      <c r="AQ28" s="22">
        <v>2</v>
      </c>
      <c r="AR28" s="145">
        <f>IF(AP28=4,IF(AQ28=0,0.137+0.0697,0.137+0.02),IF(AP28=3,IF(AQ28=0,0.0958+0.0697,0.0958+0.02),IF(AP28=2,IF(AQ28=0,0.0415+0.0697,0.0415+0.02),IF(AP28=1,IF(AQ28=0,0.0294+0.0697,0.0294+0.02),IF(AP28=0,IF(AQ28=0,0.0063+0.0697,0.0063+0.02))))))</f>
        <v>6.1499999999999999E-2</v>
      </c>
      <c r="AS28">
        <v>1010</v>
      </c>
    </row>
    <row r="29" spans="1:45" x14ac:dyDescent="0.25">
      <c r="A29" s="16" t="s">
        <v>423</v>
      </c>
      <c r="B29" s="16" t="s">
        <v>44</v>
      </c>
      <c r="C29" s="132">
        <f t="shared" ref="C29" ca="1" si="112">((33*112)-(E29*112)-(F29))/112</f>
        <v>15.705357142857142</v>
      </c>
      <c r="D29" s="31" t="s">
        <v>414</v>
      </c>
      <c r="E29" s="18">
        <v>17</v>
      </c>
      <c r="F29" s="3">
        <f ca="1">8-159+16-570-5+D2-D1-2-12-49+9-11</f>
        <v>33</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0.21305928511808678</v>
      </c>
      <c r="O29" s="21">
        <v>5.8</v>
      </c>
      <c r="P29" s="22">
        <f t="shared" ref="P29" si="117">O29*10+19</f>
        <v>77</v>
      </c>
      <c r="Q29" s="28">
        <v>5</v>
      </c>
      <c r="R29" s="126">
        <f t="shared" ref="R29" si="118">(Q29/7)^0.5</f>
        <v>0.84515425472851657</v>
      </c>
      <c r="S29" s="126">
        <f t="shared" ref="S29" si="119">IF(Q29=7,1,((Q29+0.99)/7)^0.5)</f>
        <v>0.92504826128926143</v>
      </c>
      <c r="T29" s="32">
        <v>590</v>
      </c>
      <c r="U29" s="32">
        <f t="shared" ref="U29" si="120">T29-AS29</f>
        <v>30</v>
      </c>
      <c r="V29" s="32">
        <v>290</v>
      </c>
      <c r="W29" s="9">
        <f t="shared" ref="W29" si="121">T29/V29</f>
        <v>2.0344827586206895</v>
      </c>
      <c r="X29" s="23">
        <v>0</v>
      </c>
      <c r="Y29" s="24">
        <v>4</v>
      </c>
      <c r="Z29" s="23">
        <v>2</v>
      </c>
      <c r="AA29" s="24">
        <v>2</v>
      </c>
      <c r="AB29" s="23">
        <f>3+(0.25*0.16)+(0.25*0.16*3/90)</f>
        <v>3.0413333333333332</v>
      </c>
      <c r="AC29" s="24">
        <v>5</v>
      </c>
      <c r="AD29" s="23">
        <v>1.5</v>
      </c>
      <c r="AE29" s="10">
        <v>331</v>
      </c>
      <c r="AF29" s="10">
        <v>1934</v>
      </c>
      <c r="AG29" s="25">
        <f t="shared" ref="AG29" ca="1" si="122">(AD29+1+(LOG(I29)*4/3)+N29)*(Q29/7)^0.5</f>
        <v>1.9537312226331645</v>
      </c>
      <c r="AH29" s="25">
        <f t="shared" ref="AH29" ca="1" si="123">(AD29+1+N29+(LOG(I29)*4/3))*(IF(Q29=7, (Q29/7)^0.5, ((Q29+1)/7)^0.5))</f>
        <v>2.1402053238766636</v>
      </c>
      <c r="AI29" s="131">
        <f t="shared" ref="AI29" ca="1" si="124">(Z29+N29+(LOG(I29)*4/3))*(Q29/7)^0.5</f>
        <v>1.5311540952689062</v>
      </c>
      <c r="AJ29" s="131">
        <f t="shared" ref="AJ29" ca="1" si="125">(Z29+N29+(LOG(I29)*4/3))*(IF(Q29=7, (Q29/7)^0.5, ((Q29+1)/7)^0.5))</f>
        <v>1.6772952739903881</v>
      </c>
      <c r="AK29" s="9">
        <f t="shared" ref="AK29" ca="1" si="126">(((Y29+LOG(I29)*4/3+N29)+(AB29+LOG(I29)*4/3+N29)*2)/8)*(Q29/7)^0.5</f>
        <v>1.0054931737222927</v>
      </c>
      <c r="AL29" s="9">
        <f t="shared" ref="AL29" ca="1" si="127">(AD29+LOG(I29)*4/3+N29)*0.7+(AC29+LOG(I29)*4/3+N29)*0.3</f>
        <v>2.3616859575661118</v>
      </c>
      <c r="AM29" s="9">
        <f t="shared" ref="AM29" ca="1" si="128">(0.5*(AC29+LOG(I29)*4/3+N29)+ 0.3*(AD29+LOG(I29)*4/3+N29))/10</f>
        <v>0.27993487660528893</v>
      </c>
      <c r="AN29" s="9">
        <f t="shared" ref="AN29" ca="1" si="129">(0.4*(Y29+LOG(I29)*4/3+N29)+0.3*(AD29+LOG(I29)*4/3+N29))/10</f>
        <v>0.19181801702962784</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560</v>
      </c>
    </row>
    <row r="30" spans="1:45" x14ac:dyDescent="0.25">
      <c r="A30" s="16" t="s">
        <v>424</v>
      </c>
      <c r="B30" s="16" t="s">
        <v>44</v>
      </c>
      <c r="C30" s="132">
        <f t="shared" ref="C30" ca="1" si="131">((33*112)-(E30*112)-(F30))/112</f>
        <v>15.669642857142858</v>
      </c>
      <c r="D30" s="31" t="s">
        <v>417</v>
      </c>
      <c r="E30" s="18">
        <v>17</v>
      </c>
      <c r="F30" s="3">
        <f ca="1">8-159+16-570-5+D2-D1-2-12-49+9-11+44-40</f>
        <v>37</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0.21305928511808678</v>
      </c>
      <c r="O30" s="21">
        <v>5.5</v>
      </c>
      <c r="P30" s="22">
        <f t="shared" ref="P30" si="136">O30*10+19</f>
        <v>74</v>
      </c>
      <c r="Q30" s="28">
        <v>5</v>
      </c>
      <c r="R30" s="126">
        <f t="shared" ref="R30" si="137">(Q30/7)^0.5</f>
        <v>0.84515425472851657</v>
      </c>
      <c r="S30" s="126">
        <f t="shared" ref="S30" si="138">IF(Q30=7,1,((Q30+0.99)/7)^0.5)</f>
        <v>0.92504826128926143</v>
      </c>
      <c r="T30" s="32">
        <v>540</v>
      </c>
      <c r="U30" s="32">
        <f t="shared" ref="U30" si="139">T30-AS30</f>
        <v>-30</v>
      </c>
      <c r="V30" s="32">
        <v>250</v>
      </c>
      <c r="W30" s="9">
        <f t="shared" ref="W30" si="140">T30/V30</f>
        <v>2.16</v>
      </c>
      <c r="X30" s="23">
        <v>0</v>
      </c>
      <c r="Y30" s="24">
        <v>4</v>
      </c>
      <c r="Z30" s="23">
        <v>4</v>
      </c>
      <c r="AA30" s="24">
        <v>3</v>
      </c>
      <c r="AB30" s="23">
        <f>4+0.25+(0.25*0.16*3/90)</f>
        <v>4.2513333333333332</v>
      </c>
      <c r="AC30" s="24">
        <v>3</v>
      </c>
      <c r="AD30" s="23">
        <v>0.3</v>
      </c>
      <c r="AE30" s="10">
        <v>360</v>
      </c>
      <c r="AF30" s="10">
        <v>1991</v>
      </c>
      <c r="AG30" s="25">
        <f t="shared" ref="AG30" ca="1" si="141">(AD30+1+(LOG(I30)*4/3)+N30)*(Q30/7)^0.5</f>
        <v>1.2787684924740388</v>
      </c>
      <c r="AH30" s="25">
        <f t="shared" ref="AH30" ca="1" si="142">(AD30+1+N30+(LOG(I30)*4/3))*(IF(Q30=7, (Q30/7)^0.5, ((Q30+1)/7)^0.5))</f>
        <v>1.4008206983098126</v>
      </c>
      <c r="AI30" s="131">
        <f t="shared" ref="AI30" ca="1" si="143">(Z30+N30+(LOG(I30)*4/3))*(Q30/7)^0.5</f>
        <v>3.5606849802410334</v>
      </c>
      <c r="AJ30" s="131">
        <f t="shared" ref="AJ30" ca="1" si="144">(Z30+N30+(LOG(I30)*4/3))*(IF(Q30=7, (Q30/7)^0.5, ((Q30+1)/7)^0.5))</f>
        <v>3.9005349676957013</v>
      </c>
      <c r="AK30" s="9">
        <f t="shared" ref="AK30" ca="1" si="145">(((Y30+LOG(I30)*4/3+N30)+(AB30+LOG(I30)*4/3+N30)*2)/8)*(Q30/7)^0.5</f>
        <v>1.3883607265958293</v>
      </c>
      <c r="AL30" s="9">
        <f t="shared" ref="AL30" ca="1" si="146">(AD30+LOG(I30)*4/3+N30)*0.7+(AC30+LOG(I30)*4/3+N30)*0.3</f>
        <v>1.3230592851180867</v>
      </c>
      <c r="AM30" s="9">
        <f t="shared" ref="AM30" ca="1" si="147">(0.5*(AC30+LOG(I30)*4/3+N30)+ 0.3*(AD30+LOG(I30)*4/3+N30))/10</f>
        <v>0.17604474280944693</v>
      </c>
      <c r="AN30" s="9">
        <f t="shared" ref="AN30" ca="1" si="148">(0.4*(Y30+LOG(I30)*4/3+N30)+0.3*(AD30+LOG(I30)*4/3+N30))/10</f>
        <v>0.18391414995826608</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570</v>
      </c>
    </row>
    <row r="31" spans="1:45" x14ac:dyDescent="0.25">
      <c r="A31" s="16" t="s">
        <v>425</v>
      </c>
      <c r="B31" s="16" t="s">
        <v>99</v>
      </c>
      <c r="C31" s="132">
        <f t="shared" ref="C31" ca="1" si="150">((33*112)-(E31*112)-(F31))/112</f>
        <v>15.6875</v>
      </c>
      <c r="D31" s="31" t="s">
        <v>412</v>
      </c>
      <c r="E31" s="18">
        <v>17</v>
      </c>
      <c r="F31" s="3">
        <f ca="1">8-159+16-570-5+D2-D1-2-12-49</f>
        <v>35</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0.21305928511808678</v>
      </c>
      <c r="O31" s="21">
        <v>5</v>
      </c>
      <c r="P31" s="22">
        <f t="shared" ref="P31" si="155">O31*10+19</f>
        <v>69</v>
      </c>
      <c r="Q31" s="28">
        <v>5</v>
      </c>
      <c r="R31" s="126">
        <f t="shared" ref="R31" si="156">(Q31/7)^0.5</f>
        <v>0.84515425472851657</v>
      </c>
      <c r="S31" s="126">
        <f t="shared" ref="S31" si="157">IF(Q31=7,1,((Q31+0.99)/7)^0.5)</f>
        <v>0.92504826128926143</v>
      </c>
      <c r="T31" s="32">
        <v>630</v>
      </c>
      <c r="U31" s="32">
        <f t="shared" ref="U31" si="158">T31-AS31</f>
        <v>10</v>
      </c>
      <c r="V31" s="32">
        <v>270</v>
      </c>
      <c r="W31" s="9">
        <f t="shared" ref="W31" si="159">T31/V31</f>
        <v>2.3333333333333335</v>
      </c>
      <c r="X31" s="23">
        <v>0</v>
      </c>
      <c r="Y31" s="24">
        <v>3</v>
      </c>
      <c r="Z31" s="23">
        <v>4</v>
      </c>
      <c r="AA31" s="24">
        <v>4</v>
      </c>
      <c r="AB31" s="23">
        <f>3+(0.25*0.16*31/90)+(0.25*0.16*3/90)</f>
        <v>3.0151111111111111</v>
      </c>
      <c r="AC31" s="24">
        <v>4</v>
      </c>
      <c r="AD31" s="23">
        <v>1.2</v>
      </c>
      <c r="AE31" s="10">
        <v>352</v>
      </c>
      <c r="AF31" s="10">
        <v>1986</v>
      </c>
      <c r="AG31" s="25">
        <f t="shared" ref="AG31" ca="1" si="160">(AD31+1+(LOG(I31)*4/3)+N31)*(Q31/7)^0.5</f>
        <v>1.7001849462146097</v>
      </c>
      <c r="AH31" s="25">
        <f t="shared" ref="AH31" ca="1" si="161">(AD31+1+N31+(LOG(I31)*4/3))*(IF(Q31=7, (Q31/7)^0.5, ((Q31+1)/7)^0.5))</f>
        <v>1.8624592939448985</v>
      </c>
      <c r="AI31" s="131">
        <f t="shared" ref="AI31" ca="1" si="162">(Z31+N31+(LOG(I31)*4/3))*(Q31/7)^0.5</f>
        <v>3.2214626047259394</v>
      </c>
      <c r="AJ31" s="131">
        <f t="shared" ref="AJ31" ca="1" si="163">(Z31+N31+(LOG(I31)*4/3))*(IF(Q31=7, (Q31/7)^0.5, ((Q31+1)/7)^0.5))</f>
        <v>3.528935473535491</v>
      </c>
      <c r="AK31" s="9">
        <f t="shared" ref="AK31" ca="1" si="164">(((Y31+LOG(I31)*4/3+N31)+(AB31+LOG(I31)*4/3+N31)*2)/8)*(Q31/7)^0.5</f>
        <v>0.89430843621134137</v>
      </c>
      <c r="AL31" s="9">
        <f t="shared" ref="AL31" ca="1" si="165">(AD31+LOG(I31)*4/3+N31)*0.7+(AC31+LOG(I31)*4/3+N31)*0.3</f>
        <v>1.851685957566112</v>
      </c>
      <c r="AM31" s="9">
        <f t="shared" ref="AM31" ca="1" si="166">(0.5*(AC31+LOG(I31)*4/3+N31)+ 0.3*(AD31+LOG(I31)*4/3+N31))/10</f>
        <v>0.22093487660528893</v>
      </c>
      <c r="AN31" s="9">
        <f t="shared" ref="AN31" ca="1" si="167">(0.4*(Y31+LOG(I31)*4/3+N31)+0.3*(AD31+LOG(I31)*4/3+N31))/10</f>
        <v>0.14281801702962782</v>
      </c>
      <c r="AO31" s="22">
        <v>1</v>
      </c>
      <c r="AP31" s="22">
        <v>3</v>
      </c>
      <c r="AQ31" s="22">
        <v>1</v>
      </c>
      <c r="AR31" s="145">
        <f t="shared" ref="AR31" si="168">IF(AP31=4,IF(AQ31=0,0.137+0.0697,0.137+0.02),IF(AP31=3,IF(AQ31=0,0.0958+0.0697,0.0958+0.02),IF(AP31=2,IF(AQ31=0,0.0415+0.0697,0.0415+0.02),IF(AP31=1,IF(AQ31=0,0.0294+0.0697,0.0294+0.02),IF(AP31=0,IF(AQ31=0,0.0063+0.0697,0.0063+0.02))))))</f>
        <v>0.1158</v>
      </c>
      <c r="AS31">
        <v>620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32</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32</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30</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33</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41</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19.449999999999996</v>
      </c>
      <c r="R3" s="50">
        <f>((2*(O3+1))+(L3+1))/8</f>
        <v>2.3408333333333333</v>
      </c>
      <c r="S3" s="50">
        <f>(0.5*P3+ 0.3*Q3)/10</f>
        <v>0.67399999999999982</v>
      </c>
      <c r="T3" s="50">
        <f>(0.4*L3+0.3*Q3)/10</f>
        <v>1.0261666666666664</v>
      </c>
      <c r="U3" s="50">
        <f t="shared" ref="U3" ca="1" si="0">IF(TODAY()-E3&gt;335,(Q3+1+(LOG(J3)*4/3))*(F3/7)^0.5,(Q3+((TODAY()-E3)^0.5)/(336^0.5)+(LOG(J3)*4/3))*(F3/7)^0.5)</f>
        <v>20.198686078317753</v>
      </c>
      <c r="V3" s="50">
        <f t="shared" ref="V3" ca="1" si="1">IF(F3=7,U3,IF(TODAY()-E3&gt;335,(Q3+1+(LOG(J3)*4/3))*((F3+0.99)/7)^0.5,(Q3+((TODAY()-E3)^0.5)/(336^0.5)+(LOG(J3)*4/3))*((F3+0.99)/7)^0.5))</f>
        <v>21.801485292826907</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3.6434514393322881</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32</v>
      </c>
      <c r="C4" s="36">
        <f ca="1">PLANTILLA!F5</f>
        <v>11</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15.666666666666664</v>
      </c>
      <c r="R4" s="50">
        <f t="shared" ref="R4:R7" si="7">((2*(O4+1))+(L4+1))/8</f>
        <v>3.8874999999999997</v>
      </c>
      <c r="S4" s="50">
        <f t="shared" ref="S4:S7" si="8">(0.5*P4+ 0.3*Q4)/10</f>
        <v>0.5704999999999999</v>
      </c>
      <c r="T4" s="50">
        <f t="shared" ref="T4:T7" si="9">(0.4*L4+0.3*Q4)/10</f>
        <v>1.03</v>
      </c>
      <c r="U4" s="50">
        <f t="shared" ref="U4:U7" ca="1" si="10">IF(TODAY()-E4&gt;335,(Q4+1+(LOG(J4)*4/3))*(F4/7)^0.5,(Q4+((TODAY()-E4)^0.5)/(336^0.5)+(LOG(J4)*4/3))*(F4/7)^0.5)</f>
        <v>15.197870018356545</v>
      </c>
      <c r="V4" s="50">
        <f t="shared" ref="V4:V7" ca="1" si="11">IF(F4=7,U4,IF(TODAY()-E4&gt;335,(Q4+1+(LOG(J4)*4/3))*((F4+0.99)/7)^0.5,(Q4+((TODAY()-E4)^0.5)/(336^0.5)+(LOG(J4)*4/3))*((F4+0.99)/7)^0.5))</f>
        <v>16.634552990917527</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3.0030545061632834</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101</v>
      </c>
      <c r="D5" s="69">
        <f>PLANTILLA!G6</f>
        <v>0</v>
      </c>
      <c r="E5" s="33">
        <v>42266</v>
      </c>
      <c r="F5" s="51">
        <f>PLANTILLA!Q6</f>
        <v>5</v>
      </c>
      <c r="G5" s="52">
        <f t="shared" si="4"/>
        <v>0.84515425472851657</v>
      </c>
      <c r="H5" s="52">
        <f t="shared" si="5"/>
        <v>0.92504826128926143</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10.333333333333334</v>
      </c>
      <c r="R5" s="50">
        <f t="shared" si="7"/>
        <v>4.2662499999999994</v>
      </c>
      <c r="S5" s="50">
        <f t="shared" si="8"/>
        <v>0.51050000000000006</v>
      </c>
      <c r="T5" s="50">
        <f t="shared" si="9"/>
        <v>0.83200000000000007</v>
      </c>
      <c r="U5" s="50">
        <f t="shared" ca="1" si="10"/>
        <v>10.659132104497765</v>
      </c>
      <c r="V5" s="50">
        <f t="shared" ca="1" si="11"/>
        <v>11.666759724573042</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2.1062132166901635</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32</v>
      </c>
      <c r="C6" s="36">
        <f ca="1">PLANTILLA!F10</f>
        <v>3</v>
      </c>
      <c r="D6" s="69" t="str">
        <f>PLANTILLA!G10</f>
        <v>POT</v>
      </c>
      <c r="E6" s="33">
        <v>42633</v>
      </c>
      <c r="F6" s="51">
        <f>PLANTILLA!Q10</f>
        <v>4</v>
      </c>
      <c r="G6" s="52">
        <f t="shared" si="4"/>
        <v>0.7559289460184544</v>
      </c>
      <c r="H6" s="52">
        <f t="shared" si="5"/>
        <v>0.84430867747355465</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8.8488888888888901</v>
      </c>
      <c r="R6" s="50">
        <f t="shared" si="7"/>
        <v>3.9622222222222221</v>
      </c>
      <c r="S6" s="50">
        <f t="shared" si="8"/>
        <v>0.37380000000000002</v>
      </c>
      <c r="T6" s="50">
        <f t="shared" si="9"/>
        <v>0.74546666666666683</v>
      </c>
      <c r="U6" s="50">
        <f t="shared" ca="1" si="10"/>
        <v>8.4164670192449673</v>
      </c>
      <c r="V6" s="50">
        <f t="shared" ca="1" si="11"/>
        <v>9.4004815868567473</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1.8593678673333882</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28</v>
      </c>
      <c r="D7" s="69">
        <f>PLANTILLA!G8</f>
        <v>0</v>
      </c>
      <c r="E7" s="33">
        <v>42332</v>
      </c>
      <c r="F7" s="51">
        <f>PLANTILLA!Q8</f>
        <v>6</v>
      </c>
      <c r="G7" s="52">
        <f t="shared" si="4"/>
        <v>0.92582009977255142</v>
      </c>
      <c r="H7" s="52">
        <f t="shared" si="5"/>
        <v>0.99928545900129484</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17.333333333333336</v>
      </c>
      <c r="R7" s="50">
        <f t="shared" si="7"/>
        <v>4.6274999999999995</v>
      </c>
      <c r="S7" s="50">
        <f t="shared" si="8"/>
        <v>0.67</v>
      </c>
      <c r="T7" s="50">
        <f t="shared" si="9"/>
        <v>1.08</v>
      </c>
      <c r="U7" s="50">
        <f t="shared" ca="1" si="10"/>
        <v>18.107903124073289</v>
      </c>
      <c r="V7" s="50">
        <f t="shared" ca="1" si="11"/>
        <v>19.544795246221152</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3.2663147219024062</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80</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15</v>
      </c>
      <c r="R8" s="50">
        <f t="shared" ref="R8:R16" si="75">((2*(O8+1))+(L8+1))/8</f>
        <v>4.0492857142857144</v>
      </c>
      <c r="S8" s="50">
        <f t="shared" ref="S8:S16" si="76">(0.5*P8+ 0.3*Q8)/10</f>
        <v>0.64949999999999997</v>
      </c>
      <c r="T8" s="50">
        <f t="shared" ref="T8:T16" si="77">(0.4*L8+0.3*Q8)/10</f>
        <v>1.0511428571428572</v>
      </c>
      <c r="U8" s="50">
        <f t="shared" ref="U8:U16" ca="1" si="78">IF(TODAY()-E8&gt;335,(Q8+1+(LOG(J8)*4/3))*(F8/7)^0.5,(Q8+((TODAY()-E8)^0.5)/(336^0.5)+(LOG(J8)*4/3))*(F8/7)^0.5)</f>
        <v>13.140490761841766</v>
      </c>
      <c r="V8" s="50">
        <f t="shared" ref="V8:V16" ca="1" si="79">IF(F8=7,U8,IF(TODAY()-E8&gt;335,(Q8+1+(LOG(J8)*4/3))*((F8+0.99)/7)^0.5,(Q8+((TODAY()-E8)^0.5)/(336^0.5)+(LOG(J8)*4/3))*((F8+0.99)/7)^0.5))</f>
        <v>14.676816432179901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2.9030003002081126</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32</v>
      </c>
      <c r="D9" s="69" t="str">
        <f>PLANTILLA!G11</f>
        <v>RAP</v>
      </c>
      <c r="E9" s="33">
        <v>42334</v>
      </c>
      <c r="F9" s="51">
        <f>PLANTILLA!Q11</f>
        <v>6</v>
      </c>
      <c r="G9" s="52">
        <f t="shared" si="73"/>
        <v>0.92582009977255142</v>
      </c>
      <c r="H9" s="52">
        <f t="shared" si="74"/>
        <v>0.99928545900129484</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15.666666666666664</v>
      </c>
      <c r="R9" s="50">
        <f t="shared" si="75"/>
        <v>4.1242763772175532</v>
      </c>
      <c r="S9" s="50">
        <f t="shared" si="76"/>
        <v>0.64049999999999996</v>
      </c>
      <c r="T9" s="50">
        <f t="shared" si="77"/>
        <v>0.67078431372549008</v>
      </c>
      <c r="U9" s="50">
        <f t="shared" ca="1" si="78"/>
        <v>16.690918434544642</v>
      </c>
      <c r="V9" s="50">
        <f t="shared" ca="1" si="79"/>
        <v>18.015370473285994</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3.0107181505929059</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96</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7</v>
      </c>
      <c r="R10" s="50">
        <f t="shared" si="75"/>
        <v>3.0249999999999995</v>
      </c>
      <c r="S10" s="50">
        <f t="shared" si="76"/>
        <v>0.36049999999999999</v>
      </c>
      <c r="T10" s="50">
        <f t="shared" si="77"/>
        <v>0.37</v>
      </c>
      <c r="U10" s="50">
        <f t="shared" ca="1" si="78"/>
        <v>9.2526923368248255</v>
      </c>
      <c r="V10" s="50">
        <f t="shared" ca="1" si="79"/>
        <v>9.2526923368248255</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1.545199620249746</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33</v>
      </c>
      <c r="C11" s="36">
        <f ca="1">PLANTILLA!F14</f>
        <v>9</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2.95</v>
      </c>
      <c r="Q11" s="50">
        <f>PLANTILLA!AD14</f>
        <v>10.62962962962963</v>
      </c>
      <c r="R11" s="50">
        <f t="shared" si="75"/>
        <v>3.2387962962962962</v>
      </c>
      <c r="S11" s="50">
        <f t="shared" si="76"/>
        <v>0.46638888888888885</v>
      </c>
      <c r="T11" s="50">
        <f t="shared" si="77"/>
        <v>0.36037037037037034</v>
      </c>
      <c r="U11" s="50">
        <f t="shared" ca="1" si="78"/>
        <v>9.8077470882362725</v>
      </c>
      <c r="V11" s="50">
        <f t="shared" ca="1" si="79"/>
        <v>10.954423714926397</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2.1667297863938018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str">
        <f>PLANTILLA!D12</f>
        <v>Cezary Pauch</v>
      </c>
      <c r="B12">
        <f>PLANTILLA!E12</f>
        <v>30</v>
      </c>
      <c r="C12" s="36">
        <f ca="1">PLANTILLA!F12</f>
        <v>13</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1.1222222222222222</v>
      </c>
      <c r="R12" s="50">
        <f>((2*(O12+1))+(L12+1))/8</f>
        <v>2.3746527777777779</v>
      </c>
      <c r="S12" s="50">
        <f>(0.5*P12+ 0.3*Q12)/10</f>
        <v>0.28416666666666668</v>
      </c>
      <c r="T12" s="50">
        <f>(0.4*L12+0.3*Q12)/10</f>
        <v>0.11366666666666667</v>
      </c>
      <c r="U12" s="50">
        <f ca="1">IF(TODAY()-E12&gt;335,(Q12+1+(LOG(J12)*4/3))*(F12/7)^0.5,(Q12+((TODAY()-E12)^0.5)/(336^0.5)+(LOG(J12)*4/3))*(F12/7)^0.5)</f>
        <v>2.6785716091566436</v>
      </c>
      <c r="V12" s="50">
        <f ca="1">IF(F12=7,U12,IF(TODAY()-E12&gt;335,(Q12+1+(LOG(J12)*4/3))*((F12+0.99)/7)^0.5,(Q12+((TODAY()-E12)^0.5)/(336^0.5)+(LOG(J12)*4/3))*((F12+0.99)/7)^0.5))</f>
        <v>2.9317819746231559</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0.52927788770684192</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23</v>
      </c>
      <c r="D13" s="69" t="str">
        <f>PLANTILLA!G15</f>
        <v>CAB</v>
      </c>
      <c r="E13" s="33">
        <v>42337</v>
      </c>
      <c r="F13" s="51">
        <f>PLANTILLA!Q15</f>
        <v>6</v>
      </c>
      <c r="G13" s="52">
        <f t="shared" si="73"/>
        <v>0.92582009977255142</v>
      </c>
      <c r="H13" s="52">
        <f t="shared" si="74"/>
        <v>0.99928545900129484</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14.5</v>
      </c>
      <c r="R13" s="50">
        <f t="shared" si="75"/>
        <v>4.2400000000000011</v>
      </c>
      <c r="S13" s="50">
        <f t="shared" si="76"/>
        <v>0.84028888888888886</v>
      </c>
      <c r="T13" s="50">
        <f t="shared" si="77"/>
        <v>0.5149999999999999</v>
      </c>
      <c r="U13" s="50">
        <f t="shared" ca="1" si="78"/>
        <v>15.545732853218839</v>
      </c>
      <c r="V13" s="50">
        <f t="shared" ca="1" si="79"/>
        <v>16.779312518227599</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2.8041488698780097</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86</v>
      </c>
      <c r="D14" s="69" t="str">
        <f>PLANTILLA!G16</f>
        <v>TEC</v>
      </c>
      <c r="E14" s="33">
        <v>42338</v>
      </c>
      <c r="F14" s="51">
        <f>PLANTILLA!Q16</f>
        <v>5</v>
      </c>
      <c r="G14" s="52">
        <f t="shared" si="73"/>
        <v>0.84515425472851657</v>
      </c>
      <c r="H14" s="52">
        <f t="shared" si="74"/>
        <v>0.92504826128926143</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15.599999999999998</v>
      </c>
      <c r="R14" s="50">
        <f t="shared" si="75"/>
        <v>4.1857222222222203</v>
      </c>
      <c r="S14" s="50">
        <f t="shared" si="76"/>
        <v>0.93499999999999983</v>
      </c>
      <c r="T14" s="50">
        <f t="shared" si="77"/>
        <v>0.55599999999999983</v>
      </c>
      <c r="U14" s="50">
        <f t="shared" ca="1" si="78"/>
        <v>15.071105390056887</v>
      </c>
      <c r="V14" s="50">
        <f t="shared" ca="1" si="79"/>
        <v>16.495805066091371</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2.9780061876964457</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25</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16.099999999999998</v>
      </c>
      <c r="R15" s="50">
        <f t="shared" si="75"/>
        <v>4.3414999999999999</v>
      </c>
      <c r="S15" s="50">
        <f t="shared" si="76"/>
        <v>0.93799999999999972</v>
      </c>
      <c r="T15" s="50">
        <f t="shared" si="77"/>
        <v>0.61099999999999999</v>
      </c>
      <c r="U15" s="50">
        <f t="shared" ca="1" si="78"/>
        <v>17.05511973850367</v>
      </c>
      <c r="V15" s="50">
        <f t="shared" ca="1" si="79"/>
        <v>18.408471754285376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3.0764130061875288</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82</v>
      </c>
      <c r="D16" s="69" t="str">
        <f>PLANTILLA!G18</f>
        <v>RAP</v>
      </c>
      <c r="E16" s="33">
        <v>42341</v>
      </c>
      <c r="F16" s="51">
        <f>PLANTILLA!Q18</f>
        <v>6</v>
      </c>
      <c r="G16" s="52">
        <f t="shared" si="73"/>
        <v>0.92582009977255142</v>
      </c>
      <c r="H16" s="52">
        <f t="shared" si="74"/>
        <v>0.99928545900129484</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15.2</v>
      </c>
      <c r="R16" s="50">
        <f t="shared" si="75"/>
        <v>4.2178632478632476</v>
      </c>
      <c r="S16" s="50">
        <f t="shared" si="76"/>
        <v>0.96076666666666666</v>
      </c>
      <c r="T16" s="50">
        <f t="shared" si="77"/>
        <v>0.53753846153846152</v>
      </c>
      <c r="U16" s="50">
        <f t="shared" ca="1" si="78"/>
        <v>16.205213837380001</v>
      </c>
      <c r="V16" s="50">
        <f t="shared" ca="1" si="79"/>
        <v>17.491124411404265</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2.9231064561109839</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36</v>
      </c>
      <c r="D17" s="242" t="str">
        <f>PLANTILLA!G19</f>
        <v>RAP</v>
      </c>
      <c r="E17" s="33">
        <v>42342</v>
      </c>
      <c r="F17" s="51">
        <f>PLANTILLA!Q19</f>
        <v>6</v>
      </c>
      <c r="G17" s="52">
        <f t="shared" ref="G17:G28" si="141">(F17/7)^0.5</f>
        <v>0.92582009977255142</v>
      </c>
      <c r="H17" s="52">
        <f t="shared" ref="H17:H28" si="142">IF(F17=7,1,((F17+0.99)/7)^0.5)</f>
        <v>0.99928545900129484</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4</v>
      </c>
      <c r="R17" s="50">
        <f t="shared" ref="R17:R28" si="144">((2*(O17+1))+(L17+1))/8</f>
        <v>1.9375</v>
      </c>
      <c r="S17" s="50">
        <f t="shared" ref="S17:S28" si="145">(0.5*P17+ 0.3*Q17)/10</f>
        <v>0.27</v>
      </c>
      <c r="T17" s="50">
        <f t="shared" ref="T17:T28" si="146">(0.4*L17+0.3*Q17)/10</f>
        <v>0.2</v>
      </c>
      <c r="U17" s="50">
        <f t="shared" ref="U17:U28" ca="1" si="147">IF(TODAY()-E17&gt;335,(Q17+1+(LOG(J17)*4/3))*(F17/7)^0.5,(Q17+((TODAY()-E17)^0.5)/(336^0.5)+(LOG(J17)*4/3))*(F17/7)^0.5)</f>
        <v>4.6291004988627567</v>
      </c>
      <c r="V17" s="50">
        <f t="shared" ref="V17:V28" ca="1" si="148">IF(F17=7,U17,IF(TODAY()-E17&gt;335,(Q17+1+(LOG(J17)*4/3))*((F17+0.99)/7)^0.5,(Q17+((TODAY()-E17)^0.5)/(336^0.5)+(LOG(J17)*4/3))*((F17+0.99)/7)^0.5))</f>
        <v>4.9964272950064741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0.83500000000000008</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40</v>
      </c>
      <c r="D18" s="242" t="str">
        <f>PLANTILLA!G20</f>
        <v>IMP</v>
      </c>
      <c r="E18" s="33">
        <v>42343</v>
      </c>
      <c r="F18" s="51">
        <f>PLANTILLA!Q20</f>
        <v>6</v>
      </c>
      <c r="G18" s="52">
        <f t="shared" si="141"/>
        <v>0.92582009977255142</v>
      </c>
      <c r="H18" s="52">
        <f t="shared" si="142"/>
        <v>0.99928545900129484</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2</v>
      </c>
      <c r="R18" s="50">
        <f t="shared" si="144"/>
        <v>2.4249999999999998</v>
      </c>
      <c r="S18" s="50">
        <f t="shared" si="145"/>
        <v>0.16</v>
      </c>
      <c r="T18" s="50">
        <f t="shared" si="146"/>
        <v>0.30000000000000004</v>
      </c>
      <c r="U18" s="50">
        <f t="shared" ca="1" si="147"/>
        <v>2.7774602993176543</v>
      </c>
      <c r="V18" s="50">
        <f t="shared" ca="1" si="148"/>
        <v>2.9978563770038846</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0.501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36</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2</v>
      </c>
      <c r="R19" s="50">
        <f t="shared" si="144"/>
        <v>1.75</v>
      </c>
      <c r="S19" s="50">
        <f t="shared" si="145"/>
        <v>0.21000000000000002</v>
      </c>
      <c r="T19" s="50">
        <f t="shared" si="146"/>
        <v>0.18000000000000002</v>
      </c>
      <c r="U19" s="50">
        <f t="shared" ca="1" si="147"/>
        <v>2.1962403886704558</v>
      </c>
      <c r="V19" s="50">
        <f t="shared" ca="1" si="148"/>
        <v>2.4038550850879448</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0.4339706542988202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77</v>
      </c>
      <c r="D20" s="242" t="str">
        <f>PLANTILLA!G22</f>
        <v>IMP</v>
      </c>
      <c r="E20" s="33">
        <v>42345</v>
      </c>
      <c r="F20" s="51">
        <f>PLANTILLA!Q22</f>
        <v>6</v>
      </c>
      <c r="G20" s="52">
        <f t="shared" si="141"/>
        <v>0.92582009977255142</v>
      </c>
      <c r="H20" s="52">
        <f t="shared" si="142"/>
        <v>0.99928545900129484</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2</v>
      </c>
      <c r="R20" s="50">
        <f t="shared" si="144"/>
        <v>1.625</v>
      </c>
      <c r="S20" s="50">
        <f t="shared" si="145"/>
        <v>0.26</v>
      </c>
      <c r="T20" s="50">
        <f t="shared" si="146"/>
        <v>0.18000000000000002</v>
      </c>
      <c r="U20" s="50">
        <f t="shared" ca="1" si="147"/>
        <v>2.4058608051574439</v>
      </c>
      <c r="V20" s="50">
        <f t="shared" ca="1" si="148"/>
        <v>2.5967698471502323</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0.4339706542988202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34</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5</v>
      </c>
      <c r="R21" s="50">
        <f t="shared" si="144"/>
        <v>1.9375</v>
      </c>
      <c r="S21" s="50">
        <f t="shared" si="145"/>
        <v>0.4</v>
      </c>
      <c r="T21" s="50">
        <f t="shared" si="146"/>
        <v>0.31</v>
      </c>
      <c r="U21" s="50">
        <f t="shared" ca="1" si="147"/>
        <v>5.0709255283710997</v>
      </c>
      <c r="V21" s="50">
        <f t="shared" ca="1" si="148"/>
        <v>5.5502895677355681</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1.002</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36</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2</v>
      </c>
      <c r="R22" s="50">
        <f t="shared" si="144"/>
        <v>1.5956999999999999</v>
      </c>
      <c r="S22" s="50">
        <f t="shared" si="145"/>
        <v>0.21000000000000002</v>
      </c>
      <c r="T22" s="50">
        <f t="shared" si="146"/>
        <v>0.26</v>
      </c>
      <c r="U22" s="50">
        <f t="shared" ca="1" si="147"/>
        <v>2.5354627641855498</v>
      </c>
      <c r="V22" s="50">
        <f t="shared" ca="1" si="148"/>
        <v>2.7751447838677841</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0.501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44</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3</v>
      </c>
      <c r="R23" s="50">
        <f t="shared" si="144"/>
        <v>1.6975</v>
      </c>
      <c r="S23" s="50">
        <f t="shared" si="145"/>
        <v>0.28999999999999998</v>
      </c>
      <c r="T23" s="50">
        <f t="shared" si="146"/>
        <v>0.25</v>
      </c>
      <c r="U23" s="50">
        <f t="shared" ca="1" si="147"/>
        <v>2.7203060676175332</v>
      </c>
      <c r="V23" s="50">
        <f t="shared" ca="1" si="148"/>
        <v>3.0383517265356508</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0.60097065429882024</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77</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2</v>
      </c>
      <c r="R24" s="50">
        <f t="shared" si="144"/>
        <v>2.125</v>
      </c>
      <c r="S24" s="50">
        <f t="shared" si="145"/>
        <v>0.36</v>
      </c>
      <c r="T24" s="50">
        <f t="shared" si="146"/>
        <v>0.26</v>
      </c>
      <c r="U24" s="50">
        <f t="shared" ca="1" si="147"/>
        <v>2.4058608051574439</v>
      </c>
      <c r="V24" s="50">
        <f t="shared" ca="1" si="148"/>
        <v>2.5967698471502323</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0.4339706542988202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84</v>
      </c>
      <c r="D25" s="242" t="str">
        <f>PLANTILLA!G27</f>
        <v>TEC</v>
      </c>
      <c r="E25" s="33">
        <v>42350</v>
      </c>
      <c r="F25" s="51">
        <f>PLANTILLA!Q27</f>
        <v>6</v>
      </c>
      <c r="G25" s="52">
        <f t="shared" si="141"/>
        <v>0.92582009977255142</v>
      </c>
      <c r="H25" s="52">
        <f t="shared" si="142"/>
        <v>0.99928545900129484</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5</v>
      </c>
      <c r="R25" s="50">
        <f t="shared" si="144"/>
        <v>1.8881999999999999</v>
      </c>
      <c r="S25" s="50">
        <f t="shared" si="145"/>
        <v>0.3</v>
      </c>
      <c r="T25" s="50">
        <f t="shared" si="146"/>
        <v>0.39</v>
      </c>
      <c r="U25" s="50">
        <f t="shared" ca="1" si="147"/>
        <v>5.1833211044750982</v>
      </c>
      <c r="V25" s="50">
        <f t="shared" ca="1" si="148"/>
        <v>5.5946262241541165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0.9349706542988202</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65</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4</v>
      </c>
      <c r="R26" s="50">
        <f t="shared" si="144"/>
        <v>1.1514</v>
      </c>
      <c r="S26" s="50">
        <f t="shared" si="145"/>
        <v>0.37</v>
      </c>
      <c r="T26" s="50">
        <f t="shared" si="146"/>
        <v>0.2</v>
      </c>
      <c r="U26" s="50">
        <f t="shared" ca="1" si="147"/>
        <v>3.8865488981274883</v>
      </c>
      <c r="V26" s="50">
        <f t="shared" ca="1" si="148"/>
        <v>4.2539516076664672</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0.76797065429882017</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33</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1.5</v>
      </c>
      <c r="R27" s="50">
        <f t="shared" si="144"/>
        <v>1.6353333333333333</v>
      </c>
      <c r="S27" s="50">
        <f t="shared" si="145"/>
        <v>0.29500000000000004</v>
      </c>
      <c r="T27" s="50">
        <f t="shared" si="146"/>
        <v>0.20499999999999999</v>
      </c>
      <c r="U27" s="50">
        <f t="shared" ca="1" si="147"/>
        <v>1.7736632613061973</v>
      </c>
      <c r="V27" s="50">
        <f t="shared" ca="1" si="148"/>
        <v>1.9413309544433139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0.35047065429882024</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37</v>
      </c>
      <c r="D28" s="242" t="str">
        <f>PLANTILLA!G30</f>
        <v>POT</v>
      </c>
      <c r="E28" s="33">
        <v>42353</v>
      </c>
      <c r="F28" s="51">
        <f>PLANTILLA!Q30</f>
        <v>5</v>
      </c>
      <c r="G28" s="52">
        <f t="shared" si="141"/>
        <v>0.84515425472851657</v>
      </c>
      <c r="H28" s="52">
        <f t="shared" si="142"/>
        <v>0.92504826128926143</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0.3</v>
      </c>
      <c r="R28" s="50">
        <f t="shared" si="144"/>
        <v>1.9378333333333333</v>
      </c>
      <c r="S28" s="50">
        <f t="shared" si="145"/>
        <v>0.159</v>
      </c>
      <c r="T28" s="50">
        <f t="shared" si="146"/>
        <v>0.16900000000000001</v>
      </c>
      <c r="U28" s="50">
        <f t="shared" ca="1" si="147"/>
        <v>1.0987005311470717</v>
      </c>
      <c r="V28" s="50">
        <f t="shared" ca="1" si="148"/>
        <v>1.2025627396760399</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0.21710000000000002</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35</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1.2</v>
      </c>
      <c r="R29" s="50">
        <f t="shared" ref="R29" si="213">((2*(O29+1))+(L29+1))/8</f>
        <v>1.5037777777777777</v>
      </c>
      <c r="S29" s="50">
        <f t="shared" ref="S29" si="214">(0.5*P29+ 0.3*Q29)/10</f>
        <v>0.23599999999999999</v>
      </c>
      <c r="T29" s="50">
        <f t="shared" ref="T29" si="215">(0.4*L29+0.3*Q29)/10</f>
        <v>0.156</v>
      </c>
      <c r="U29" s="50">
        <f t="shared" ref="U29" ca="1" si="216">IF(TODAY()-E29&gt;335,(Q29+1+(LOG(J29)*4/3))*(F29/7)^0.5,(Q29+((TODAY()-E29)^0.5)/(336^0.5)+(LOG(J29)*4/3))*(F29/7)^0.5)</f>
        <v>1.5201169848876426</v>
      </c>
      <c r="V29" s="50">
        <f t="shared" ref="V29" ca="1" si="217">IF(F29=7,U29,IF(TODAY()-E29&gt;335,(Q29+1+(LOG(J29)*4/3))*((F29+0.99)/7)^0.5,(Q29+((TODAY()-E29)^0.5)/(336^0.5)+(LOG(J29)*4/3))*((F29+0.99)/7)^0.5))</f>
        <v>1.6638164760565357</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0.30037065429882026</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9" sqref="C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43076</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2.6339285714285716</v>
      </c>
      <c r="D4" s="17" t="str">
        <f>PLANTILLA!D4</f>
        <v>Damián Sala</v>
      </c>
      <c r="E4" s="18">
        <f>PLANTILLA!E4</f>
        <v>30</v>
      </c>
      <c r="F4" s="19">
        <f ca="1">PLANTILLA!F4</f>
        <v>41</v>
      </c>
      <c r="G4" s="20">
        <f>PLANTILLA!G4</f>
        <v>0</v>
      </c>
      <c r="H4" s="5">
        <f>PLANTILLA!H4</f>
        <v>2</v>
      </c>
      <c r="I4" s="30">
        <f>PLANTILLA!I4</f>
        <v>10.6</v>
      </c>
      <c r="J4" s="21">
        <f>PLANTILLA!O4</f>
        <v>7.7</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19.449999999999996</v>
      </c>
      <c r="T4" s="180">
        <v>1</v>
      </c>
      <c r="U4" s="180">
        <v>1</v>
      </c>
      <c r="V4" s="180">
        <v>0.13</v>
      </c>
      <c r="W4" s="180">
        <v>0.13</v>
      </c>
      <c r="X4" s="180">
        <f>0.17</f>
        <v>0.17</v>
      </c>
      <c r="Y4" s="180">
        <f t="shared" ref="Y4:Y14" si="3">0.17</f>
        <v>0.17</v>
      </c>
      <c r="Z4" s="180">
        <v>1.25</v>
      </c>
      <c r="AA4" s="178">
        <f t="shared" ref="AA4:AA18" si="4">E4</f>
        <v>30</v>
      </c>
      <c r="AB4" s="179">
        <f t="shared" ref="AB4:AB18" ca="1" si="5">F4+7</f>
        <v>48</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19.449999999999996</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0.9017857142857143</v>
      </c>
      <c r="D5" s="31" t="str">
        <f>PLANTILLA!D5</f>
        <v>Mario Omarini</v>
      </c>
      <c r="E5" s="18">
        <f>PLANTILLA!E5</f>
        <v>32</v>
      </c>
      <c r="F5" s="19">
        <f ca="1">PLANTILLA!F5</f>
        <v>11</v>
      </c>
      <c r="G5" s="20" t="str">
        <f>PLANTILLA!G5</f>
        <v>TEC</v>
      </c>
      <c r="H5" s="5">
        <f>PLANTILLA!H5</f>
        <v>3</v>
      </c>
      <c r="I5" s="30">
        <f>PLANTILLA!I5</f>
        <v>9.6999999999999993</v>
      </c>
      <c r="J5" s="21">
        <f>PLANTILLA!O5</f>
        <v>7.1</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15.666666666666664</v>
      </c>
      <c r="T5" s="180">
        <v>0</v>
      </c>
      <c r="U5" s="180">
        <v>1</v>
      </c>
      <c r="V5" s="180">
        <v>0.13</v>
      </c>
      <c r="W5" s="180">
        <v>0.5</v>
      </c>
      <c r="X5" s="180">
        <v>1</v>
      </c>
      <c r="Y5" s="180">
        <f t="shared" si="3"/>
        <v>0.17</v>
      </c>
      <c r="Z5" s="180">
        <v>1.25</v>
      </c>
      <c r="AA5" s="178">
        <f t="shared" si="4"/>
        <v>32</v>
      </c>
      <c r="AB5" s="179">
        <f t="shared" ca="1" si="5"/>
        <v>18</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15.666666666666664</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1.0982142857142858</v>
      </c>
      <c r="D6" s="1" t="str">
        <f>PLANTILLA!D6</f>
        <v>Csaba Mező</v>
      </c>
      <c r="E6" s="2">
        <f>PLANTILLA!E6</f>
        <v>31</v>
      </c>
      <c r="F6" s="3">
        <f ca="1">PLANTILLA!F6</f>
        <v>101</v>
      </c>
      <c r="G6" s="4">
        <f>PLANTILLA!G6</f>
        <v>0</v>
      </c>
      <c r="H6" s="5">
        <f>PLANTILLA!H6</f>
        <v>3</v>
      </c>
      <c r="I6" s="6">
        <f>PLANTILLA!I6</f>
        <v>9.1</v>
      </c>
      <c r="J6" s="21">
        <f>PLANTILLA!O6</f>
        <v>6.9</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10.333333333333334</v>
      </c>
      <c r="T6" s="180">
        <v>0</v>
      </c>
      <c r="U6" s="180">
        <v>1</v>
      </c>
      <c r="V6" s="180">
        <v>0.13</v>
      </c>
      <c r="W6" s="180">
        <v>0.5</v>
      </c>
      <c r="X6" s="180">
        <v>1</v>
      </c>
      <c r="Y6" s="180">
        <f t="shared" si="3"/>
        <v>0.17</v>
      </c>
      <c r="Z6" s="180">
        <v>1</v>
      </c>
      <c r="AA6" s="178">
        <f t="shared" si="4"/>
        <v>31</v>
      </c>
      <c r="AB6" s="179">
        <f t="shared" ca="1" si="5"/>
        <v>108</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10.333333333333334</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1.5982142857142858</v>
      </c>
      <c r="D7" s="1" t="str">
        <f>PLANTILLA!D7</f>
        <v>Mateuz Brzostowski</v>
      </c>
      <c r="E7" s="2">
        <f>PLANTILLA!E7</f>
        <v>31</v>
      </c>
      <c r="F7" s="3">
        <f ca="1">PLANTILLA!F7</f>
        <v>45</v>
      </c>
      <c r="G7" s="4">
        <f>PLANTILLA!G7</f>
        <v>0</v>
      </c>
      <c r="H7" s="138">
        <f>PLANTILLA!H7</f>
        <v>2</v>
      </c>
      <c r="I7" s="6">
        <f>PLANTILLA!I7</f>
        <v>8.9</v>
      </c>
      <c r="J7" s="21">
        <f>PLANTILLA!O7</f>
        <v>6.9</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14.024444444444443</v>
      </c>
      <c r="T7" s="180">
        <v>0</v>
      </c>
      <c r="U7" s="180">
        <v>1</v>
      </c>
      <c r="V7" s="180">
        <v>0.13</v>
      </c>
      <c r="W7" s="180">
        <v>0.13</v>
      </c>
      <c r="X7" s="180">
        <v>1</v>
      </c>
      <c r="Y7" s="180">
        <f t="shared" si="3"/>
        <v>0.17</v>
      </c>
      <c r="Z7" s="180">
        <v>1</v>
      </c>
      <c r="AA7" s="178">
        <f t="shared" si="4"/>
        <v>31</v>
      </c>
      <c r="AB7" s="179">
        <f t="shared" ca="1" si="5"/>
        <v>52</v>
      </c>
      <c r="AC7" s="27">
        <f t="shared" si="6"/>
        <v>8.9</v>
      </c>
      <c r="AD7" s="181">
        <f t="shared" si="11"/>
        <v>0</v>
      </c>
      <c r="AE7" s="181">
        <f>N7+(U$2/20)</f>
        <v>14</v>
      </c>
      <c r="AF7" s="181">
        <f>O7+(V$2/50)</f>
        <v>5.0199999999999996</v>
      </c>
      <c r="AG7" s="181">
        <f>P7+(W$2/43)</f>
        <v>10.01</v>
      </c>
      <c r="AH7" s="181">
        <f>Q7+(X$2/7)</f>
        <v>9.1828571428571415</v>
      </c>
      <c r="AI7" s="181">
        <f>R7+(Y$2/32)</f>
        <v>1.01</v>
      </c>
      <c r="AJ7" s="181">
        <f>S7+(Z$2/3)</f>
        <v>14.024444444444443</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1.75</v>
      </c>
      <c r="D8" s="1" t="str">
        <f>PLANTILLA!D8</f>
        <v>Andrea Califano</v>
      </c>
      <c r="E8" s="2">
        <f>PLANTILLA!E8</f>
        <v>31</v>
      </c>
      <c r="F8" s="3">
        <f ca="1">PLANTILLA!F8</f>
        <v>28</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17.333333333333336</v>
      </c>
      <c r="T8" s="180">
        <v>0</v>
      </c>
      <c r="U8" s="180">
        <v>1</v>
      </c>
      <c r="V8" s="180">
        <v>0.13</v>
      </c>
      <c r="W8" s="180">
        <v>0.5</v>
      </c>
      <c r="X8" s="180">
        <v>1</v>
      </c>
      <c r="Y8" s="180">
        <f t="shared" si="3"/>
        <v>0.17</v>
      </c>
      <c r="Z8" s="180">
        <v>1</v>
      </c>
      <c r="AA8" s="178">
        <f t="shared" si="4"/>
        <v>31</v>
      </c>
      <c r="AB8" s="179">
        <f t="shared" ca="1" si="5"/>
        <v>35</v>
      </c>
      <c r="AC8" s="27">
        <f t="shared" si="6"/>
        <v>8.3000000000000007</v>
      </c>
      <c r="AD8" s="181">
        <f t="shared" si="11"/>
        <v>0</v>
      </c>
      <c r="AE8" s="181">
        <f>N8+(U$2/18)</f>
        <v>14</v>
      </c>
      <c r="AF8" s="181">
        <f>O8+(V$2/56)</f>
        <v>3.02</v>
      </c>
      <c r="AG8" s="181">
        <f>P8+(W$2/10)</f>
        <v>3.01</v>
      </c>
      <c r="AH8" s="181">
        <f>Q8+(X$2/6)</f>
        <v>10.176666666666666</v>
      </c>
      <c r="AI8" s="181">
        <f>R8+(Y$2/40)</f>
        <v>3</v>
      </c>
      <c r="AJ8" s="181">
        <f>S8+(Z$2/2.5)</f>
        <v>17.333333333333336</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0.2857142857142857</v>
      </c>
      <c r="D9" s="1" t="str">
        <f>PLANTILLA!D9</f>
        <v>Ibiur Altxakoa</v>
      </c>
      <c r="E9" s="2">
        <f>PLANTILLA!E9</f>
        <v>32</v>
      </c>
      <c r="F9" s="3">
        <f ca="1">PLANTILLA!F9</f>
        <v>80</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15</v>
      </c>
      <c r="T9" s="180">
        <v>0</v>
      </c>
      <c r="U9" s="180">
        <v>1</v>
      </c>
      <c r="V9" s="180">
        <v>0.13</v>
      </c>
      <c r="W9" s="180">
        <v>0.5</v>
      </c>
      <c r="X9" s="180">
        <v>1</v>
      </c>
      <c r="Y9" s="180">
        <f t="shared" si="3"/>
        <v>0.17</v>
      </c>
      <c r="Z9" s="180">
        <v>1</v>
      </c>
      <c r="AA9" s="178">
        <f t="shared" si="4"/>
        <v>32</v>
      </c>
      <c r="AB9" s="179">
        <f t="shared" ca="1" si="5"/>
        <v>87</v>
      </c>
      <c r="AC9" s="27">
        <f t="shared" si="6"/>
        <v>10.9</v>
      </c>
      <c r="AD9" s="181">
        <f t="shared" si="11"/>
        <v>0</v>
      </c>
      <c r="AE9" s="181">
        <f>N9+(U$2/28)</f>
        <v>15.028571428571428</v>
      </c>
      <c r="AF9" s="181">
        <f>O9+(V$2/45)</f>
        <v>12</v>
      </c>
      <c r="AG9" s="181">
        <f>P9+(W$2/6)</f>
        <v>2.0099999999999998</v>
      </c>
      <c r="AH9" s="181">
        <f>Q9+(X$2/14)</f>
        <v>7.2542857142857136</v>
      </c>
      <c r="AI9" s="181">
        <f>R9+(Y$2/45)</f>
        <v>3.99</v>
      </c>
      <c r="AJ9" s="181">
        <f>S9+(Z$2/1)</f>
        <v>15</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0.9732142857142857</v>
      </c>
      <c r="D10" s="31" t="str">
        <f>PLANTILLA!D10</f>
        <v>Jorge W. Whitaker</v>
      </c>
      <c r="E10" s="18">
        <f>PLANTILLA!E10</f>
        <v>32</v>
      </c>
      <c r="F10" s="3">
        <f ca="1">PLANTILLA!F10</f>
        <v>3</v>
      </c>
      <c r="G10" s="20" t="str">
        <f>PLANTILLA!G10</f>
        <v>POT</v>
      </c>
      <c r="H10" s="138">
        <f>PLANTILLA!H10</f>
        <v>2</v>
      </c>
      <c r="I10" s="30">
        <f>PLANTILLA!I10</f>
        <v>9.1999999999999993</v>
      </c>
      <c r="J10" s="21">
        <f>PLANTILLA!O10</f>
        <v>6.9</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8.8488888888888901</v>
      </c>
      <c r="T10" s="180">
        <v>0</v>
      </c>
      <c r="U10" s="180">
        <v>1</v>
      </c>
      <c r="V10" s="180">
        <v>1</v>
      </c>
      <c r="W10" s="180">
        <v>0.13</v>
      </c>
      <c r="X10" s="180">
        <v>1</v>
      </c>
      <c r="Y10" s="180">
        <f t="shared" si="3"/>
        <v>0.17</v>
      </c>
      <c r="Z10" s="180">
        <v>1</v>
      </c>
      <c r="AA10" s="178">
        <f t="shared" si="4"/>
        <v>32</v>
      </c>
      <c r="AB10" s="179">
        <f t="shared" ca="1" si="5"/>
        <v>10</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8.8488888888888901</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0.7142857142857143</v>
      </c>
      <c r="D11" s="1" t="str">
        <f>PLANTILLA!D11</f>
        <v>Emilio Mochelato</v>
      </c>
      <c r="E11" s="2">
        <f>PLANTILLA!E11</f>
        <v>32</v>
      </c>
      <c r="F11" s="3">
        <f ca="1">PLANTILLA!F11</f>
        <v>32</v>
      </c>
      <c r="G11" s="4" t="str">
        <f>PLANTILLA!G11</f>
        <v>RAP</v>
      </c>
      <c r="H11" s="5">
        <f>PLANTILLA!H11</f>
        <v>1</v>
      </c>
      <c r="I11" s="6">
        <f>PLANTILLA!I11</f>
        <v>10.5</v>
      </c>
      <c r="J11" s="21">
        <f>PLANTILLA!O11</f>
        <v>6.6</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15.666666666666664</v>
      </c>
      <c r="T11" s="180">
        <v>0</v>
      </c>
      <c r="U11" s="180">
        <f>0.17</f>
        <v>0.17</v>
      </c>
      <c r="V11" s="180">
        <v>0.5</v>
      </c>
      <c r="W11" s="180">
        <v>1</v>
      </c>
      <c r="X11" s="180">
        <v>1</v>
      </c>
      <c r="Y11" s="180">
        <f t="shared" si="3"/>
        <v>0.17</v>
      </c>
      <c r="Z11" s="180">
        <v>1</v>
      </c>
      <c r="AA11" s="178">
        <f t="shared" si="4"/>
        <v>32</v>
      </c>
      <c r="AB11" s="179">
        <f t="shared" ca="1" si="5"/>
        <v>39</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15.666666666666664</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2.8839285714285716</v>
      </c>
      <c r="D12" s="1" t="str">
        <f>PLANTILLA!D12</f>
        <v>Cezary Pauch</v>
      </c>
      <c r="E12" s="2">
        <f>PLANTILLA!E12</f>
        <v>30</v>
      </c>
      <c r="F12" s="3">
        <f ca="1">PLANTILLA!F12</f>
        <v>13</v>
      </c>
      <c r="G12" s="4" t="str">
        <f>PLANTILLA!G12</f>
        <v>RAP</v>
      </c>
      <c r="H12" s="5">
        <f>PLANTILLA!H12</f>
        <v>2</v>
      </c>
      <c r="I12" s="6">
        <f>PLANTILLA!I12</f>
        <v>6.1</v>
      </c>
      <c r="J12" s="21">
        <f>PLANTILLA!O12</f>
        <v>6.9</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1.1222222222222222</v>
      </c>
      <c r="T12" s="180">
        <v>0</v>
      </c>
      <c r="U12" s="180">
        <f>0.17</f>
        <v>0.17</v>
      </c>
      <c r="V12" s="180">
        <v>1</v>
      </c>
      <c r="W12" s="180">
        <v>1</v>
      </c>
      <c r="X12" s="180">
        <v>1</v>
      </c>
      <c r="Y12" s="180">
        <v>1</v>
      </c>
      <c r="Z12" s="180">
        <v>1</v>
      </c>
      <c r="AA12" s="178">
        <f t="shared" si="4"/>
        <v>30</v>
      </c>
      <c r="AB12" s="179">
        <f t="shared" ca="1" si="5"/>
        <v>20</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1.1222222222222222</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1.1428571428571428</v>
      </c>
      <c r="D13" s="1" t="str">
        <f>PLANTILLA!D13</f>
        <v>Iyad Chaabo</v>
      </c>
      <c r="E13" s="2">
        <f>PLANTILLA!E13</f>
        <v>31</v>
      </c>
      <c r="F13" s="3">
        <f ca="1">PLANTILLA!F13</f>
        <v>96</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7</v>
      </c>
      <c r="T13" s="180">
        <v>0</v>
      </c>
      <c r="U13" s="180">
        <f>0.17</f>
        <v>0.17</v>
      </c>
      <c r="V13" s="180">
        <v>0.5</v>
      </c>
      <c r="W13" s="180">
        <v>1</v>
      </c>
      <c r="X13" s="180">
        <v>1</v>
      </c>
      <c r="Y13" s="180">
        <v>1</v>
      </c>
      <c r="Z13" s="180">
        <v>1</v>
      </c>
      <c r="AA13" s="178">
        <f t="shared" si="4"/>
        <v>31</v>
      </c>
      <c r="AB13" s="179">
        <f t="shared" ca="1" si="5"/>
        <v>103</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7</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-8.0357142857142863E-2</v>
      </c>
      <c r="D14" s="31" t="str">
        <f>PLANTILLA!D14</f>
        <v>Morgan Thomas</v>
      </c>
      <c r="E14" s="18">
        <f>PLANTILLA!E14</f>
        <v>33</v>
      </c>
      <c r="F14" s="3">
        <f ca="1">PLANTILLA!F14</f>
        <v>9</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2.95</v>
      </c>
      <c r="S14" s="23">
        <f>PLANTILLA!AD14</f>
        <v>10.62962962962963</v>
      </c>
      <c r="T14" s="180">
        <v>0</v>
      </c>
      <c r="U14" s="180">
        <f>0.17</f>
        <v>0.17</v>
      </c>
      <c r="V14" s="180">
        <v>0.5</v>
      </c>
      <c r="W14" s="180">
        <v>1</v>
      </c>
      <c r="X14" s="180">
        <v>1</v>
      </c>
      <c r="Y14" s="180">
        <f t="shared" si="3"/>
        <v>0.17</v>
      </c>
      <c r="Z14" s="180">
        <v>1</v>
      </c>
      <c r="AA14" s="178">
        <f t="shared" si="4"/>
        <v>33</v>
      </c>
      <c r="AB14" s="179">
        <f t="shared" ca="1" si="5"/>
        <v>16</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10.62962962962963</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2.7946428571428572</v>
      </c>
      <c r="D15" s="17" t="str">
        <f>PLANTILLA!D15</f>
        <v>Gianfranco Rezza</v>
      </c>
      <c r="E15" s="18">
        <f>PLANTILLA!E15</f>
        <v>30</v>
      </c>
      <c r="F15" s="3">
        <f ca="1">PLANTILLA!F15</f>
        <v>23</v>
      </c>
      <c r="G15" s="20" t="str">
        <f>PLANTILLA!G15</f>
        <v>CAB</v>
      </c>
      <c r="H15" s="5">
        <f>PLANTILLA!H15</f>
        <v>4</v>
      </c>
      <c r="I15" s="30">
        <f>PLANTILLA!I15</f>
        <v>9.3000000000000007</v>
      </c>
      <c r="J15" s="21">
        <f>PLANTILLA!O15</f>
        <v>7.8</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14.5</v>
      </c>
      <c r="T15" s="180">
        <v>0</v>
      </c>
      <c r="U15" s="180">
        <v>1</v>
      </c>
      <c r="V15" s="180">
        <v>1</v>
      </c>
      <c r="W15" s="180">
        <v>0.13</v>
      </c>
      <c r="X15" s="180">
        <v>1</v>
      </c>
      <c r="Y15" s="180">
        <v>1</v>
      </c>
      <c r="Z15" s="180">
        <v>1</v>
      </c>
      <c r="AA15" s="178">
        <f t="shared" si="4"/>
        <v>30</v>
      </c>
      <c r="AB15" s="179">
        <f t="shared" ca="1" si="5"/>
        <v>30</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14.5</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3.2321428571428572</v>
      </c>
      <c r="D16" s="17" t="str">
        <f>PLANTILLA!D16</f>
        <v>Saul Piña</v>
      </c>
      <c r="E16" s="18">
        <f>PLANTILLA!E16</f>
        <v>29</v>
      </c>
      <c r="F16" s="3">
        <f ca="1">PLANTILLA!F16</f>
        <v>86</v>
      </c>
      <c r="G16" s="20" t="str">
        <f>PLANTILLA!G16</f>
        <v>TEC</v>
      </c>
      <c r="H16" s="43">
        <f>PLANTILLA!H16</f>
        <v>6</v>
      </c>
      <c r="I16" s="30">
        <f>PLANTILLA!I16</f>
        <v>8.4</v>
      </c>
      <c r="J16" s="21">
        <f>PLANTILLA!O16</f>
        <v>7.7</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15.599999999999998</v>
      </c>
      <c r="T16" s="180">
        <v>0</v>
      </c>
      <c r="U16" s="180">
        <v>1</v>
      </c>
      <c r="V16" s="180">
        <v>1</v>
      </c>
      <c r="W16" s="180">
        <v>0.13</v>
      </c>
      <c r="X16" s="180">
        <v>1</v>
      </c>
      <c r="Y16" s="180">
        <v>1</v>
      </c>
      <c r="Z16" s="180">
        <v>1</v>
      </c>
      <c r="AA16" s="178">
        <f t="shared" si="4"/>
        <v>29</v>
      </c>
      <c r="AB16" s="179">
        <f t="shared" ca="1" si="5"/>
        <v>93</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15.599999999999998</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2.7767857142857144</v>
      </c>
      <c r="D17" s="29" t="str">
        <f>PLANTILLA!D17</f>
        <v>Adam Moss</v>
      </c>
      <c r="E17" s="2">
        <f>PLANTILLA!E17</f>
        <v>30</v>
      </c>
      <c r="F17" s="3">
        <f ca="1">PLANTILLA!F17</f>
        <v>25</v>
      </c>
      <c r="G17" s="20" t="str">
        <f>PLANTILLA!G17</f>
        <v>RAP</v>
      </c>
      <c r="H17" s="5">
        <f>PLANTILLA!H17</f>
        <v>1</v>
      </c>
      <c r="I17" s="6">
        <f>PLANTILLA!I17</f>
        <v>9.8000000000000007</v>
      </c>
      <c r="J17" s="21">
        <f>PLANTILLA!O17</f>
        <v>7.5</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16.099999999999998</v>
      </c>
      <c r="T17" s="180">
        <v>0</v>
      </c>
      <c r="U17" s="180">
        <v>1</v>
      </c>
      <c r="V17" s="180">
        <v>1</v>
      </c>
      <c r="W17" s="180">
        <v>0.13</v>
      </c>
      <c r="X17" s="180">
        <v>1</v>
      </c>
      <c r="Y17" s="180">
        <v>1</v>
      </c>
      <c r="Z17" s="180">
        <v>1</v>
      </c>
      <c r="AA17" s="178">
        <f t="shared" si="4"/>
        <v>30</v>
      </c>
      <c r="AB17" s="179">
        <f t="shared" ca="1" si="5"/>
        <v>32</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16.099999999999998</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3.2678571428571428</v>
      </c>
      <c r="D18" s="29" t="str">
        <f>PLANTILLA!D18</f>
        <v>Rasheed Da'na</v>
      </c>
      <c r="E18" s="2">
        <f>PLANTILLA!E18</f>
        <v>29</v>
      </c>
      <c r="F18" s="3">
        <f ca="1">PLANTILLA!F18</f>
        <v>82</v>
      </c>
      <c r="G18" s="4" t="str">
        <f>PLANTILLA!G18</f>
        <v>RAP</v>
      </c>
      <c r="H18" s="5">
        <f>PLANTILLA!H18</f>
        <v>1</v>
      </c>
      <c r="I18" s="6">
        <f>PLANTILLA!I18</f>
        <v>9.5</v>
      </c>
      <c r="J18" s="21">
        <f>PLANTILLA!O18</f>
        <v>7.8</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15.2</v>
      </c>
      <c r="T18" s="180">
        <v>0</v>
      </c>
      <c r="U18" s="180">
        <f>0.17</f>
        <v>0.17</v>
      </c>
      <c r="V18" s="180">
        <v>1</v>
      </c>
      <c r="W18" s="180">
        <v>0.13</v>
      </c>
      <c r="X18" s="180">
        <v>1</v>
      </c>
      <c r="Y18" s="180">
        <v>1</v>
      </c>
      <c r="Z18" s="180">
        <v>1</v>
      </c>
      <c r="AA18" s="178">
        <f t="shared" si="4"/>
        <v>29</v>
      </c>
      <c r="AB18" s="179">
        <f t="shared" ca="1" si="5"/>
        <v>89</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15.2</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2017-12-07T11:11:17Z</dcterms:modified>
</cp:coreProperties>
</file>