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 activeTab="2"/>
  </bookViews>
  <sheets>
    <sheet name="VADER-SanBlas" sheetId="471" r:id="rId1"/>
    <sheet name="Otters-VADER" sheetId="475" r:id="rId2"/>
    <sheet name="SanBlasUnited" sheetId="476" r:id="rId3"/>
    <sheet name="SIMULADOR" sheetId="285" r:id="rId4"/>
    <sheet name="SIMULADOR&gt;22-12-17" sheetId="435" r:id="rId5"/>
    <sheet name="SIMULADOR_sinJC" sheetId="273" r:id="rId6"/>
  </sheets>
  <calcPr calcId="152511"/>
  <fileRecoveryPr autoRecover="0"/>
</workbook>
</file>

<file path=xl/calcChain.xml><?xml version="1.0" encoding="utf-8"?>
<calcChain xmlns="http://schemas.openxmlformats.org/spreadsheetml/2006/main">
  <c r="BF48" i="475" l="1"/>
  <c r="BF47" i="475"/>
  <c r="BF46" i="475"/>
  <c r="BF45" i="475"/>
  <c r="BE45" i="475"/>
  <c r="BF44" i="475"/>
  <c r="BE44" i="475"/>
  <c r="BD44" i="475"/>
  <c r="BE43" i="475"/>
  <c r="BD43" i="475"/>
  <c r="BC43" i="475"/>
  <c r="BF42" i="475"/>
  <c r="BE42" i="475"/>
  <c r="BF43" i="475" s="1"/>
  <c r="BD42" i="475"/>
  <c r="BC42" i="475"/>
  <c r="BF41" i="475"/>
  <c r="BE41" i="475"/>
  <c r="BD41" i="475"/>
  <c r="BC41" i="475"/>
  <c r="BF40" i="475"/>
  <c r="BE40" i="475"/>
  <c r="BD40" i="475"/>
  <c r="BC40" i="475"/>
  <c r="BC39" i="475"/>
  <c r="AS38" i="475"/>
  <c r="AR38" i="475"/>
  <c r="AQ38" i="475"/>
  <c r="AP38" i="475"/>
  <c r="AO38" i="475"/>
  <c r="AN38" i="475"/>
  <c r="AM38" i="475"/>
  <c r="AL38" i="475"/>
  <c r="AK38" i="475"/>
  <c r="AJ38" i="475"/>
  <c r="AI38" i="475"/>
  <c r="AH38" i="475"/>
  <c r="AG38" i="475"/>
  <c r="AF38" i="475"/>
  <c r="AE38" i="475"/>
  <c r="AD38" i="475"/>
  <c r="AC38" i="475"/>
  <c r="AB38" i="475"/>
  <c r="AA38" i="475"/>
  <c r="Z38" i="475"/>
  <c r="Y38" i="475"/>
  <c r="X38" i="475"/>
  <c r="W38" i="475"/>
  <c r="V38" i="475"/>
  <c r="U38" i="475"/>
  <c r="T38" i="475"/>
  <c r="S38" i="475"/>
  <c r="R38" i="475"/>
  <c r="Q38" i="475"/>
  <c r="P38" i="475"/>
  <c r="O38" i="475"/>
  <c r="N38" i="475"/>
  <c r="M38" i="475"/>
  <c r="L38" i="475"/>
  <c r="K38" i="475"/>
  <c r="J38" i="475"/>
  <c r="I38" i="475"/>
  <c r="H38" i="475"/>
  <c r="G38" i="475"/>
  <c r="BH37" i="475"/>
  <c r="BH43" i="475" s="1"/>
  <c r="BH48" i="475" s="1"/>
  <c r="BH53" i="475" s="1"/>
  <c r="BH56" i="475" s="1"/>
  <c r="BH58" i="475" s="1"/>
  <c r="BH59" i="475" s="1"/>
  <c r="BF34" i="475"/>
  <c r="BF33" i="475"/>
  <c r="C33" i="475"/>
  <c r="B33" i="475"/>
  <c r="C32" i="475"/>
  <c r="B32" i="475"/>
  <c r="BE31" i="475"/>
  <c r="BF32" i="475" s="1"/>
  <c r="BH30" i="475"/>
  <c r="BF30" i="475"/>
  <c r="BE30" i="475"/>
  <c r="BD30" i="475"/>
  <c r="E30" i="475"/>
  <c r="D30" i="475"/>
  <c r="BH29" i="475"/>
  <c r="BH36" i="475" s="1"/>
  <c r="BH42" i="475" s="1"/>
  <c r="BH47" i="475" s="1"/>
  <c r="BH52" i="475" s="1"/>
  <c r="BH55" i="475" s="1"/>
  <c r="BH57" i="475" s="1"/>
  <c r="BL13" i="475" s="1"/>
  <c r="BE29" i="475"/>
  <c r="BD29" i="475"/>
  <c r="BC29" i="475"/>
  <c r="C29" i="475"/>
  <c r="B29" i="475"/>
  <c r="BH28" i="475"/>
  <c r="BH35" i="475" s="1"/>
  <c r="BH41" i="475" s="1"/>
  <c r="BH46" i="475" s="1"/>
  <c r="BH51" i="475" s="1"/>
  <c r="BH54" i="475" s="1"/>
  <c r="BF28" i="475"/>
  <c r="BE28" i="475"/>
  <c r="BF29" i="475" s="1"/>
  <c r="BD28" i="475"/>
  <c r="BC28" i="475"/>
  <c r="BH27" i="475"/>
  <c r="BH34" i="475" s="1"/>
  <c r="BH40" i="475" s="1"/>
  <c r="BH45" i="475" s="1"/>
  <c r="BH50" i="475" s="1"/>
  <c r="BF27" i="475"/>
  <c r="BE27" i="475"/>
  <c r="BD27" i="475"/>
  <c r="BC27" i="475"/>
  <c r="C27" i="475"/>
  <c r="B27" i="475"/>
  <c r="BH26" i="475"/>
  <c r="BH33" i="475" s="1"/>
  <c r="BH39" i="475" s="1"/>
  <c r="BH44" i="475" s="1"/>
  <c r="BL10" i="475" s="1"/>
  <c r="BP30" i="475" s="1"/>
  <c r="BP37" i="475" s="1"/>
  <c r="BP45" i="475" s="1"/>
  <c r="BF26" i="475"/>
  <c r="BE26" i="475"/>
  <c r="BD26" i="475"/>
  <c r="BC26" i="475"/>
  <c r="E26" i="475"/>
  <c r="E27" i="475" s="1"/>
  <c r="D26" i="475"/>
  <c r="C26" i="475"/>
  <c r="B26" i="475"/>
  <c r="BH25" i="475"/>
  <c r="BH32" i="475" s="1"/>
  <c r="BH38" i="475" s="1"/>
  <c r="BC25" i="475"/>
  <c r="E25" i="475"/>
  <c r="E23" i="475" s="1"/>
  <c r="D25" i="475"/>
  <c r="C25" i="475"/>
  <c r="B25" i="475"/>
  <c r="BH24" i="475"/>
  <c r="BH31" i="475" s="1"/>
  <c r="BH23" i="475"/>
  <c r="B22" i="475"/>
  <c r="C22" i="475" s="1"/>
  <c r="B20" i="475"/>
  <c r="B21" i="475" s="1"/>
  <c r="Z19" i="475"/>
  <c r="Y19" i="475"/>
  <c r="P19" i="475"/>
  <c r="O19" i="475"/>
  <c r="Q19" i="475" s="1"/>
  <c r="BP18" i="475"/>
  <c r="BP22" i="475" s="1"/>
  <c r="BP28" i="475" s="1"/>
  <c r="BP35" i="475" s="1"/>
  <c r="BP43" i="475" s="1"/>
  <c r="AA18" i="475"/>
  <c r="Q18" i="475"/>
  <c r="Z17" i="475"/>
  <c r="Y17" i="475"/>
  <c r="P17" i="475"/>
  <c r="O17" i="475"/>
  <c r="Q17" i="475" s="1"/>
  <c r="AA16" i="475"/>
  <c r="Y16" i="475"/>
  <c r="Q16" i="475"/>
  <c r="O16" i="475"/>
  <c r="C16" i="475"/>
  <c r="B16" i="475"/>
  <c r="AA15" i="475"/>
  <c r="Q15" i="475"/>
  <c r="Y14" i="475"/>
  <c r="AA14" i="475" s="1"/>
  <c r="O14" i="475"/>
  <c r="Q14" i="475" s="1"/>
  <c r="Z13" i="475"/>
  <c r="AA13" i="475" s="1"/>
  <c r="Q13" i="475"/>
  <c r="P13" i="475"/>
  <c r="BL12" i="475"/>
  <c r="BP47" i="475" s="1"/>
  <c r="AA12" i="475"/>
  <c r="Q12" i="475"/>
  <c r="BL11" i="475"/>
  <c r="BP38" i="475" s="1"/>
  <c r="BP46" i="475" s="1"/>
  <c r="Z11" i="475"/>
  <c r="Y11" i="475"/>
  <c r="P11" i="475"/>
  <c r="O11" i="475"/>
  <c r="Q11" i="475" s="1"/>
  <c r="Z10" i="475"/>
  <c r="Y10" i="475"/>
  <c r="AA10" i="475" s="1"/>
  <c r="P10" i="475"/>
  <c r="O10" i="475"/>
  <c r="Q10" i="475" s="1"/>
  <c r="BP9" i="475"/>
  <c r="BP12" i="475" s="1"/>
  <c r="BP16" i="475" s="1"/>
  <c r="BP20" i="475" s="1"/>
  <c r="BP26" i="475" s="1"/>
  <c r="BP33" i="475" s="1"/>
  <c r="BP41" i="475" s="1"/>
  <c r="BL9" i="475"/>
  <c r="BP23" i="475" s="1"/>
  <c r="BP29" i="475" s="1"/>
  <c r="BP36" i="475" s="1"/>
  <c r="BP44" i="475" s="1"/>
  <c r="Y9" i="475"/>
  <c r="AA9" i="475" s="1"/>
  <c r="O9" i="475"/>
  <c r="Q9" i="475" s="1"/>
  <c r="BL8" i="475"/>
  <c r="Z8" i="475"/>
  <c r="AA8" i="475" s="1"/>
  <c r="Y8" i="475"/>
  <c r="P8" i="475"/>
  <c r="O8" i="475"/>
  <c r="Q8" i="475" s="1"/>
  <c r="BP7" i="475"/>
  <c r="BP10" i="475" s="1"/>
  <c r="BP14" i="475" s="1"/>
  <c r="BH49" i="475" s="1"/>
  <c r="BP24" i="475" s="1"/>
  <c r="BP31" i="475" s="1"/>
  <c r="BP39" i="475" s="1"/>
  <c r="BL14" i="475" s="1"/>
  <c r="BL7" i="475"/>
  <c r="BP13" i="475" s="1"/>
  <c r="BP17" i="475" s="1"/>
  <c r="BP21" i="475" s="1"/>
  <c r="BP27" i="475" s="1"/>
  <c r="BP34" i="475" s="1"/>
  <c r="BP42" i="475" s="1"/>
  <c r="AA7" i="475"/>
  <c r="Q7" i="475"/>
  <c r="BP6" i="475"/>
  <c r="BP8" i="475" s="1"/>
  <c r="BP11" i="475" s="1"/>
  <c r="BP15" i="475" s="1"/>
  <c r="BP19" i="475" s="1"/>
  <c r="BP25" i="475" s="1"/>
  <c r="BP32" i="475" s="1"/>
  <c r="BP40" i="475" s="1"/>
  <c r="BL6" i="475"/>
  <c r="Z6" i="475"/>
  <c r="Y6" i="475"/>
  <c r="P6" i="475"/>
  <c r="O6" i="475"/>
  <c r="BP5" i="475"/>
  <c r="Z5" i="475"/>
  <c r="Y5" i="475"/>
  <c r="P5" i="475"/>
  <c r="O5" i="475"/>
  <c r="Q5" i="475" s="1"/>
  <c r="D3" i="475"/>
  <c r="K3" i="475" s="1"/>
  <c r="S2" i="475"/>
  <c r="AF1" i="475"/>
  <c r="V1" i="475"/>
  <c r="S1" i="475"/>
  <c r="AA11" i="475" l="1"/>
  <c r="AA6" i="475"/>
  <c r="AA17" i="475"/>
  <c r="AA5" i="475"/>
  <c r="Q6" i="475"/>
  <c r="B23" i="475"/>
  <c r="C23" i="475" s="1"/>
  <c r="G1" i="475"/>
  <c r="G2" i="475"/>
  <c r="AA19" i="475"/>
  <c r="D27" i="475"/>
  <c r="B31" i="475" s="1"/>
  <c r="W25" i="475" s="1"/>
  <c r="D23" i="475"/>
  <c r="K2" i="475"/>
  <c r="G3" i="475"/>
  <c r="K1" i="475"/>
  <c r="C31" i="475"/>
  <c r="W39" i="475" s="1"/>
  <c r="BF31" i="475"/>
  <c r="BF48" i="471"/>
  <c r="BF47" i="471"/>
  <c r="BF46" i="471"/>
  <c r="BF45" i="471"/>
  <c r="BE45" i="471"/>
  <c r="BF44" i="471"/>
  <c r="BE44" i="471"/>
  <c r="BD44" i="471"/>
  <c r="BE43" i="471"/>
  <c r="BD43" i="471"/>
  <c r="BC43" i="471"/>
  <c r="BF42" i="471"/>
  <c r="BE42" i="471"/>
  <c r="BF43" i="471" s="1"/>
  <c r="BD42" i="471"/>
  <c r="BC42" i="471"/>
  <c r="BF41" i="471"/>
  <c r="BE41" i="471"/>
  <c r="BD41" i="471"/>
  <c r="BC41" i="471"/>
  <c r="BF40" i="471"/>
  <c r="BE40" i="471"/>
  <c r="BD40" i="471"/>
  <c r="BC40" i="471"/>
  <c r="BC39" i="471"/>
  <c r="BH38" i="471"/>
  <c r="AS38" i="471"/>
  <c r="AR38" i="471"/>
  <c r="AQ38" i="471"/>
  <c r="AP38" i="471"/>
  <c r="AO38" i="471"/>
  <c r="AN38" i="471"/>
  <c r="AM38" i="471"/>
  <c r="AL38" i="471"/>
  <c r="AK38" i="471"/>
  <c r="AJ38" i="471"/>
  <c r="AI38" i="471"/>
  <c r="AH38" i="471"/>
  <c r="AG38" i="471"/>
  <c r="AF38" i="471"/>
  <c r="AE38" i="471"/>
  <c r="AD38" i="471"/>
  <c r="AC38" i="471"/>
  <c r="AB38" i="471"/>
  <c r="AA38" i="471"/>
  <c r="Z38" i="471"/>
  <c r="Y38" i="471"/>
  <c r="X38" i="471"/>
  <c r="W38" i="471"/>
  <c r="V38" i="471"/>
  <c r="U38" i="471"/>
  <c r="T38" i="471"/>
  <c r="S38" i="471"/>
  <c r="R38" i="471"/>
  <c r="Q38" i="471"/>
  <c r="P38" i="471"/>
  <c r="O38" i="471"/>
  <c r="N38" i="471"/>
  <c r="M38" i="471"/>
  <c r="L38" i="471"/>
  <c r="K38" i="471"/>
  <c r="J38" i="471"/>
  <c r="I38" i="471"/>
  <c r="H38" i="471"/>
  <c r="G38" i="471"/>
  <c r="BH37" i="471"/>
  <c r="BH43" i="471" s="1"/>
  <c r="BH48" i="471" s="1"/>
  <c r="BH53" i="471" s="1"/>
  <c r="BH56" i="471" s="1"/>
  <c r="BH58" i="471" s="1"/>
  <c r="BH59" i="471" s="1"/>
  <c r="BF34" i="471"/>
  <c r="BF33" i="471"/>
  <c r="C33" i="471"/>
  <c r="B33" i="471"/>
  <c r="C32" i="471"/>
  <c r="B32" i="471"/>
  <c r="BE31" i="471"/>
  <c r="BF32" i="471" s="1"/>
  <c r="BH30" i="471"/>
  <c r="BE30" i="471"/>
  <c r="BD30" i="471"/>
  <c r="E30" i="471"/>
  <c r="D30" i="471"/>
  <c r="BH29" i="471"/>
  <c r="BH36" i="471" s="1"/>
  <c r="BH42" i="471" s="1"/>
  <c r="BH47" i="471" s="1"/>
  <c r="BH52" i="471" s="1"/>
  <c r="BH55" i="471" s="1"/>
  <c r="BH57" i="471" s="1"/>
  <c r="BL13" i="471" s="1"/>
  <c r="BE29" i="471"/>
  <c r="BD29" i="471"/>
  <c r="BC29" i="471"/>
  <c r="C29" i="471"/>
  <c r="B29" i="471"/>
  <c r="BH28" i="471"/>
  <c r="BH35" i="471" s="1"/>
  <c r="BH41" i="471" s="1"/>
  <c r="BH46" i="471" s="1"/>
  <c r="BH51" i="471" s="1"/>
  <c r="BH54" i="471" s="1"/>
  <c r="BL12" i="471" s="1"/>
  <c r="BP47" i="471" s="1"/>
  <c r="BE28" i="471"/>
  <c r="BF29" i="471" s="1"/>
  <c r="BD28" i="471"/>
  <c r="BC28" i="471"/>
  <c r="BH27" i="471"/>
  <c r="BH34" i="471" s="1"/>
  <c r="BH40" i="471" s="1"/>
  <c r="BH45" i="471" s="1"/>
  <c r="BH50" i="471" s="1"/>
  <c r="BF27" i="471"/>
  <c r="BE27" i="471"/>
  <c r="BF28" i="471" s="1"/>
  <c r="BD27" i="471"/>
  <c r="BC27" i="471"/>
  <c r="E27" i="471"/>
  <c r="C27" i="471"/>
  <c r="B27" i="471"/>
  <c r="BH26" i="471"/>
  <c r="BH33" i="471" s="1"/>
  <c r="BH39" i="471" s="1"/>
  <c r="BH44" i="471" s="1"/>
  <c r="BF26" i="471"/>
  <c r="BE26" i="471"/>
  <c r="BD26" i="471"/>
  <c r="BC26" i="471"/>
  <c r="E26" i="471"/>
  <c r="D26" i="471"/>
  <c r="D27" i="471" s="1"/>
  <c r="C26" i="471"/>
  <c r="B26" i="471"/>
  <c r="BH25" i="471"/>
  <c r="BH32" i="471" s="1"/>
  <c r="BC25" i="471"/>
  <c r="E25" i="471"/>
  <c r="E23" i="471" s="1"/>
  <c r="D25" i="471"/>
  <c r="C25" i="471"/>
  <c r="B25" i="471"/>
  <c r="BH24" i="471"/>
  <c r="BH31" i="471" s="1"/>
  <c r="BH23" i="471"/>
  <c r="B22" i="471"/>
  <c r="B21" i="471"/>
  <c r="B20" i="471"/>
  <c r="Z19" i="471"/>
  <c r="Y19" i="471"/>
  <c r="P19" i="471"/>
  <c r="O19" i="471"/>
  <c r="Q19" i="471" s="1"/>
  <c r="AA18" i="471"/>
  <c r="Q18" i="471"/>
  <c r="Z17" i="471"/>
  <c r="Y17" i="471"/>
  <c r="P17" i="471"/>
  <c r="O17" i="471"/>
  <c r="Y16" i="471"/>
  <c r="AA16" i="471" s="1"/>
  <c r="O16" i="471"/>
  <c r="Q16" i="471" s="1"/>
  <c r="C16" i="471"/>
  <c r="B16" i="471"/>
  <c r="AA15" i="471"/>
  <c r="Q15" i="471"/>
  <c r="Y14" i="471"/>
  <c r="AA14" i="471" s="1"/>
  <c r="O14" i="471"/>
  <c r="Q14" i="471" s="1"/>
  <c r="Z13" i="471"/>
  <c r="AA13" i="471" s="1"/>
  <c r="P13" i="471"/>
  <c r="Q13" i="471" s="1"/>
  <c r="AA12" i="471"/>
  <c r="Q12" i="471"/>
  <c r="BL11" i="471"/>
  <c r="BP38" i="471" s="1"/>
  <c r="BP46" i="471" s="1"/>
  <c r="AA11" i="471"/>
  <c r="Z11" i="471"/>
  <c r="Y11" i="471"/>
  <c r="P11" i="471"/>
  <c r="O11" i="471"/>
  <c r="BL10" i="471"/>
  <c r="BP30" i="471" s="1"/>
  <c r="BP37" i="471" s="1"/>
  <c r="BP45" i="471" s="1"/>
  <c r="Z10" i="471"/>
  <c r="AA10" i="471" s="1"/>
  <c r="Y10" i="471"/>
  <c r="P10" i="471"/>
  <c r="O10" i="471"/>
  <c r="BL9" i="471"/>
  <c r="BP23" i="471" s="1"/>
  <c r="BP29" i="471" s="1"/>
  <c r="BP36" i="471" s="1"/>
  <c r="BP44" i="471" s="1"/>
  <c r="Y9" i="471"/>
  <c r="AA9" i="471" s="1"/>
  <c r="O9" i="471"/>
  <c r="Q9" i="471" s="1"/>
  <c r="BP8" i="471"/>
  <c r="BP11" i="471" s="1"/>
  <c r="BP15" i="471" s="1"/>
  <c r="BP19" i="471" s="1"/>
  <c r="BP25" i="471" s="1"/>
  <c r="BP32" i="471" s="1"/>
  <c r="BP40" i="471" s="1"/>
  <c r="BL8" i="471"/>
  <c r="BP18" i="471" s="1"/>
  <c r="BP22" i="471" s="1"/>
  <c r="BP28" i="471" s="1"/>
  <c r="BP35" i="471" s="1"/>
  <c r="BP43" i="471" s="1"/>
  <c r="Z8" i="471"/>
  <c r="Y8" i="471"/>
  <c r="P8" i="471"/>
  <c r="O8" i="471"/>
  <c r="BL7" i="471"/>
  <c r="BP13" i="471" s="1"/>
  <c r="BP17" i="471" s="1"/>
  <c r="BP21" i="471" s="1"/>
  <c r="BP27" i="471" s="1"/>
  <c r="BP34" i="471" s="1"/>
  <c r="BP42" i="471" s="1"/>
  <c r="AA7" i="471"/>
  <c r="Q7" i="471"/>
  <c r="BP6" i="471"/>
  <c r="BL6" i="471"/>
  <c r="BP9" i="471" s="1"/>
  <c r="BP12" i="471" s="1"/>
  <c r="BP16" i="471" s="1"/>
  <c r="BP20" i="471" s="1"/>
  <c r="BP26" i="471" s="1"/>
  <c r="BP33" i="471" s="1"/>
  <c r="BP41" i="471" s="1"/>
  <c r="Z6" i="471"/>
  <c r="Y6" i="471"/>
  <c r="AA6" i="471" s="1"/>
  <c r="P6" i="471"/>
  <c r="Q6" i="471" s="1"/>
  <c r="O6" i="471"/>
  <c r="BP5" i="471"/>
  <c r="BP7" i="471" s="1"/>
  <c r="BP10" i="471" s="1"/>
  <c r="BP14" i="471" s="1"/>
  <c r="BH49" i="471" s="1"/>
  <c r="BP24" i="471" s="1"/>
  <c r="BP31" i="471" s="1"/>
  <c r="BP39" i="471" s="1"/>
  <c r="BL14" i="471" s="1"/>
  <c r="AA5" i="471"/>
  <c r="Z5" i="471"/>
  <c r="Y5" i="471"/>
  <c r="P5" i="471"/>
  <c r="O5" i="471"/>
  <c r="K3" i="471"/>
  <c r="G3" i="471"/>
  <c r="D3" i="471"/>
  <c r="S2" i="471"/>
  <c r="K2" i="471"/>
  <c r="G2" i="471"/>
  <c r="AF1" i="471"/>
  <c r="V1" i="471"/>
  <c r="S1" i="471"/>
  <c r="K1" i="471"/>
  <c r="L1" i="471" s="1"/>
  <c r="G1" i="471"/>
  <c r="B24" i="475" l="1"/>
  <c r="B34" i="475"/>
  <c r="T41" i="475"/>
  <c r="T47" i="475"/>
  <c r="T39" i="475"/>
  <c r="T49" i="475"/>
  <c r="T46" i="475"/>
  <c r="T30" i="475"/>
  <c r="T45" i="475"/>
  <c r="T34" i="475"/>
  <c r="T29" i="475"/>
  <c r="T33" i="475"/>
  <c r="H1" i="475"/>
  <c r="N29" i="475"/>
  <c r="P29" i="475" s="1"/>
  <c r="N27" i="475"/>
  <c r="P27" i="475" s="1"/>
  <c r="N30" i="475"/>
  <c r="P30" i="475" s="1"/>
  <c r="R35" i="475" s="1"/>
  <c r="N26" i="475"/>
  <c r="N28" i="475"/>
  <c r="P28" i="475" s="1"/>
  <c r="N25" i="475"/>
  <c r="T35" i="475"/>
  <c r="T42" i="475"/>
  <c r="T43" i="475"/>
  <c r="T48" i="475"/>
  <c r="L1" i="475"/>
  <c r="C34" i="475"/>
  <c r="T28" i="475"/>
  <c r="T25" i="475"/>
  <c r="T27" i="475"/>
  <c r="T32" i="475"/>
  <c r="T26" i="475"/>
  <c r="C24" i="475"/>
  <c r="T40" i="475"/>
  <c r="T31" i="475"/>
  <c r="T44" i="475"/>
  <c r="AA19" i="471"/>
  <c r="AA8" i="471"/>
  <c r="AA17" i="471"/>
  <c r="Q11" i="471"/>
  <c r="Q17" i="471"/>
  <c r="H1" i="471"/>
  <c r="M1" i="471" s="1"/>
  <c r="M2" i="471" s="1"/>
  <c r="Q8" i="471"/>
  <c r="Q5" i="471"/>
  <c r="Q10" i="471"/>
  <c r="C22" i="471"/>
  <c r="B23" i="471" s="1"/>
  <c r="D23" i="471"/>
  <c r="B31" i="471"/>
  <c r="W25" i="471" s="1"/>
  <c r="BF31" i="471"/>
  <c r="BF30" i="471"/>
  <c r="C31" i="471"/>
  <c r="W39" i="471" s="1"/>
  <c r="M1" i="475" l="1"/>
  <c r="M2" i="475" s="1"/>
  <c r="R16" i="475" s="1"/>
  <c r="R33" i="475"/>
  <c r="T37" i="475"/>
  <c r="T23" i="475"/>
  <c r="R34" i="475"/>
  <c r="P26" i="475"/>
  <c r="R31" i="475" s="1"/>
  <c r="N43" i="475"/>
  <c r="P43" i="475" s="1"/>
  <c r="N41" i="475"/>
  <c r="P41" i="475" s="1"/>
  <c r="N44" i="475"/>
  <c r="P44" i="475" s="1"/>
  <c r="N40" i="475"/>
  <c r="P40" i="475" s="1"/>
  <c r="N39" i="475"/>
  <c r="N42" i="475"/>
  <c r="P42" i="475" s="1"/>
  <c r="N23" i="475"/>
  <c r="P25" i="475"/>
  <c r="R32" i="475"/>
  <c r="B34" i="471"/>
  <c r="T47" i="471"/>
  <c r="T44" i="471"/>
  <c r="B24" i="471"/>
  <c r="T40" i="471"/>
  <c r="T49" i="471"/>
  <c r="T48" i="471"/>
  <c r="T43" i="471"/>
  <c r="T42" i="471"/>
  <c r="T46" i="471"/>
  <c r="T41" i="471"/>
  <c r="C23" i="471"/>
  <c r="T45" i="471"/>
  <c r="T39" i="471"/>
  <c r="R18" i="471"/>
  <c r="AB17" i="471"/>
  <c r="AB14" i="471"/>
  <c r="R11" i="471"/>
  <c r="AB10" i="471"/>
  <c r="AB8" i="471"/>
  <c r="R7" i="471"/>
  <c r="AB5" i="471"/>
  <c r="AB19" i="471"/>
  <c r="R19" i="471"/>
  <c r="AB16" i="471"/>
  <c r="AB13" i="471"/>
  <c r="R17" i="471"/>
  <c r="AB9" i="471"/>
  <c r="R9" i="471"/>
  <c r="R5" i="471"/>
  <c r="AB18" i="471"/>
  <c r="AB15" i="471"/>
  <c r="R13" i="471"/>
  <c r="R6" i="471"/>
  <c r="R12" i="471"/>
  <c r="AB11" i="471"/>
  <c r="R8" i="471"/>
  <c r="R16" i="471"/>
  <c r="R15" i="471"/>
  <c r="R14" i="471"/>
  <c r="AB12" i="471"/>
  <c r="R10" i="471"/>
  <c r="AB7" i="471"/>
  <c r="AB6" i="471"/>
  <c r="R10" i="475" l="1"/>
  <c r="AB11" i="475"/>
  <c r="AB15" i="475"/>
  <c r="R14" i="475"/>
  <c r="S14" i="475" s="1"/>
  <c r="R17" i="475"/>
  <c r="S17" i="475" s="1"/>
  <c r="R19" i="475"/>
  <c r="S19" i="475" s="1"/>
  <c r="AB9" i="475"/>
  <c r="AC9" i="475" s="1"/>
  <c r="R5" i="475"/>
  <c r="S5" i="475" s="1"/>
  <c r="AB5" i="475"/>
  <c r="R13" i="475"/>
  <c r="AB17" i="475"/>
  <c r="AC17" i="475" s="1"/>
  <c r="AB13" i="475"/>
  <c r="AC13" i="475" s="1"/>
  <c r="AB18" i="475"/>
  <c r="AC18" i="475" s="1"/>
  <c r="R8" i="475"/>
  <c r="S8" i="475" s="1"/>
  <c r="AB10" i="475"/>
  <c r="AC10" i="475" s="1"/>
  <c r="R11" i="475"/>
  <c r="S11" i="475" s="1"/>
  <c r="AB16" i="475"/>
  <c r="AC16" i="475" s="1"/>
  <c r="AB7" i="475"/>
  <c r="AC7" i="475" s="1"/>
  <c r="R12" i="475"/>
  <c r="AB6" i="475"/>
  <c r="R7" i="475"/>
  <c r="S7" i="475" s="1"/>
  <c r="R6" i="475"/>
  <c r="S6" i="475" s="1"/>
  <c r="R18" i="475"/>
  <c r="S18" i="475" s="1"/>
  <c r="R15" i="475"/>
  <c r="S15" i="475" s="1"/>
  <c r="AB19" i="475"/>
  <c r="AC19" i="475" s="1"/>
  <c r="AB12" i="475"/>
  <c r="AC12" i="475" s="1"/>
  <c r="AB8" i="475"/>
  <c r="AC8" i="475" s="1"/>
  <c r="R9" i="475"/>
  <c r="S9" i="475" s="1"/>
  <c r="AB14" i="475"/>
  <c r="AC14" i="475" s="1"/>
  <c r="R47" i="475"/>
  <c r="R49" i="475"/>
  <c r="R46" i="475"/>
  <c r="R45" i="475"/>
  <c r="R48" i="475"/>
  <c r="S12" i="475"/>
  <c r="AC6" i="475"/>
  <c r="S13" i="475"/>
  <c r="S16" i="475"/>
  <c r="R30" i="475"/>
  <c r="R28" i="475"/>
  <c r="R25" i="475"/>
  <c r="R29" i="475"/>
  <c r="R27" i="475"/>
  <c r="P23" i="475"/>
  <c r="P39" i="475"/>
  <c r="N37" i="475"/>
  <c r="R43" i="475"/>
  <c r="AC11" i="475"/>
  <c r="R40" i="475"/>
  <c r="AC5" i="475"/>
  <c r="S10" i="475"/>
  <c r="AC15" i="475"/>
  <c r="R26" i="475"/>
  <c r="T37" i="471"/>
  <c r="S16" i="471"/>
  <c r="S5" i="471"/>
  <c r="AC5" i="471"/>
  <c r="C34" i="471"/>
  <c r="T27" i="471"/>
  <c r="T32" i="471"/>
  <c r="T26" i="471"/>
  <c r="T25" i="471"/>
  <c r="C24" i="471"/>
  <c r="T28" i="471"/>
  <c r="T30" i="471"/>
  <c r="T31" i="471"/>
  <c r="T33" i="471"/>
  <c r="T29" i="471"/>
  <c r="T34" i="471"/>
  <c r="T35" i="471"/>
  <c r="N28" i="471"/>
  <c r="P28" i="471" s="1"/>
  <c r="N27" i="471"/>
  <c r="P27" i="471" s="1"/>
  <c r="N30" i="471"/>
  <c r="P30" i="471" s="1"/>
  <c r="R35" i="471" s="1"/>
  <c r="N29" i="471"/>
  <c r="P29" i="471" s="1"/>
  <c r="N25" i="471"/>
  <c r="N26" i="471"/>
  <c r="AC12" i="471"/>
  <c r="S13" i="471"/>
  <c r="S9" i="471"/>
  <c r="S7" i="471"/>
  <c r="AC6" i="471"/>
  <c r="S14" i="471"/>
  <c r="AC11" i="471"/>
  <c r="AC15" i="471"/>
  <c r="AC9" i="471"/>
  <c r="S19" i="471"/>
  <c r="AC8" i="471"/>
  <c r="AC17" i="471"/>
  <c r="S10" i="471"/>
  <c r="S6" i="471"/>
  <c r="AC13" i="471"/>
  <c r="S11" i="471"/>
  <c r="S8" i="471"/>
  <c r="AC16" i="471"/>
  <c r="AC14" i="471"/>
  <c r="AC7" i="471"/>
  <c r="S15" i="471"/>
  <c r="S12" i="471"/>
  <c r="AC18" i="471"/>
  <c r="S17" i="471"/>
  <c r="AC19" i="471"/>
  <c r="AC10" i="471"/>
  <c r="S18" i="471"/>
  <c r="V26" i="475" l="1"/>
  <c r="T5" i="475"/>
  <c r="AE5" i="475"/>
  <c r="AE18" i="475"/>
  <c r="T17" i="475"/>
  <c r="AC20" i="475"/>
  <c r="AD13" i="475"/>
  <c r="U13" i="475"/>
  <c r="AD5" i="475"/>
  <c r="AD18" i="475"/>
  <c r="U15" i="475"/>
  <c r="S20" i="475"/>
  <c r="AE17" i="475"/>
  <c r="T19" i="475"/>
  <c r="U5" i="475"/>
  <c r="V27" i="475"/>
  <c r="AC25" i="475" s="1"/>
  <c r="AE14" i="475"/>
  <c r="U12" i="475"/>
  <c r="AE12" i="475"/>
  <c r="AE10" i="475"/>
  <c r="U16" i="475"/>
  <c r="AE7" i="475"/>
  <c r="U7" i="475"/>
  <c r="AD15" i="475"/>
  <c r="U17" i="475"/>
  <c r="U10" i="475"/>
  <c r="AD16" i="475"/>
  <c r="T11" i="475"/>
  <c r="T14" i="475"/>
  <c r="AD14" i="475"/>
  <c r="U9" i="475"/>
  <c r="AD12" i="475"/>
  <c r="T8" i="475"/>
  <c r="AD19" i="475"/>
  <c r="T18" i="475"/>
  <c r="T6" i="475"/>
  <c r="AA26" i="475"/>
  <c r="AA25" i="475"/>
  <c r="AD17" i="475"/>
  <c r="T10" i="475"/>
  <c r="AE16" i="475"/>
  <c r="AD11" i="475"/>
  <c r="U11" i="475"/>
  <c r="AE9" i="475"/>
  <c r="R39" i="475"/>
  <c r="P37" i="475"/>
  <c r="R23" i="475"/>
  <c r="V25" i="475"/>
  <c r="V34" i="475"/>
  <c r="V31" i="475"/>
  <c r="V33" i="475"/>
  <c r="V29" i="475"/>
  <c r="V32" i="475"/>
  <c r="V30" i="475"/>
  <c r="T13" i="475"/>
  <c r="R41" i="475"/>
  <c r="V41" i="475" s="1"/>
  <c r="U18" i="475"/>
  <c r="U6" i="475"/>
  <c r="AD6" i="475"/>
  <c r="AD7" i="475"/>
  <c r="AE13" i="475"/>
  <c r="AE15" i="475"/>
  <c r="AE11" i="475"/>
  <c r="U14" i="475"/>
  <c r="AD10" i="475"/>
  <c r="AD9" i="475"/>
  <c r="V28" i="475"/>
  <c r="T16" i="475"/>
  <c r="AD8" i="475"/>
  <c r="U8" i="475"/>
  <c r="R42" i="475"/>
  <c r="AE6" i="475"/>
  <c r="T12" i="475"/>
  <c r="R44" i="475"/>
  <c r="T9" i="475"/>
  <c r="AE8" i="475"/>
  <c r="T15" i="475"/>
  <c r="T7" i="475"/>
  <c r="AE18" i="471"/>
  <c r="AD15" i="471"/>
  <c r="U18" i="471"/>
  <c r="R34" i="471"/>
  <c r="T23" i="471"/>
  <c r="T14" i="471"/>
  <c r="T6" i="471"/>
  <c r="AD16" i="471"/>
  <c r="T8" i="471"/>
  <c r="AD8" i="471"/>
  <c r="AD12" i="471"/>
  <c r="T15" i="471"/>
  <c r="AD5" i="471"/>
  <c r="AC20" i="471"/>
  <c r="T13" i="471"/>
  <c r="AD17" i="471"/>
  <c r="AD6" i="471"/>
  <c r="T5" i="471"/>
  <c r="R32" i="471"/>
  <c r="S20" i="471"/>
  <c r="T18" i="471"/>
  <c r="AD10" i="471"/>
  <c r="T11" i="471"/>
  <c r="T10" i="471"/>
  <c r="T9" i="471"/>
  <c r="T19" i="471"/>
  <c r="R33" i="471"/>
  <c r="AD7" i="471"/>
  <c r="AD19" i="471"/>
  <c r="AD14" i="471"/>
  <c r="AD9" i="471"/>
  <c r="AE13" i="471"/>
  <c r="U17" i="471"/>
  <c r="AD11" i="471"/>
  <c r="U11" i="471"/>
  <c r="AE17" i="471"/>
  <c r="T12" i="471"/>
  <c r="AE6" i="471"/>
  <c r="AD18" i="471"/>
  <c r="U5" i="471"/>
  <c r="U16" i="471"/>
  <c r="U15" i="471"/>
  <c r="AE10" i="471"/>
  <c r="U6" i="471"/>
  <c r="AE16" i="471"/>
  <c r="T17" i="471"/>
  <c r="AD13" i="471"/>
  <c r="U10" i="471"/>
  <c r="AE8" i="471"/>
  <c r="AE15" i="471"/>
  <c r="U9" i="471"/>
  <c r="U13" i="471"/>
  <c r="P26" i="471"/>
  <c r="R31" i="471" s="1"/>
  <c r="AE9" i="471"/>
  <c r="AE7" i="471"/>
  <c r="AE14" i="471"/>
  <c r="U14" i="471"/>
  <c r="T7" i="471"/>
  <c r="AE12" i="471"/>
  <c r="N23" i="471"/>
  <c r="P25" i="471"/>
  <c r="N43" i="471"/>
  <c r="P43" i="471" s="1"/>
  <c r="N41" i="471"/>
  <c r="P41" i="471" s="1"/>
  <c r="N44" i="471"/>
  <c r="P44" i="471" s="1"/>
  <c r="N40" i="471"/>
  <c r="P40" i="471" s="1"/>
  <c r="N39" i="471"/>
  <c r="N42" i="471"/>
  <c r="P42" i="471" s="1"/>
  <c r="AE5" i="471"/>
  <c r="U7" i="471"/>
  <c r="T16" i="471"/>
  <c r="U12" i="471"/>
  <c r="U8" i="471"/>
  <c r="AE11" i="471"/>
  <c r="AA23" i="475" l="1"/>
  <c r="AE20" i="475"/>
  <c r="AE21" i="475" s="1"/>
  <c r="L41" i="475" s="1"/>
  <c r="T20" i="475"/>
  <c r="T21" i="475" s="1"/>
  <c r="L26" i="475" s="1"/>
  <c r="AC26" i="475"/>
  <c r="AC27" i="475"/>
  <c r="AD20" i="475"/>
  <c r="V42" i="475"/>
  <c r="AE42" i="475" s="1"/>
  <c r="U20" i="475"/>
  <c r="U21" i="475" s="1"/>
  <c r="L27" i="475" s="1"/>
  <c r="AC41" i="475"/>
  <c r="AC40" i="475"/>
  <c r="AC39" i="475"/>
  <c r="AG29" i="475"/>
  <c r="AG27" i="475"/>
  <c r="AG26" i="475"/>
  <c r="AG25" i="475"/>
  <c r="AG28" i="475"/>
  <c r="AQ33" i="475"/>
  <c r="AQ25" i="475"/>
  <c r="AQ34" i="475"/>
  <c r="AQ30" i="475"/>
  <c r="AQ31" i="475"/>
  <c r="AQ28" i="475"/>
  <c r="AQ26" i="475"/>
  <c r="AQ32" i="475"/>
  <c r="AQ29" i="475"/>
  <c r="AQ27" i="475"/>
  <c r="R37" i="475"/>
  <c r="V39" i="475"/>
  <c r="V46" i="475"/>
  <c r="V47" i="475"/>
  <c r="V43" i="475"/>
  <c r="V44" i="475"/>
  <c r="V45" i="475"/>
  <c r="V48" i="475"/>
  <c r="AO31" i="475"/>
  <c r="AO32" i="475"/>
  <c r="AO27" i="475"/>
  <c r="AO26" i="475"/>
  <c r="AO29" i="475"/>
  <c r="AO25" i="475"/>
  <c r="AO33" i="475"/>
  <c r="AO30" i="475"/>
  <c r="AO28" i="475"/>
  <c r="V23" i="475"/>
  <c r="V35" i="475" s="1"/>
  <c r="V22" i="475" s="1"/>
  <c r="Y25" i="475"/>
  <c r="V40" i="475"/>
  <c r="AI27" i="475"/>
  <c r="AI29" i="475"/>
  <c r="AI25" i="475"/>
  <c r="AI28" i="475"/>
  <c r="AI30" i="475"/>
  <c r="AI26" i="475"/>
  <c r="AK30" i="475"/>
  <c r="AK31" i="475"/>
  <c r="AK25" i="475"/>
  <c r="AK26" i="475"/>
  <c r="AK27" i="475"/>
  <c r="AK28" i="475"/>
  <c r="AK29" i="475"/>
  <c r="AE28" i="475"/>
  <c r="AE25" i="475"/>
  <c r="AE27" i="475"/>
  <c r="AE26" i="475"/>
  <c r="AM28" i="475"/>
  <c r="AM30" i="475"/>
  <c r="AM27" i="475"/>
  <c r="AM25" i="475"/>
  <c r="AM26" i="475"/>
  <c r="AM32" i="475"/>
  <c r="AM31" i="475"/>
  <c r="AM29" i="475"/>
  <c r="AE20" i="471"/>
  <c r="AE21" i="471" s="1"/>
  <c r="L41" i="471" s="1"/>
  <c r="T20" i="471"/>
  <c r="AD20" i="471"/>
  <c r="AD21" i="471" s="1"/>
  <c r="L40" i="471" s="1"/>
  <c r="U20" i="471"/>
  <c r="U21" i="471" s="1"/>
  <c r="L27" i="471" s="1"/>
  <c r="R47" i="471"/>
  <c r="R49" i="471"/>
  <c r="R46" i="471"/>
  <c r="R45" i="471"/>
  <c r="R48" i="471"/>
  <c r="R28" i="471"/>
  <c r="R25" i="471"/>
  <c r="R29" i="471"/>
  <c r="P23" i="471"/>
  <c r="R30" i="471"/>
  <c r="R27" i="471"/>
  <c r="P39" i="471"/>
  <c r="R42" i="471" s="1"/>
  <c r="N37" i="471"/>
  <c r="R26" i="471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AC23" i="475" l="1"/>
  <c r="AM23" i="475"/>
  <c r="AK23" i="475"/>
  <c r="AO23" i="475"/>
  <c r="AI23" i="475"/>
  <c r="AQ23" i="475"/>
  <c r="AE23" i="475"/>
  <c r="AG23" i="475"/>
  <c r="AC37" i="475"/>
  <c r="AE40" i="475"/>
  <c r="AE39" i="475"/>
  <c r="AD21" i="475"/>
  <c r="AF20" i="475"/>
  <c r="AF21" i="475" s="1"/>
  <c r="L42" i="475" s="1"/>
  <c r="AE41" i="475"/>
  <c r="V20" i="475"/>
  <c r="V21" i="475" s="1"/>
  <c r="Y23" i="475"/>
  <c r="AG41" i="475"/>
  <c r="AG43" i="475"/>
  <c r="AG39" i="475"/>
  <c r="AG40" i="475"/>
  <c r="AG42" i="475"/>
  <c r="Y39" i="475"/>
  <c r="V37" i="475"/>
  <c r="V49" i="475" s="1"/>
  <c r="V36" i="475" s="1"/>
  <c r="AQ45" i="475"/>
  <c r="AQ42" i="475"/>
  <c r="AQ48" i="475"/>
  <c r="AQ44" i="475"/>
  <c r="AQ40" i="475"/>
  <c r="AQ47" i="475"/>
  <c r="AQ41" i="475"/>
  <c r="AQ43" i="475"/>
  <c r="AQ39" i="475"/>
  <c r="AQ46" i="475"/>
  <c r="AS34" i="475"/>
  <c r="J34" i="475" s="1"/>
  <c r="AS26" i="475"/>
  <c r="J26" i="475" s="1"/>
  <c r="AS30" i="475"/>
  <c r="J30" i="475" s="1"/>
  <c r="AS31" i="475"/>
  <c r="J31" i="475" s="1"/>
  <c r="AS35" i="475"/>
  <c r="J35" i="475" s="1"/>
  <c r="AS29" i="475"/>
  <c r="J29" i="475" s="1"/>
  <c r="AS27" i="475"/>
  <c r="J27" i="475" s="1"/>
  <c r="AS28" i="475"/>
  <c r="J28" i="475" s="1"/>
  <c r="AS33" i="475"/>
  <c r="J33" i="475" s="1"/>
  <c r="AS32" i="475"/>
  <c r="J32" i="475" s="1"/>
  <c r="AS25" i="475"/>
  <c r="AK43" i="475"/>
  <c r="AK40" i="475"/>
  <c r="AK42" i="475"/>
  <c r="AK41" i="475"/>
  <c r="AK44" i="475"/>
  <c r="AK39" i="475"/>
  <c r="AK45" i="475"/>
  <c r="AO45" i="475"/>
  <c r="AO39" i="475"/>
  <c r="AO40" i="475"/>
  <c r="AO42" i="475"/>
  <c r="AO44" i="475"/>
  <c r="AO47" i="475"/>
  <c r="AO41" i="475"/>
  <c r="AO46" i="475"/>
  <c r="AO43" i="475"/>
  <c r="AA39" i="475"/>
  <c r="AA40" i="475"/>
  <c r="AI39" i="475"/>
  <c r="AI42" i="475"/>
  <c r="AI44" i="475"/>
  <c r="AI40" i="475"/>
  <c r="AI41" i="475"/>
  <c r="AI43" i="475"/>
  <c r="AM45" i="475"/>
  <c r="AM42" i="475"/>
  <c r="AM40" i="475"/>
  <c r="AM41" i="475"/>
  <c r="AM39" i="475"/>
  <c r="AM46" i="475"/>
  <c r="AM43" i="475"/>
  <c r="AM44" i="475"/>
  <c r="R40" i="471"/>
  <c r="R43" i="471"/>
  <c r="AF20" i="471"/>
  <c r="AF21" i="471" s="1"/>
  <c r="T21" i="471"/>
  <c r="V20" i="471"/>
  <c r="V21" i="471" s="1"/>
  <c r="L28" i="471" s="1"/>
  <c r="V26" i="471"/>
  <c r="AA26" i="471" s="1"/>
  <c r="V27" i="471"/>
  <c r="V25" i="471"/>
  <c r="R23" i="471"/>
  <c r="V33" i="471"/>
  <c r="V34" i="471"/>
  <c r="V32" i="471"/>
  <c r="V30" i="471"/>
  <c r="V29" i="471"/>
  <c r="V31" i="471"/>
  <c r="R41" i="471"/>
  <c r="V28" i="471"/>
  <c r="R39" i="471"/>
  <c r="V40" i="471" s="1"/>
  <c r="P37" i="471"/>
  <c r="R44" i="471"/>
  <c r="Y19" i="435"/>
  <c r="Y18" i="435"/>
  <c r="Y17" i="435"/>
  <c r="O16" i="435"/>
  <c r="Y16" i="435"/>
  <c r="Y14" i="435"/>
  <c r="Y13" i="435"/>
  <c r="O13" i="435"/>
  <c r="Y11" i="435"/>
  <c r="Y10" i="435"/>
  <c r="Y9" i="435"/>
  <c r="Y8" i="435"/>
  <c r="Y6" i="435"/>
  <c r="Y5" i="435"/>
  <c r="O19" i="435"/>
  <c r="O18" i="435"/>
  <c r="O17" i="435"/>
  <c r="O14" i="435"/>
  <c r="O11" i="435"/>
  <c r="O10" i="435"/>
  <c r="O9" i="435"/>
  <c r="O6" i="435"/>
  <c r="O8" i="435"/>
  <c r="O5" i="435"/>
  <c r="P18" i="435"/>
  <c r="P13" i="285"/>
  <c r="Z13" i="285"/>
  <c r="P13" i="435"/>
  <c r="AS23" i="475" l="1"/>
  <c r="AG37" i="475"/>
  <c r="AE37" i="475"/>
  <c r="AK37" i="475"/>
  <c r="AM37" i="475"/>
  <c r="AA37" i="475"/>
  <c r="AO37" i="475"/>
  <c r="AQ37" i="475"/>
  <c r="AI37" i="475"/>
  <c r="L40" i="475"/>
  <c r="AC21" i="475"/>
  <c r="L39" i="475" s="1"/>
  <c r="L28" i="475"/>
  <c r="S21" i="475"/>
  <c r="L25" i="475" s="1"/>
  <c r="AS40" i="475"/>
  <c r="J40" i="475" s="1"/>
  <c r="AS48" i="475"/>
  <c r="J48" i="475" s="1"/>
  <c r="AS45" i="475"/>
  <c r="J45" i="475" s="1"/>
  <c r="AS44" i="475"/>
  <c r="J44" i="475" s="1"/>
  <c r="AS47" i="475"/>
  <c r="J47" i="475" s="1"/>
  <c r="AS42" i="475"/>
  <c r="J42" i="475" s="1"/>
  <c r="AS49" i="475"/>
  <c r="J49" i="475" s="1"/>
  <c r="AS41" i="475"/>
  <c r="J41" i="475" s="1"/>
  <c r="AS46" i="475"/>
  <c r="J46" i="475" s="1"/>
  <c r="AS43" i="475"/>
  <c r="J43" i="475" s="1"/>
  <c r="AS39" i="475"/>
  <c r="AS22" i="475"/>
  <c r="J25" i="475"/>
  <c r="Y37" i="475"/>
  <c r="AA25" i="471"/>
  <c r="AA23" i="471" s="1"/>
  <c r="L42" i="471"/>
  <c r="AC21" i="471"/>
  <c r="L39" i="471" s="1"/>
  <c r="L37" i="471" s="1"/>
  <c r="V41" i="471"/>
  <c r="AC41" i="471" s="1"/>
  <c r="L26" i="471"/>
  <c r="S21" i="471"/>
  <c r="L25" i="471" s="1"/>
  <c r="AA40" i="471"/>
  <c r="AA39" i="471"/>
  <c r="AA37" i="471" s="1"/>
  <c r="AC27" i="471"/>
  <c r="AC25" i="471"/>
  <c r="AC26" i="471"/>
  <c r="AI26" i="471"/>
  <c r="AI27" i="471"/>
  <c r="AI28" i="471"/>
  <c r="AI29" i="471"/>
  <c r="AI30" i="471"/>
  <c r="AI25" i="471"/>
  <c r="AO31" i="471"/>
  <c r="AO30" i="471"/>
  <c r="AO33" i="471"/>
  <c r="AO29" i="471"/>
  <c r="AO25" i="471"/>
  <c r="AO32" i="471"/>
  <c r="AO27" i="471"/>
  <c r="AO26" i="471"/>
  <c r="AO28" i="471"/>
  <c r="AQ33" i="471"/>
  <c r="AQ34" i="471"/>
  <c r="AQ28" i="471"/>
  <c r="AQ30" i="471"/>
  <c r="AQ32" i="471"/>
  <c r="AQ26" i="471"/>
  <c r="AQ25" i="471"/>
  <c r="AQ31" i="471"/>
  <c r="AQ27" i="471"/>
  <c r="AQ29" i="471"/>
  <c r="AE27" i="471"/>
  <c r="AE26" i="471"/>
  <c r="AE28" i="471"/>
  <c r="AE25" i="471"/>
  <c r="AE23" i="471" s="1"/>
  <c r="AG28" i="471"/>
  <c r="AG29" i="471"/>
  <c r="AG27" i="471"/>
  <c r="AG25" i="471"/>
  <c r="AG23" i="471" s="1"/>
  <c r="AG26" i="471"/>
  <c r="R37" i="471"/>
  <c r="V39" i="471"/>
  <c r="V44" i="471"/>
  <c r="V46" i="471"/>
  <c r="V47" i="471"/>
  <c r="V43" i="471"/>
  <c r="V48" i="471"/>
  <c r="V45" i="471"/>
  <c r="AK26" i="471"/>
  <c r="AK29" i="471"/>
  <c r="AK31" i="471"/>
  <c r="AK25" i="471"/>
  <c r="AK30" i="471"/>
  <c r="AK27" i="471"/>
  <c r="AK28" i="471"/>
  <c r="AM31" i="471"/>
  <c r="AM28" i="471"/>
  <c r="AM25" i="471"/>
  <c r="AM27" i="471"/>
  <c r="AM26" i="471"/>
  <c r="AM29" i="471"/>
  <c r="AM30" i="471"/>
  <c r="AM32" i="471"/>
  <c r="Y25" i="471"/>
  <c r="V23" i="471"/>
  <c r="V35" i="471" s="1"/>
  <c r="V22" i="471" s="1"/>
  <c r="V42" i="471"/>
  <c r="Z13" i="435"/>
  <c r="L37" i="475" l="1"/>
  <c r="L23" i="475"/>
  <c r="H28" i="475"/>
  <c r="H35" i="475"/>
  <c r="H34" i="475"/>
  <c r="H31" i="475"/>
  <c r="H29" i="475"/>
  <c r="AS37" i="475"/>
  <c r="AS36" i="475" s="1"/>
  <c r="J39" i="475"/>
  <c r="H42" i="475" s="1"/>
  <c r="H48" i="475"/>
  <c r="H33" i="475"/>
  <c r="H32" i="475"/>
  <c r="H30" i="475"/>
  <c r="H45" i="475"/>
  <c r="H49" i="475"/>
  <c r="H26" i="475"/>
  <c r="H47" i="475"/>
  <c r="H43" i="475"/>
  <c r="H44" i="475"/>
  <c r="H46" i="475"/>
  <c r="J23" i="475"/>
  <c r="H25" i="475"/>
  <c r="H27" i="475"/>
  <c r="AM23" i="471"/>
  <c r="AO23" i="471"/>
  <c r="AC23" i="471"/>
  <c r="AK23" i="471"/>
  <c r="AQ23" i="471"/>
  <c r="AI23" i="471"/>
  <c r="L23" i="471"/>
  <c r="AC40" i="471"/>
  <c r="AC39" i="471"/>
  <c r="AK42" i="471"/>
  <c r="AK40" i="471"/>
  <c r="AK39" i="471"/>
  <c r="AK43" i="471"/>
  <c r="AK41" i="471"/>
  <c r="AK45" i="471"/>
  <c r="AK44" i="471"/>
  <c r="AE41" i="471"/>
  <c r="AE39" i="471"/>
  <c r="AE40" i="471"/>
  <c r="AE42" i="471"/>
  <c r="AQ39" i="471"/>
  <c r="AQ46" i="471"/>
  <c r="AQ48" i="471"/>
  <c r="AQ45" i="471"/>
  <c r="AQ42" i="471"/>
  <c r="AQ44" i="471"/>
  <c r="AQ40" i="471"/>
  <c r="AQ47" i="471"/>
  <c r="AQ41" i="471"/>
  <c r="AQ43" i="471"/>
  <c r="AM43" i="471"/>
  <c r="AM41" i="471"/>
  <c r="AM44" i="471"/>
  <c r="AM45" i="471"/>
  <c r="AM42" i="471"/>
  <c r="AM40" i="471"/>
  <c r="AM39" i="471"/>
  <c r="AM46" i="471"/>
  <c r="Y23" i="471"/>
  <c r="AO41" i="471"/>
  <c r="AO46" i="471"/>
  <c r="AO42" i="471"/>
  <c r="AO44" i="471"/>
  <c r="AO47" i="471"/>
  <c r="AO45" i="471"/>
  <c r="AO39" i="471"/>
  <c r="AO40" i="471"/>
  <c r="AO43" i="471"/>
  <c r="AI41" i="471"/>
  <c r="AI43" i="471"/>
  <c r="AI42" i="471"/>
  <c r="AI39" i="471"/>
  <c r="AI37" i="471" s="1"/>
  <c r="AI44" i="471"/>
  <c r="AI40" i="471"/>
  <c r="AS32" i="471"/>
  <c r="J32" i="471" s="1"/>
  <c r="AS33" i="471"/>
  <c r="J33" i="471" s="1"/>
  <c r="AS34" i="471"/>
  <c r="J34" i="471" s="1"/>
  <c r="AS31" i="471"/>
  <c r="J31" i="471" s="1"/>
  <c r="AS29" i="471"/>
  <c r="J29" i="471" s="1"/>
  <c r="AS30" i="471"/>
  <c r="J30" i="471" s="1"/>
  <c r="AS26" i="471"/>
  <c r="J26" i="471" s="1"/>
  <c r="AS28" i="471"/>
  <c r="J28" i="471" s="1"/>
  <c r="AS35" i="471"/>
  <c r="J35" i="471" s="1"/>
  <c r="AS27" i="471"/>
  <c r="J27" i="471" s="1"/>
  <c r="AS25" i="471"/>
  <c r="AG43" i="471"/>
  <c r="AG39" i="471"/>
  <c r="AG40" i="471"/>
  <c r="AG42" i="471"/>
  <c r="AG41" i="471"/>
  <c r="Y39" i="471"/>
  <c r="V36" i="471"/>
  <c r="V37" i="471"/>
  <c r="V49" i="471" s="1"/>
  <c r="Q9" i="435"/>
  <c r="BF48" i="435"/>
  <c r="BF47" i="435"/>
  <c r="BF46" i="435"/>
  <c r="BE45" i="435"/>
  <c r="BE44" i="435"/>
  <c r="BF45" i="435" s="1"/>
  <c r="BD44" i="435"/>
  <c r="BE43" i="435"/>
  <c r="BF44" i="435" s="1"/>
  <c r="BD43" i="435"/>
  <c r="BC43" i="435"/>
  <c r="BH42" i="435"/>
  <c r="BH47" i="435" s="1"/>
  <c r="BH52" i="435" s="1"/>
  <c r="BH55" i="435" s="1"/>
  <c r="BH57" i="435" s="1"/>
  <c r="BL13" i="435" s="1"/>
  <c r="BF42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H36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F28" i="435" s="1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E23" i="435" s="1"/>
  <c r="D25" i="435"/>
  <c r="C25" i="435"/>
  <c r="B25" i="435"/>
  <c r="BH24" i="435"/>
  <c r="BH31" i="435" s="1"/>
  <c r="BH23" i="435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AA10" i="435"/>
  <c r="Z10" i="435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BP8" i="435"/>
  <c r="BP11" i="435" s="1"/>
  <c r="BP15" i="435" s="1"/>
  <c r="BP19" i="435" s="1"/>
  <c r="BP25" i="435" s="1"/>
  <c r="BP32" i="435" s="1"/>
  <c r="BP40" i="435" s="1"/>
  <c r="BL8" i="435"/>
  <c r="BP18" i="435" s="1"/>
  <c r="BP22" i="435" s="1"/>
  <c r="BP28" i="435" s="1"/>
  <c r="BP35" i="435" s="1"/>
  <c r="BP43" i="435" s="1"/>
  <c r="Z8" i="435"/>
  <c r="AA8" i="435"/>
  <c r="P8" i="435"/>
  <c r="Q8" i="435" s="1"/>
  <c r="BP7" i="435"/>
  <c r="BP10" i="435" s="1"/>
  <c r="BP14" i="435" s="1"/>
  <c r="BH49" i="435" s="1"/>
  <c r="BP24" i="435" s="1"/>
  <c r="BP31" i="435" s="1"/>
  <c r="BP39" i="435" s="1"/>
  <c r="BL14" i="435" s="1"/>
  <c r="BL7" i="435"/>
  <c r="BP13" i="435" s="1"/>
  <c r="BP17" i="435" s="1"/>
  <c r="BP21" i="435" s="1"/>
  <c r="BP27" i="435" s="1"/>
  <c r="BP34" i="435" s="1"/>
  <c r="BP42" i="435" s="1"/>
  <c r="AA7" i="435"/>
  <c r="Q7" i="435"/>
  <c r="BP6" i="435"/>
  <c r="BL6" i="435"/>
  <c r="Z6" i="435"/>
  <c r="P6" i="435"/>
  <c r="Q6" i="435" s="1"/>
  <c r="BP5" i="435"/>
  <c r="Z5" i="435"/>
  <c r="AA5" i="435"/>
  <c r="P5" i="435"/>
  <c r="Q5" i="435" s="1"/>
  <c r="D3" i="435"/>
  <c r="S2" i="435"/>
  <c r="AF1" i="435"/>
  <c r="V1" i="435"/>
  <c r="S1" i="435"/>
  <c r="H40" i="475" l="1"/>
  <c r="BR47" i="475"/>
  <c r="J37" i="475"/>
  <c r="BR44" i="475"/>
  <c r="H39" i="475"/>
  <c r="H41" i="475"/>
  <c r="BR20" i="475" s="1"/>
  <c r="BJ47" i="475"/>
  <c r="BJ37" i="475"/>
  <c r="BJ36" i="475"/>
  <c r="BJ34" i="475"/>
  <c r="BJ49" i="475"/>
  <c r="BN10" i="475"/>
  <c r="BR32" i="475"/>
  <c r="BR12" i="475"/>
  <c r="BJ58" i="475"/>
  <c r="BR16" i="475"/>
  <c r="BJ44" i="475"/>
  <c r="BN12" i="475"/>
  <c r="BJ52" i="475"/>
  <c r="BN13" i="475"/>
  <c r="BJ42" i="475"/>
  <c r="BR15" i="475"/>
  <c r="BJ57" i="475"/>
  <c r="BR35" i="475"/>
  <c r="BR37" i="475"/>
  <c r="BR31" i="475"/>
  <c r="BN9" i="475"/>
  <c r="BJ48" i="475"/>
  <c r="BR21" i="475"/>
  <c r="BR34" i="475"/>
  <c r="BR13" i="475"/>
  <c r="BR42" i="475"/>
  <c r="BR17" i="475"/>
  <c r="BN7" i="475"/>
  <c r="BR27" i="475"/>
  <c r="BJ55" i="475"/>
  <c r="BR41" i="475"/>
  <c r="BR33" i="475"/>
  <c r="BR26" i="475"/>
  <c r="BR36" i="475"/>
  <c r="BJ51" i="475"/>
  <c r="BJ46" i="475"/>
  <c r="BR38" i="475"/>
  <c r="BR14" i="475"/>
  <c r="BJ30" i="475"/>
  <c r="BJ25" i="475"/>
  <c r="BJ28" i="475"/>
  <c r="BJ27" i="475"/>
  <c r="BJ24" i="475"/>
  <c r="BJ26" i="475"/>
  <c r="BJ29" i="475"/>
  <c r="BR5" i="475"/>
  <c r="BR6" i="475"/>
  <c r="BN6" i="475"/>
  <c r="BJ23" i="475"/>
  <c r="BJ45" i="475"/>
  <c r="BN8" i="475"/>
  <c r="BR28" i="475"/>
  <c r="BR25" i="475"/>
  <c r="BR11" i="475"/>
  <c r="BR40" i="475"/>
  <c r="H37" i="475"/>
  <c r="BR24" i="475"/>
  <c r="BR10" i="475"/>
  <c r="BJ13" i="475"/>
  <c r="BJ11" i="475"/>
  <c r="BJ4" i="475"/>
  <c r="BJ10" i="475"/>
  <c r="BN4" i="475"/>
  <c r="H23" i="475"/>
  <c r="BJ12" i="475"/>
  <c r="BJ6" i="475"/>
  <c r="BJ9" i="475"/>
  <c r="BJ7" i="475"/>
  <c r="BJ8" i="475"/>
  <c r="BJ5" i="475"/>
  <c r="BR23" i="475"/>
  <c r="BJ41" i="475"/>
  <c r="BJ54" i="475"/>
  <c r="BR43" i="475"/>
  <c r="BJ59" i="475"/>
  <c r="BR7" i="475"/>
  <c r="BJ40" i="475"/>
  <c r="BN11" i="475"/>
  <c r="BR22" i="475"/>
  <c r="BJ18" i="475"/>
  <c r="BJ21" i="475"/>
  <c r="BJ20" i="475"/>
  <c r="BJ19" i="475"/>
  <c r="BJ22" i="475"/>
  <c r="BJ16" i="475"/>
  <c r="BJ14" i="475"/>
  <c r="BR4" i="475"/>
  <c r="BJ15" i="475"/>
  <c r="BN5" i="475"/>
  <c r="BJ17" i="475"/>
  <c r="BR46" i="475"/>
  <c r="BJ43" i="475"/>
  <c r="BJ56" i="475"/>
  <c r="BJ39" i="475"/>
  <c r="BR30" i="475"/>
  <c r="BJ31" i="475"/>
  <c r="BJ33" i="475"/>
  <c r="BR18" i="475"/>
  <c r="BJ38" i="475"/>
  <c r="BR29" i="475"/>
  <c r="BR19" i="475"/>
  <c r="BJ50" i="475"/>
  <c r="BJ53" i="475"/>
  <c r="BR39" i="475"/>
  <c r="BR45" i="475"/>
  <c r="BN14" i="475"/>
  <c r="BR8" i="475"/>
  <c r="BJ32" i="475"/>
  <c r="BJ35" i="475"/>
  <c r="AK37" i="471"/>
  <c r="AO37" i="471"/>
  <c r="AM37" i="471"/>
  <c r="AQ37" i="471"/>
  <c r="AG37" i="471"/>
  <c r="AE37" i="471"/>
  <c r="AS23" i="471"/>
  <c r="AC37" i="471"/>
  <c r="H34" i="471"/>
  <c r="H33" i="471"/>
  <c r="H30" i="471"/>
  <c r="H29" i="471"/>
  <c r="H32" i="471"/>
  <c r="H31" i="471"/>
  <c r="AS22" i="471"/>
  <c r="AS46" i="471"/>
  <c r="J46" i="471" s="1"/>
  <c r="AS43" i="471"/>
  <c r="J43" i="471" s="1"/>
  <c r="AS45" i="471"/>
  <c r="AS42" i="471"/>
  <c r="J42" i="471" s="1"/>
  <c r="AS44" i="471"/>
  <c r="J44" i="471" s="1"/>
  <c r="AS49" i="471"/>
  <c r="J49" i="471" s="1"/>
  <c r="AS39" i="471"/>
  <c r="AS40" i="471"/>
  <c r="J40" i="471" s="1"/>
  <c r="AS48" i="471"/>
  <c r="J48" i="471" s="1"/>
  <c r="AS41" i="471"/>
  <c r="J41" i="471" s="1"/>
  <c r="AS47" i="471"/>
  <c r="J47" i="471" s="1"/>
  <c r="J25" i="471"/>
  <c r="H27" i="471" s="1"/>
  <c r="J45" i="471"/>
  <c r="Y37" i="471"/>
  <c r="H35" i="471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BR9" i="475" l="1"/>
  <c r="B39" i="475" s="1"/>
  <c r="B37" i="475"/>
  <c r="B38" i="475"/>
  <c r="AS37" i="471"/>
  <c r="AS36" i="471"/>
  <c r="J39" i="471"/>
  <c r="H41" i="471" s="1"/>
  <c r="H44" i="471"/>
  <c r="BJ25" i="471" s="1"/>
  <c r="H46" i="471"/>
  <c r="BJ40" i="471" s="1"/>
  <c r="H48" i="471"/>
  <c r="BJ29" i="471" s="1"/>
  <c r="J37" i="471"/>
  <c r="H39" i="471"/>
  <c r="H49" i="471"/>
  <c r="BJ43" i="471" s="1"/>
  <c r="H47" i="471"/>
  <c r="BJ41" i="471" s="1"/>
  <c r="H45" i="471"/>
  <c r="BR30" i="471" s="1"/>
  <c r="H43" i="471"/>
  <c r="BR28" i="471" s="1"/>
  <c r="J23" i="471"/>
  <c r="H25" i="471"/>
  <c r="H40" i="471"/>
  <c r="BR6" i="471" s="1"/>
  <c r="H26" i="471"/>
  <c r="H42" i="471"/>
  <c r="BR42" i="471" s="1"/>
  <c r="H28" i="471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B36" i="475" l="1"/>
  <c r="BN9" i="471"/>
  <c r="BR23" i="471"/>
  <c r="BR44" i="471"/>
  <c r="H37" i="471"/>
  <c r="BR36" i="471"/>
  <c r="BJ38" i="471"/>
  <c r="BR29" i="471"/>
  <c r="BN6" i="471"/>
  <c r="BR41" i="471"/>
  <c r="BR33" i="471"/>
  <c r="BR16" i="471"/>
  <c r="BR26" i="471"/>
  <c r="BR20" i="471"/>
  <c r="BR12" i="471"/>
  <c r="BJ44" i="471"/>
  <c r="BR38" i="471"/>
  <c r="BJ45" i="471"/>
  <c r="BJ50" i="471"/>
  <c r="BR37" i="471"/>
  <c r="BR24" i="471"/>
  <c r="BR46" i="471"/>
  <c r="BN11" i="471"/>
  <c r="BJ49" i="471"/>
  <c r="BR10" i="471"/>
  <c r="BR31" i="471"/>
  <c r="BR14" i="471"/>
  <c r="BR39" i="471"/>
  <c r="BJ42" i="471"/>
  <c r="BJ55" i="471"/>
  <c r="BN13" i="471"/>
  <c r="BJ57" i="471"/>
  <c r="BJ47" i="471"/>
  <c r="BJ52" i="471"/>
  <c r="BJ27" i="471"/>
  <c r="BR22" i="471"/>
  <c r="BR15" i="471"/>
  <c r="BR18" i="471"/>
  <c r="BR43" i="471"/>
  <c r="BR35" i="471"/>
  <c r="BN8" i="471"/>
  <c r="BJ48" i="471"/>
  <c r="BJ24" i="471"/>
  <c r="BJ26" i="471"/>
  <c r="BR45" i="471"/>
  <c r="BJ35" i="471"/>
  <c r="BJ33" i="471"/>
  <c r="BJ37" i="471"/>
  <c r="BJ36" i="471"/>
  <c r="BJ34" i="471"/>
  <c r="BJ32" i="471"/>
  <c r="BR8" i="471"/>
  <c r="BJ31" i="471"/>
  <c r="BR7" i="471"/>
  <c r="BR9" i="471"/>
  <c r="BN7" i="471"/>
  <c r="BN12" i="471"/>
  <c r="BJ21" i="471"/>
  <c r="BJ20" i="471"/>
  <c r="BJ19" i="471"/>
  <c r="BJ17" i="471"/>
  <c r="BJ22" i="471"/>
  <c r="BJ18" i="471"/>
  <c r="BJ14" i="471"/>
  <c r="BJ15" i="471"/>
  <c r="BJ16" i="471"/>
  <c r="BN5" i="471"/>
  <c r="BR4" i="471"/>
  <c r="BR21" i="471"/>
  <c r="BJ10" i="471"/>
  <c r="BJ8" i="471"/>
  <c r="BJ5" i="471"/>
  <c r="BN4" i="471"/>
  <c r="BJ13" i="471"/>
  <c r="BJ7" i="471"/>
  <c r="BJ6" i="471"/>
  <c r="BJ4" i="471"/>
  <c r="B38" i="471" s="1"/>
  <c r="H23" i="471"/>
  <c r="BJ12" i="471"/>
  <c r="BJ9" i="471"/>
  <c r="BJ11" i="471"/>
  <c r="BR47" i="471"/>
  <c r="BR40" i="471"/>
  <c r="BR11" i="471"/>
  <c r="BJ39" i="471"/>
  <c r="BR27" i="471"/>
  <c r="BR25" i="471"/>
  <c r="BJ54" i="471"/>
  <c r="BJ23" i="471"/>
  <c r="BJ28" i="471"/>
  <c r="BR32" i="471"/>
  <c r="BJ58" i="471"/>
  <c r="BR17" i="471"/>
  <c r="BJ46" i="471"/>
  <c r="BN10" i="471"/>
  <c r="BJ51" i="471"/>
  <c r="BJ59" i="471"/>
  <c r="BR13" i="471"/>
  <c r="BJ56" i="471"/>
  <c r="BR5" i="471"/>
  <c r="BJ30" i="471"/>
  <c r="BR34" i="471"/>
  <c r="BR19" i="471"/>
  <c r="BJ53" i="471"/>
  <c r="BN14" i="471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R5" i="435" s="1"/>
  <c r="P26" i="435"/>
  <c r="R31" i="435" s="1"/>
  <c r="R32" i="435"/>
  <c r="P25" i="435"/>
  <c r="N23" i="435"/>
  <c r="B39" i="471" l="1"/>
  <c r="B37" i="471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H52" i="285"/>
  <c r="BH55" i="285" s="1"/>
  <c r="BH57" i="285" s="1"/>
  <c r="BL13" i="285" s="1"/>
  <c r="BF48" i="285"/>
  <c r="BF47" i="285"/>
  <c r="BF46" i="285"/>
  <c r="BH45" i="285"/>
  <c r="BH50" i="285" s="1"/>
  <c r="BL11" i="285" s="1"/>
  <c r="BP38" i="285" s="1"/>
  <c r="BP46" i="285" s="1"/>
  <c r="BE45" i="285"/>
  <c r="BE44" i="285"/>
  <c r="BF45" i="285" s="1"/>
  <c r="BD44" i="285"/>
  <c r="BE43" i="285"/>
  <c r="BF44" i="285" s="1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H23" i="285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BL9" i="285"/>
  <c r="BP23" i="285" s="1"/>
  <c r="BP29" i="285" s="1"/>
  <c r="BP36" i="285" s="1"/>
  <c r="BP44" i="285" s="1"/>
  <c r="AA9" i="285"/>
  <c r="Q9" i="285"/>
  <c r="BP8" i="285"/>
  <c r="BP11" i="285" s="1"/>
  <c r="BP15" i="285" s="1"/>
  <c r="BP19" i="285" s="1"/>
  <c r="BP25" i="285" s="1"/>
  <c r="BP32" i="285" s="1"/>
  <c r="BP40" i="285" s="1"/>
  <c r="BL8" i="285"/>
  <c r="BP18" i="285" s="1"/>
  <c r="BP22" i="285" s="1"/>
  <c r="BP28" i="285" s="1"/>
  <c r="BP35" i="285" s="1"/>
  <c r="BP43" i="285" s="1"/>
  <c r="Z8" i="285"/>
  <c r="P8" i="285"/>
  <c r="BL7" i="285"/>
  <c r="BP13" i="285" s="1"/>
  <c r="BP17" i="285" s="1"/>
  <c r="BP21" i="285" s="1"/>
  <c r="BP27" i="285" s="1"/>
  <c r="BP34" i="285" s="1"/>
  <c r="BP42" i="285" s="1"/>
  <c r="AA7" i="285"/>
  <c r="Q7" i="285"/>
  <c r="BP6" i="285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36" i="471" l="1"/>
  <c r="R43" i="435"/>
  <c r="V27" i="435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7" i="435"/>
  <c r="AC26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R5" i="285" s="1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T17" i="435" l="1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R11" i="285"/>
  <c r="S11" i="285" s="1"/>
  <c r="R6" i="285"/>
  <c r="S6" i="285" s="1"/>
  <c r="AB5" i="285"/>
  <c r="AC5" i="285" s="1"/>
  <c r="R7" i="285"/>
  <c r="S7" i="285" s="1"/>
  <c r="R12" i="285"/>
  <c r="S12" i="285" s="1"/>
  <c r="AB6" i="285"/>
  <c r="AC6" i="285" s="1"/>
  <c r="AB9" i="285"/>
  <c r="AC9" i="285" s="1"/>
  <c r="AB8" i="285"/>
  <c r="AC8" i="285" s="1"/>
  <c r="R16" i="285"/>
  <c r="S16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AM23" i="435" l="1"/>
  <c r="AE23" i="435"/>
  <c r="AO23" i="435"/>
  <c r="AK23" i="435"/>
  <c r="AI23" i="435"/>
  <c r="AQ23" i="435"/>
  <c r="AA23" i="435"/>
  <c r="AG23" i="435"/>
  <c r="AE20" i="435"/>
  <c r="AE21" i="435" s="1"/>
  <c r="L41" i="435" s="1"/>
  <c r="AD20" i="435"/>
  <c r="U20" i="435"/>
  <c r="U21" i="435" s="1"/>
  <c r="L27" i="435" s="1"/>
  <c r="T20" i="435"/>
  <c r="T21" i="435" s="1"/>
  <c r="L26" i="435" s="1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J32" i="435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D12" i="285" s="1"/>
  <c r="AB17" i="285"/>
  <c r="AC17" i="285" s="1"/>
  <c r="AB14" i="285"/>
  <c r="AC14" i="285" s="1"/>
  <c r="AB18" i="285"/>
  <c r="AC18" i="285" s="1"/>
  <c r="R14" i="285"/>
  <c r="S14" i="285" s="1"/>
  <c r="T7" i="285" s="1"/>
  <c r="R19" i="285"/>
  <c r="S19" i="285" s="1"/>
  <c r="AB16" i="285"/>
  <c r="AC16" i="285" s="1"/>
  <c r="AB19" i="285"/>
  <c r="AC19" i="285" s="1"/>
  <c r="AB7" i="285"/>
  <c r="AC7" i="285" s="1"/>
  <c r="S5" i="285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T10" i="285" l="1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D21" i="435"/>
  <c r="AF20" i="435"/>
  <c r="AF21" i="435" s="1"/>
  <c r="L42" i="435" s="1"/>
  <c r="V20" i="435"/>
  <c r="V21" i="435" s="1"/>
  <c r="L28" i="435" s="1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47" i="435"/>
  <c r="J48" i="435"/>
  <c r="AS22" i="435"/>
  <c r="J39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AE20" i="285" s="1"/>
  <c r="AE21" i="285" s="1"/>
  <c r="L41" i="285" s="1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J37" i="435" l="1"/>
  <c r="AS37" i="435"/>
  <c r="AS36" i="435" s="1"/>
  <c r="L40" i="435"/>
  <c r="AC21" i="435"/>
  <c r="L39" i="435" s="1"/>
  <c r="S21" i="435"/>
  <c r="L25" i="435" s="1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37" i="435" l="1"/>
  <c r="H46" i="435"/>
  <c r="H49" i="435"/>
  <c r="H47" i="435"/>
  <c r="H45" i="435"/>
  <c r="H48" i="435"/>
  <c r="H43" i="435"/>
  <c r="H29" i="435"/>
  <c r="H31" i="435"/>
  <c r="L23" i="435"/>
  <c r="H33" i="435"/>
  <c r="H34" i="435"/>
  <c r="H26" i="435"/>
  <c r="H32" i="435"/>
  <c r="H30" i="435"/>
  <c r="H25" i="435"/>
  <c r="H28" i="435"/>
  <c r="H27" i="435"/>
  <c r="H35" i="435"/>
  <c r="BN14" i="435" s="1"/>
  <c r="H42" i="435"/>
  <c r="BR13" i="435" s="1"/>
  <c r="H39" i="435"/>
  <c r="H44" i="435"/>
  <c r="H41" i="435"/>
  <c r="H40" i="435"/>
  <c r="BR11" i="435" s="1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BR12" i="435" l="1"/>
  <c r="BJ40" i="435"/>
  <c r="BJ33" i="435"/>
  <c r="BN10" i="435"/>
  <c r="BN12" i="435"/>
  <c r="BJ17" i="435"/>
  <c r="BR37" i="435"/>
  <c r="BJ38" i="435"/>
  <c r="BR35" i="435"/>
  <c r="BJ24" i="435"/>
  <c r="BR44" i="435"/>
  <c r="BJ18" i="435"/>
  <c r="BR14" i="435"/>
  <c r="BR29" i="435"/>
  <c r="BJ42" i="435"/>
  <c r="BR10" i="435"/>
  <c r="BJ49" i="435"/>
  <c r="BR7" i="435"/>
  <c r="BJ23" i="435"/>
  <c r="BJ28" i="435"/>
  <c r="BJ25" i="435"/>
  <c r="BN6" i="435"/>
  <c r="BJ27" i="435"/>
  <c r="BJ29" i="435"/>
  <c r="BR6" i="435"/>
  <c r="BN4" i="435"/>
  <c r="H37" i="435"/>
  <c r="BJ47" i="435"/>
  <c r="BR30" i="435"/>
  <c r="BJ35" i="435"/>
  <c r="BR9" i="435"/>
  <c r="BJ37" i="435"/>
  <c r="BR8" i="435"/>
  <c r="BJ31" i="435"/>
  <c r="BJ32" i="435"/>
  <c r="BJ34" i="435"/>
  <c r="BN7" i="435"/>
  <c r="BJ21" i="435"/>
  <c r="BJ16" i="435"/>
  <c r="BJ15" i="435"/>
  <c r="BN5" i="435"/>
  <c r="BJ19" i="435"/>
  <c r="BJ20" i="435"/>
  <c r="BJ14" i="435"/>
  <c r="BJ22" i="435"/>
  <c r="BJ51" i="435"/>
  <c r="BR19" i="435"/>
  <c r="BR20" i="435"/>
  <c r="BJ50" i="435"/>
  <c r="BJ52" i="435"/>
  <c r="BR23" i="435"/>
  <c r="BR21" i="435"/>
  <c r="BR22" i="435"/>
  <c r="BJ53" i="435"/>
  <c r="BJ39" i="435"/>
  <c r="BJ57" i="435"/>
  <c r="BJ13" i="435"/>
  <c r="BJ12" i="435"/>
  <c r="BJ5" i="435"/>
  <c r="BJ11" i="435"/>
  <c r="BJ6" i="435"/>
  <c r="BJ8" i="435"/>
  <c r="H23" i="435"/>
  <c r="BJ4" i="435"/>
  <c r="BJ9" i="435"/>
  <c r="BJ10" i="435"/>
  <c r="BJ7" i="435"/>
  <c r="BR45" i="435"/>
  <c r="BR47" i="435"/>
  <c r="BR43" i="435"/>
  <c r="BR42" i="435"/>
  <c r="BJ59" i="435"/>
  <c r="BR41" i="435"/>
  <c r="BN13" i="435"/>
  <c r="BR40" i="435"/>
  <c r="BR46" i="435"/>
  <c r="BJ41" i="435"/>
  <c r="BJ55" i="435"/>
  <c r="BR27" i="435"/>
  <c r="BN11" i="435"/>
  <c r="BR26" i="435"/>
  <c r="BJ54" i="435"/>
  <c r="BR24" i="435"/>
  <c r="BR25" i="435"/>
  <c r="BJ56" i="435"/>
  <c r="BR28" i="435"/>
  <c r="BR5" i="435"/>
  <c r="BJ30" i="435"/>
  <c r="BR4" i="435"/>
  <c r="BR31" i="435"/>
  <c r="BJ26" i="435"/>
  <c r="BR39" i="435"/>
  <c r="BJ36" i="435"/>
  <c r="BJ46" i="435"/>
  <c r="BN9" i="435"/>
  <c r="BJ45" i="435"/>
  <c r="BR18" i="435"/>
  <c r="BJ48" i="435"/>
  <c r="BJ44" i="435"/>
  <c r="BR16" i="435"/>
  <c r="BR17" i="435"/>
  <c r="BR15" i="435"/>
  <c r="BJ58" i="435"/>
  <c r="BR38" i="435"/>
  <c r="BR33" i="435"/>
  <c r="BR36" i="435"/>
  <c r="BR32" i="435"/>
  <c r="BR34" i="435"/>
  <c r="BN8" i="435"/>
  <c r="BJ43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37" i="435" l="1"/>
  <c r="B39" i="435"/>
  <c r="B38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6" i="435" l="1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N11" i="285" l="1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H45" i="273"/>
  <c r="BH50" i="273" s="1"/>
  <c r="BE45" i="273"/>
  <c r="BF44" i="273"/>
  <c r="BE44" i="273"/>
  <c r="BF45" i="273" s="1"/>
  <c r="BD44" i="273"/>
  <c r="BE43" i="273"/>
  <c r="BD43" i="273"/>
  <c r="BC43" i="273"/>
  <c r="BE42" i="273"/>
  <c r="BF43" i="273" s="1"/>
  <c r="BD42" i="273"/>
  <c r="BC42" i="273"/>
  <c r="BF41" i="273"/>
  <c r="BE41" i="273"/>
  <c r="BF42" i="273" s="1"/>
  <c r="BD41" i="273"/>
  <c r="BC41" i="273"/>
  <c r="BF40" i="273"/>
  <c r="BE40" i="273"/>
  <c r="BD40" i="273"/>
  <c r="BC40" i="273"/>
  <c r="BH39" i="273"/>
  <c r="BH44" i="273" s="1"/>
  <c r="BL10" i="273" s="1"/>
  <c r="BP30" i="273" s="1"/>
  <c r="BP37" i="273" s="1"/>
  <c r="BP45" i="273" s="1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F33" i="273"/>
  <c r="C32" i="273"/>
  <c r="B32" i="273"/>
  <c r="BH31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F30" i="273" s="1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F28" i="273"/>
  <c r="BE28" i="273"/>
  <c r="BF29" i="273" s="1"/>
  <c r="BD28" i="273"/>
  <c r="BC28" i="273"/>
  <c r="BH27" i="273"/>
  <c r="BH34" i="273" s="1"/>
  <c r="BH40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23" i="273"/>
  <c r="B22" i="273"/>
  <c r="C22" i="273" s="1"/>
  <c r="B20" i="273"/>
  <c r="B21" i="273" s="1"/>
  <c r="AA19" i="273"/>
  <c r="Z19" i="273"/>
  <c r="Y19" i="273"/>
  <c r="P19" i="273"/>
  <c r="O19" i="273"/>
  <c r="Q19" i="273" s="1"/>
  <c r="BP18" i="273"/>
  <c r="BP22" i="273" s="1"/>
  <c r="BP28" i="273" s="1"/>
  <c r="BP35" i="273" s="1"/>
  <c r="BP43" i="273" s="1"/>
  <c r="AA18" i="273"/>
  <c r="Q18" i="273"/>
  <c r="Z17" i="273"/>
  <c r="AA17" i="273" s="1"/>
  <c r="Y17" i="273"/>
  <c r="Q17" i="273"/>
  <c r="P17" i="273"/>
  <c r="O17" i="273"/>
  <c r="AA16" i="273"/>
  <c r="Y16" i="273"/>
  <c r="Q16" i="273"/>
  <c r="O16" i="273"/>
  <c r="AA15" i="273"/>
  <c r="Q15" i="273"/>
  <c r="AA14" i="273"/>
  <c r="Y14" i="273"/>
  <c r="Q14" i="273"/>
  <c r="O14" i="273"/>
  <c r="Z13" i="273"/>
  <c r="AA13" i="273" s="1"/>
  <c r="P13" i="273"/>
  <c r="Q13" i="273" s="1"/>
  <c r="BL12" i="273"/>
  <c r="BP47" i="273" s="1"/>
  <c r="AA12" i="273"/>
  <c r="Q12" i="273"/>
  <c r="BL11" i="273"/>
  <c r="BP38" i="273" s="1"/>
  <c r="BP46" i="273" s="1"/>
  <c r="AA11" i="273"/>
  <c r="Z11" i="273"/>
  <c r="Y11" i="273"/>
  <c r="P11" i="273"/>
  <c r="Q11" i="273" s="1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Q9" i="273"/>
  <c r="O9" i="273"/>
  <c r="BL8" i="273"/>
  <c r="Z8" i="273"/>
  <c r="AA8" i="273" s="1"/>
  <c r="Y8" i="273"/>
  <c r="P8" i="273"/>
  <c r="Q8" i="273" s="1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AA6" i="273" s="1"/>
  <c r="Q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AF1" i="273"/>
  <c r="S1" i="273"/>
  <c r="K1" i="273"/>
  <c r="L1" i="273" s="1"/>
  <c r="M1" i="273" s="1"/>
  <c r="M2" i="273" s="1"/>
  <c r="H1" i="273"/>
  <c r="G1" i="273"/>
  <c r="E23" i="273" l="1"/>
  <c r="R19" i="273"/>
  <c r="AB16" i="273"/>
  <c r="AB14" i="273"/>
  <c r="AB19" i="273"/>
  <c r="AB18" i="273"/>
  <c r="R17" i="273"/>
  <c r="R16" i="273"/>
  <c r="R15" i="273"/>
  <c r="R14" i="273"/>
  <c r="R18" i="273"/>
  <c r="R12" i="273"/>
  <c r="R10" i="273"/>
  <c r="AB9" i="273"/>
  <c r="R8" i="273"/>
  <c r="AB7" i="273"/>
  <c r="R5" i="273"/>
  <c r="AB6" i="273"/>
  <c r="AB17" i="273"/>
  <c r="R13" i="273"/>
  <c r="R11" i="273"/>
  <c r="AB10" i="273"/>
  <c r="AB8" i="273"/>
  <c r="R7" i="273"/>
  <c r="AB5" i="273"/>
  <c r="R6" i="273"/>
  <c r="AB15" i="273"/>
  <c r="AB12" i="273"/>
  <c r="AB13" i="273"/>
  <c r="AB11" i="273"/>
  <c r="R9" i="273"/>
  <c r="C31" i="273"/>
  <c r="W38" i="273" s="1"/>
  <c r="B23" i="273"/>
  <c r="C23" i="273" s="1"/>
  <c r="D27" i="273"/>
  <c r="D23" i="273" s="1"/>
  <c r="T33" i="273" l="1"/>
  <c r="T34" i="273"/>
  <c r="B31" i="273"/>
  <c r="AC5" i="273"/>
  <c r="S10" i="273"/>
  <c r="AC12" i="273"/>
  <c r="S7" i="273"/>
  <c r="S13" i="273"/>
  <c r="AC7" i="273"/>
  <c r="S12" i="273"/>
  <c r="AC14" i="273"/>
  <c r="T47" i="273"/>
  <c r="T45" i="273"/>
  <c r="B34" i="273"/>
  <c r="B24" i="273"/>
  <c r="T43" i="273"/>
  <c r="T48" i="273"/>
  <c r="S9" i="273"/>
  <c r="AC15" i="273"/>
  <c r="AC8" i="273"/>
  <c r="AD6" i="273" s="1"/>
  <c r="AC17" i="273"/>
  <c r="S8" i="273"/>
  <c r="S18" i="273"/>
  <c r="S17" i="273"/>
  <c r="AC16" i="273"/>
  <c r="AC13" i="273"/>
  <c r="S11" i="273"/>
  <c r="S5" i="273"/>
  <c r="U10" i="273" s="1"/>
  <c r="S15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T5" i="273" s="1"/>
  <c r="AC10" i="273"/>
  <c r="AC6" i="273"/>
  <c r="AD5" i="273" s="1"/>
  <c r="AC9" i="273"/>
  <c r="AD13" i="273" s="1"/>
  <c r="S14" i="273"/>
  <c r="AC18" i="273"/>
  <c r="T19" i="273"/>
  <c r="S19" i="273"/>
  <c r="U14" i="273" l="1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T20" i="273" s="1"/>
  <c r="L25" i="273" s="1"/>
  <c r="AD19" i="273"/>
  <c r="U8" i="273"/>
  <c r="U20" i="273" s="1"/>
  <c r="L26" i="273" s="1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R33" i="273" l="1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9" i="273"/>
  <c r="R40" i="273"/>
  <c r="R31" i="273"/>
  <c r="R32" i="273"/>
  <c r="R41" i="273"/>
  <c r="R42" i="273"/>
  <c r="R25" i="273" l="1"/>
  <c r="L22" i="273"/>
  <c r="R38" i="273"/>
  <c r="P36" i="273"/>
  <c r="L36" i="273"/>
  <c r="R28" i="273"/>
  <c r="R26" i="273"/>
  <c r="P22" i="273"/>
  <c r="R29" i="273"/>
  <c r="R24" i="273"/>
  <c r="R27" i="273"/>
  <c r="V27" i="273" s="1"/>
  <c r="V26" i="273" l="1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BR29" i="273"/>
  <c r="H32" i="273"/>
  <c r="H28" i="273"/>
  <c r="H42" i="273"/>
  <c r="AS21" i="273"/>
  <c r="J38" i="273"/>
  <c r="H45" i="273"/>
  <c r="H46" i="273"/>
  <c r="H48" i="273"/>
  <c r="H34" i="273"/>
  <c r="H24" i="273" l="1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<sst xmlns="http://schemas.openxmlformats.org/spreadsheetml/2006/main" count="1280" uniqueCount="257">
  <si>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</si>
  <si>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</si>
  <si>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</si>
  <si>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</si>
  <si>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</si>
  <si>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</si>
  <si>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</si>
  <si>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</si>
  <si>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</si>
  <si>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</si>
  <si>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</si>
  <si>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</si>
  <si>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</si>
  <si>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</si>
  <si>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</si>
  <si>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</si>
  <si>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</si>
  <si>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</si>
  <si>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</si>
  <si>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</si>
  <si>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</si>
  <si>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</si>
  <si>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</si>
  <si>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</si>
  <si>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</si>
  <si>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</si>
  <si>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</si>
  <si>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</si>
  <si>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</si>
  <si>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</si>
  <si>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</si>
  <si>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</si>
  <si>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</si>
  <si>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</si>
  <si>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</si>
  <si>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</si>
  <si>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</si>
  <si>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</si>
  <si>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</si>
  <si>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</si>
  <si>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</si>
  <si>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</si>
  <si>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</si>
  <si>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</si>
  <si>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</si>
  <si>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</si>
  <si>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</si>
  <si>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</si>
  <si>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</si>
  <si>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</si>
  <si>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</si>
  <si>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</si>
  <si>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</si>
  <si>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</si>
  <si>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</si>
  <si>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</si>
  <si>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</si>
  <si>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</si>
  <si>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</si>
  <si>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</si>
  <si>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</si>
  <si>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</si>
  <si>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</si>
  <si>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</si>
  <si>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</si>
  <si>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</si>
  <si>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</si>
  <si>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</si>
  <si>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</si>
  <si>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</si>
  <si>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</si>
  <si>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</si>
  <si>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</si>
  <si>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</si>
  <si>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</si>
  <si>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</si>
  <si>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</si>
  <si>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</si>
  <si>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</si>
  <si>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</si>
  <si>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</si>
  <si>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</si>
  <si>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</si>
  <si>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</si>
  <si>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</si>
  <si>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</si>
  <si>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</si>
  <si>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</si>
  <si>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</si>
  <si>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</si>
  <si>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</si>
  <si>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</si>
  <si>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</si>
  <si>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</si>
  <si>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</si>
  <si>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</si>
  <si>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</si>
  <si>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</si>
  <si>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</si>
  <si>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</si>
  <si>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</si>
  <si>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</si>
  <si>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</si>
  <si>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</si>
  <si>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</si>
  <si>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</si>
  <si>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</si>
  <si>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</si>
  <si>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</si>
  <si>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</si>
  <si>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</si>
  <si>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</si>
  <si>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</si>
  <si>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</si>
  <si>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</si>
  <si>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</si>
  <si>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</si>
  <si>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</si>
  <si>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</si>
  <si>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</si>
  <si>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</si>
  <si>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</si>
  <si>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</si>
  <si>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</si>
  <si>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</si>
  <si>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</si>
  <si>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</si>
  <si>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</si>
  <si>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</si>
  <si>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</si>
  <si>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</si>
  <si>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</si>
  <si>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</si>
  <si>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</si>
  <si>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</si>
  <si>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</si>
  <si>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</si>
  <si>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</si>
  <si>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</si>
  <si>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</si>
  <si>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</si>
  <si>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</si>
  <si>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</si>
  <si>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</si>
  <si>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CAB</t>
  </si>
  <si>
    <t>JC</t>
  </si>
  <si>
    <t>NEU</t>
  </si>
  <si>
    <t>IMP</t>
  </si>
  <si>
    <t>All</t>
  </si>
  <si>
    <t>0,4</t>
  </si>
  <si>
    <t>San Blas</t>
  </si>
  <si>
    <t>VADER</t>
  </si>
  <si>
    <t>otters</t>
  </si>
  <si>
    <t>CA</t>
  </si>
  <si>
    <t>Nac</t>
  </si>
  <si>
    <t>Jugador</t>
  </si>
  <si>
    <t>PA</t>
  </si>
  <si>
    <t>Estat</t>
  </si>
  <si>
    <t>Anys</t>
  </si>
  <si>
    <t>España</t>
  </si>
  <si>
    <t>P. Marañón</t>
  </si>
  <si>
    <t>Joc aeri Fes clic per veure més informació</t>
  </si>
  <si>
    <t>27.78</t>
  </si>
  <si>
    <t>Benin</t>
  </si>
  <si>
    <t>L. Gotovi (NT)</t>
  </si>
  <si>
    <t>Imprevisible Fes clic per veure més informació</t>
  </si>
  <si>
    <t>26.32</t>
  </si>
  <si>
    <t>Kazakhstan</t>
  </si>
  <si>
    <t>A. Alimzhanov</t>
  </si>
  <si>
    <t>Ràpid Fes clic per veure més informació</t>
  </si>
  <si>
    <t>G×1</t>
  </si>
  <si>
    <t>27.50</t>
  </si>
  <si>
    <t>L. Glacken</t>
  </si>
  <si>
    <t>26.77</t>
  </si>
  <si>
    <t>D. Aguiló</t>
  </si>
  <si>
    <t>Tècnic Fes clic per veure més informació</t>
  </si>
  <si>
    <t>27.45</t>
  </si>
  <si>
    <t>England</t>
  </si>
  <si>
    <t>D. Walton</t>
  </si>
  <si>
    <t>G×2</t>
  </si>
  <si>
    <t>27.81</t>
  </si>
  <si>
    <t>C. Houde Aditi (NT)</t>
  </si>
  <si>
    <t>26.24</t>
  </si>
  <si>
    <t>Angola</t>
  </si>
  <si>
    <t>H. Cordeiro Fernandes</t>
  </si>
  <si>
    <t>26.4</t>
  </si>
  <si>
    <t>Tanzania</t>
  </si>
  <si>
    <t>T. Sereweji</t>
  </si>
  <si>
    <t>28.43</t>
  </si>
  <si>
    <t>I. Baratzondo</t>
  </si>
  <si>
    <t>26.67</t>
  </si>
  <si>
    <t>Guatemala</t>
  </si>
  <si>
    <t>J. L. Torres</t>
  </si>
  <si>
    <t>26.12</t>
  </si>
  <si>
    <t>Singapore</t>
  </si>
  <si>
    <t>G. Chin Wai</t>
  </si>
  <si>
    <t>LT</t>
  </si>
  <si>
    <t>26.85</t>
  </si>
  <si>
    <t>I. Valladares</t>
  </si>
  <si>
    <t>27.36</t>
  </si>
  <si>
    <t>El Salvador</t>
  </si>
  <si>
    <t>G. Ospina</t>
  </si>
  <si>
    <t>43.56</t>
  </si>
  <si>
    <t>Brasil</t>
  </si>
  <si>
    <t>S. Lemos Filho</t>
  </si>
  <si>
    <t>39.73</t>
  </si>
  <si>
    <t>G. Navarro</t>
  </si>
  <si>
    <t>42.7</t>
  </si>
  <si>
    <t>R. ElgorriagaEntrenador</t>
  </si>
  <si>
    <t>Les8</t>
  </si>
  <si>
    <t>47.23</t>
  </si>
  <si>
    <t>S. ZammitEntrenador</t>
  </si>
  <si>
    <t>45.14</t>
  </si>
  <si>
    <t>TSI</t>
  </si>
  <si>
    <t>Lid</t>
  </si>
  <si>
    <t>Fo</t>
  </si>
  <si>
    <t>Res</t>
  </si>
  <si>
    <t>Fi</t>
  </si>
  <si>
    <t>Últim</t>
  </si>
  <si>
    <t>RT</t>
  </si>
  <si>
    <t>Pos</t>
  </si>
  <si>
    <t>Sou</t>
  </si>
  <si>
    <t>GL</t>
  </si>
  <si>
    <t>HR</t>
  </si>
  <si>
    <t>361 790</t>
  </si>
  <si>
    <t>26 780</t>
  </si>
  <si>
    <t>357 560</t>
  </si>
  <si>
    <t>10.5</t>
  </si>
  <si>
    <t>MC</t>
  </si>
  <si>
    <t>38 772</t>
  </si>
  <si>
    <t>329 340</t>
  </si>
  <si>
    <t>9.5</t>
  </si>
  <si>
    <t>35 988</t>
  </si>
  <si>
    <t>311 170</t>
  </si>
  <si>
    <t>5.5</t>
  </si>
  <si>
    <t>33 460</t>
  </si>
  <si>
    <t>283 060</t>
  </si>
  <si>
    <t>25 270</t>
  </si>
  <si>
    <t>259 680</t>
  </si>
  <si>
    <t>32 556</t>
  </si>
  <si>
    <t>258 840</t>
  </si>
  <si>
    <t>32 904</t>
  </si>
  <si>
    <t>201 350</t>
  </si>
  <si>
    <t>29 916</t>
  </si>
  <si>
    <t>194 710</t>
  </si>
  <si>
    <t>19 692</t>
  </si>
  <si>
    <t>170 310</t>
  </si>
  <si>
    <t>24 220</t>
  </si>
  <si>
    <t>143 490</t>
  </si>
  <si>
    <t>4.5</t>
  </si>
  <si>
    <t>25 092</t>
  </si>
  <si>
    <t>67 800</t>
  </si>
  <si>
    <t>PO</t>
  </si>
  <si>
    <t>49 884</t>
  </si>
  <si>
    <t>46 790</t>
  </si>
  <si>
    <t>7 310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</si>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</sst>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1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14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7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'VADER-SanBlas'!$G$25:$G$35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'VADER-SanBlas'!$H$25:$H$35</c:f>
              <c:numCache>
                <c:formatCode>0.0%</c:formatCode>
                <c:ptCount val="11"/>
                <c:pt idx="0">
                  <c:v>2.3950783431186808E-2</c:v>
                </c:pt>
                <c:pt idx="1">
                  <c:v>0.10394603975670559</c:v>
                </c:pt>
                <c:pt idx="2">
                  <c:v>0.20752070532921274</c:v>
                </c:pt>
                <c:pt idx="3">
                  <c:v>0.25247723749044509</c:v>
                </c:pt>
                <c:pt idx="4">
                  <c:v>0.20900758698605115</c:v>
                </c:pt>
                <c:pt idx="5">
                  <c:v>0.12444927257010416</c:v>
                </c:pt>
                <c:pt idx="6">
                  <c:v>5.4910338695140767E-2</c:v>
                </c:pt>
                <c:pt idx="7">
                  <c:v>1.8211532491148506E-2</c:v>
                </c:pt>
                <c:pt idx="8">
                  <c:v>4.550960399002376E-3</c:v>
                </c:pt>
                <c:pt idx="9">
                  <c:v>8.4880769758667531E-4</c:v>
                </c:pt>
                <c:pt idx="10">
                  <c:v>1.1525228498887895E-4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'VADER-SanBlas'!$H$39:$H$49</c:f>
              <c:numCache>
                <c:formatCode>0.0%</c:formatCode>
                <c:ptCount val="11"/>
                <c:pt idx="0">
                  <c:v>5.2635611100452909E-2</c:v>
                </c:pt>
                <c:pt idx="1">
                  <c:v>0.18418793746473719</c:v>
                </c:pt>
                <c:pt idx="2">
                  <c:v>0.27861733607304545</c:v>
                </c:pt>
                <c:pt idx="3">
                  <c:v>0.248557128746248</c:v>
                </c:pt>
                <c:pt idx="4">
                  <c:v>0.14812603818177122</c:v>
                </c:pt>
                <c:pt idx="5">
                  <c:v>6.2804693595861577E-2</c:v>
                </c:pt>
                <c:pt idx="6">
                  <c:v>1.9591871666488778E-2</c:v>
                </c:pt>
                <c:pt idx="7">
                  <c:v>4.5678472046113859E-3</c:v>
                </c:pt>
                <c:pt idx="8">
                  <c:v>7.9786837647966046E-4</c:v>
                </c:pt>
                <c:pt idx="9">
                  <c:v>1.0334402587110268E-4</c:v>
                </c:pt>
                <c:pt idx="10">
                  <c:v>9.6751691932727019E-6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638648"/>
        <c:axId val="291639824"/>
      </c:lineChart>
      <c:catAx>
        <c:axId val="291638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1639824"/>
        <c:crosses val="autoZero"/>
        <c:auto val="1"/>
        <c:lblAlgn val="ctr"/>
        <c:lblOffset val="100"/>
        <c:noMultiLvlLbl val="0"/>
      </c:catAx>
      <c:valAx>
        <c:axId val="29163982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163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'VADER-SanBlas'!$B$37:$B$39</c:f>
              <c:numCache>
                <c:formatCode>0.0%</c:formatCode>
                <c:ptCount val="3"/>
                <c:pt idx="0">
                  <c:v>0.18091832206638853</c:v>
                </c:pt>
                <c:pt idx="1">
                  <c:v>0.28685489968290068</c:v>
                </c:pt>
                <c:pt idx="2">
                  <c:v>0.53209939589931521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'Otters-VADER'!$G$25:$G$35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'Otters-VADER'!$H$25:$H$35</c:f>
              <c:numCache>
                <c:formatCode>0.0%</c:formatCode>
                <c:ptCount val="11"/>
                <c:pt idx="0">
                  <c:v>0.43147941403525836</c:v>
                </c:pt>
                <c:pt idx="1">
                  <c:v>0.37232759883900973</c:v>
                </c:pt>
                <c:pt idx="2">
                  <c:v>0.15061222274358077</c:v>
                </c:pt>
                <c:pt idx="3">
                  <c:v>3.7946347131443341E-2</c:v>
                </c:pt>
                <c:pt idx="4">
                  <c:v>6.6717359973579686E-3</c:v>
                </c:pt>
                <c:pt idx="5">
                  <c:v>8.688192074888301E-4</c:v>
                </c:pt>
                <c:pt idx="6">
                  <c:v>8.6692068822188429E-5</c:v>
                </c:pt>
                <c:pt idx="7">
                  <c:v>6.7417420453927049E-6</c:v>
                </c:pt>
                <c:pt idx="8">
                  <c:v>4.0869853148960603E-7</c:v>
                </c:pt>
                <c:pt idx="9">
                  <c:v>1.889111803659559E-8</c:v>
                </c:pt>
                <c:pt idx="10">
                  <c:v>6.3123697168880992E-10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'Otters-VADER'!$H$39:$H$49</c:f>
              <c:numCache>
                <c:formatCode>0.0%</c:formatCode>
                <c:ptCount val="11"/>
                <c:pt idx="0">
                  <c:v>5.3694368203776391E-2</c:v>
                </c:pt>
                <c:pt idx="1">
                  <c:v>0.1761075630433096</c:v>
                </c:pt>
                <c:pt idx="2">
                  <c:v>0.26640072308960205</c:v>
                </c:pt>
                <c:pt idx="3">
                  <c:v>0.24627462924091664</c:v>
                </c:pt>
                <c:pt idx="4">
                  <c:v>0.15537603019003884</c:v>
                </c:pt>
                <c:pt idx="5">
                  <c:v>7.0731535123877559E-2</c:v>
                </c:pt>
                <c:pt idx="6">
                  <c:v>2.3938195368422576E-2</c:v>
                </c:pt>
                <c:pt idx="7">
                  <c:v>6.1094262193403795E-3</c:v>
                </c:pt>
                <c:pt idx="8">
                  <c:v>1.1782893324206614E-3</c:v>
                </c:pt>
                <c:pt idx="9">
                  <c:v>1.7000217496461633E-4</c:v>
                </c:pt>
                <c:pt idx="10">
                  <c:v>1.7877490884138536E-5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99856"/>
        <c:axId val="293200248"/>
      </c:lineChart>
      <c:catAx>
        <c:axId val="29319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200248"/>
        <c:crosses val="autoZero"/>
        <c:auto val="1"/>
        <c:lblAlgn val="ctr"/>
        <c:lblOffset val="100"/>
        <c:noMultiLvlLbl val="0"/>
      </c:catAx>
      <c:valAx>
        <c:axId val="29320024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3199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'Otters-VADER'!$B$37:$B$39</c:f>
              <c:numCache>
                <c:formatCode>0.0%</c:formatCode>
                <c:ptCount val="3"/>
                <c:pt idx="0">
                  <c:v>0.13930634592540947</c:v>
                </c:pt>
                <c:pt idx="1">
                  <c:v>0.78144022316283102</c:v>
                </c:pt>
                <c:pt idx="2">
                  <c:v>7.9252069743980816E-2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204560"/>
        <c:axId val="293203776"/>
      </c:lineChart>
      <c:catAx>
        <c:axId val="29320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203776"/>
        <c:crosses val="autoZero"/>
        <c:auto val="1"/>
        <c:lblAlgn val="ctr"/>
        <c:lblOffset val="100"/>
        <c:noMultiLvlLbl val="0"/>
      </c:catAx>
      <c:valAx>
        <c:axId val="29320377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3204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0.14738075169875151</c:v>
                </c:pt>
                <c:pt idx="1">
                  <c:v>0.30607459614351773</c:v>
                </c:pt>
                <c:pt idx="2">
                  <c:v>0.29103044227892333</c:v>
                </c:pt>
                <c:pt idx="3">
                  <c:v>0.16769440117062107</c:v>
                </c:pt>
                <c:pt idx="4">
                  <c:v>6.531517512113745E-2</c:v>
                </c:pt>
                <c:pt idx="5">
                  <c:v>1.8159817087638242E-2</c:v>
                </c:pt>
                <c:pt idx="6">
                  <c:v>3.7101066798310152E-3</c:v>
                </c:pt>
                <c:pt idx="7">
                  <c:v>5.6473172578951742E-4</c:v>
                </c:pt>
                <c:pt idx="8">
                  <c:v>6.4218993790413949E-5</c:v>
                </c:pt>
                <c:pt idx="9">
                  <c:v>5.4134780884159974E-6</c:v>
                </c:pt>
                <c:pt idx="10">
                  <c:v>3.3117416353307858E-7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5.9501909237606246E-2</c:v>
                </c:pt>
                <c:pt idx="1">
                  <c:v>0.18913667156449956</c:v>
                </c:pt>
                <c:pt idx="2">
                  <c:v>0.27544784496860492</c:v>
                </c:pt>
                <c:pt idx="3">
                  <c:v>0.24330030848488476</c:v>
                </c:pt>
                <c:pt idx="4">
                  <c:v>0.1454230726245091</c:v>
                </c:pt>
                <c:pt idx="5">
                  <c:v>6.2134159523416999E-2</c:v>
                </c:pt>
                <c:pt idx="6">
                  <c:v>1.9542410342318937E-2</c:v>
                </c:pt>
                <c:pt idx="7">
                  <c:v>4.5896778609825772E-3</c:v>
                </c:pt>
                <c:pt idx="8">
                  <c:v>8.0751430873681157E-4</c:v>
                </c:pt>
                <c:pt idx="9">
                  <c:v>1.0566333059538167E-4</c:v>
                </c:pt>
                <c:pt idx="10">
                  <c:v>1.0070407983549551E-5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336448"/>
        <c:axId val="293336840"/>
      </c:lineChart>
      <c:catAx>
        <c:axId val="29333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336840"/>
        <c:crosses val="autoZero"/>
        <c:auto val="1"/>
        <c:lblAlgn val="ctr"/>
        <c:lblOffset val="100"/>
        <c:noMultiLvlLbl val="0"/>
      </c:catAx>
      <c:valAx>
        <c:axId val="29333684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3336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0.19832500138188314</c:v>
                </c:pt>
                <c:pt idx="1">
                  <c:v>0.55248814107641242</c:v>
                </c:pt>
                <c:pt idx="2">
                  <c:v>0.24918581457750841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335664"/>
        <c:axId val="293334880"/>
      </c:lineChart>
      <c:catAx>
        <c:axId val="29333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334880"/>
        <c:crosses val="autoZero"/>
        <c:auto val="1"/>
        <c:lblAlgn val="ctr"/>
        <c:lblOffset val="100"/>
        <c:noMultiLvlLbl val="0"/>
      </c:catAx>
      <c:valAx>
        <c:axId val="29333488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3335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BR59"/>
  <sheetViews>
    <sheetView zoomScale="80" zoomScaleNormal="80" workbookViewId="0">
      <selection activeCell="F19" sqref="F19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5" t="s">
        <v>142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7" t="s">
        <v>135</v>
      </c>
      <c r="Q1" s="197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2</v>
      </c>
    </row>
    <row r="2" spans="1:70" x14ac:dyDescent="0.25">
      <c r="A2" s="195" t="s">
        <v>150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198" t="s">
        <v>23</v>
      </c>
      <c r="C3" s="198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>
        <f t="shared" ref="BJ4:BJ13" si="0">$H$25*H40</f>
        <v>4.4114454008548996E-3</v>
      </c>
      <c r="BL4">
        <v>0</v>
      </c>
      <c r="BM4">
        <v>0</v>
      </c>
      <c r="BN4" s="107">
        <f>H25*H39</f>
        <v>1.2606641222351199E-3</v>
      </c>
      <c r="BP4">
        <v>1</v>
      </c>
      <c r="BQ4">
        <v>0</v>
      </c>
      <c r="BR4" s="107">
        <f>$H$26*H39</f>
        <v>5.471263324066172E-3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>
        <f>IF($M$2="SI",Q5*$B$22/0.5*$S$1,Q5*$B$22/0.5*$S$2)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COUNTIF(J5:J18,"IMP")*0.017</f>
        <v>1.7000000000000001E-2</v>
      </c>
      <c r="Z5" s="146" t="str">
        <f>Z3</f>
        <v>0,6</v>
      </c>
      <c r="AA5" s="19">
        <f>Z5*Y5</f>
        <v>1.0200000000000001E-2</v>
      </c>
      <c r="AB5" s="157">
        <f>IF($M$2="SI",AA5*$C$22/0.5*$S$1,AA5*$C$22/0.5*$S$2)</f>
        <v>9.8880329375308027E-3</v>
      </c>
      <c r="AC5" s="176">
        <f>(1-AB5)</f>
        <v>0.99011196706246918</v>
      </c>
      <c r="AD5" s="177">
        <f>AB5*PRODUCT(AC6:AC19)</f>
        <v>3.2537810594970291E-3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4.8514634365154612E-3</v>
      </c>
      <c r="AF5" s="18"/>
      <c r="BH5">
        <v>0</v>
      </c>
      <c r="BI5">
        <v>2</v>
      </c>
      <c r="BJ5" s="107">
        <f t="shared" si="0"/>
        <v>6.6731034764597038E-3</v>
      </c>
      <c r="BL5">
        <v>1</v>
      </c>
      <c r="BM5">
        <v>1</v>
      </c>
      <c r="BN5" s="107">
        <f>$H$26*H40</f>
        <v>1.9145606670415174E-2</v>
      </c>
      <c r="BP5">
        <f>BP4+1</f>
        <v>2</v>
      </c>
      <c r="BQ5">
        <v>0</v>
      </c>
      <c r="BR5" s="107">
        <f>$H$27*H39</f>
        <v>1.0922979141000128E-2</v>
      </c>
    </row>
    <row r="6" spans="1:70" x14ac:dyDescent="0.25">
      <c r="A6" s="2" t="s">
        <v>1</v>
      </c>
      <c r="B6" s="168">
        <v>15.5</v>
      </c>
      <c r="C6" s="169">
        <v>12.75</v>
      </c>
      <c r="E6" s="192" t="s">
        <v>17</v>
      </c>
      <c r="F6" s="167" t="s">
        <v>21</v>
      </c>
      <c r="G6" s="167"/>
      <c r="H6" s="10"/>
      <c r="I6" s="10"/>
      <c r="J6" s="166" t="s">
        <v>144</v>
      </c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>
        <f>IF($M$2="SI",Q6*$B$22/0.5*$S$1,Q6*$B$22/0.5*$S$2)</f>
        <v>0</v>
      </c>
      <c r="S6" s="176">
        <f t="shared" ref="S6:S19" si="2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>
        <f t="shared" ref="AB6:AB19" si="4">IF($M$2="SI",AA6*$C$22/0.5*$S$1,AA6*$C$22/0.5*$S$2)</f>
        <v>0</v>
      </c>
      <c r="AC6" s="176">
        <f t="shared" ref="AC6:AC19" si="5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BH6">
        <v>0</v>
      </c>
      <c r="BI6">
        <v>3</v>
      </c>
      <c r="BJ6" s="107">
        <f t="shared" si="0"/>
        <v>5.9531379608790029E-3</v>
      </c>
      <c r="BL6">
        <f>BH14+1</f>
        <v>2</v>
      </c>
      <c r="BM6">
        <v>2</v>
      </c>
      <c r="BN6" s="107">
        <f>$H$27*H41</f>
        <v>5.7818866098824702E-2</v>
      </c>
      <c r="BP6">
        <f>BL5+1</f>
        <v>2</v>
      </c>
      <c r="BQ6">
        <v>1</v>
      </c>
      <c r="BR6" s="107">
        <f>$H$27*H40</f>
        <v>3.8222810695815193E-2</v>
      </c>
    </row>
    <row r="7" spans="1:70" x14ac:dyDescent="0.25">
      <c r="A7" s="5" t="s">
        <v>2</v>
      </c>
      <c r="B7" s="168">
        <v>12.5</v>
      </c>
      <c r="C7" s="169">
        <v>14.25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BH7">
        <v>0</v>
      </c>
      <c r="BI7">
        <v>4</v>
      </c>
      <c r="BJ7" s="107">
        <f t="shared" si="0"/>
        <v>3.5477346610113107E-3</v>
      </c>
      <c r="BL7">
        <f>BH23+1</f>
        <v>3</v>
      </c>
      <c r="BM7">
        <v>3</v>
      </c>
      <c r="BN7" s="107">
        <f>$H$28*H42</f>
        <v>6.2755017224409598E-2</v>
      </c>
      <c r="BP7">
        <f>BP5+1</f>
        <v>3</v>
      </c>
      <c r="BQ7">
        <v>0</v>
      </c>
      <c r="BR7" s="107">
        <f>$H$28*H39</f>
        <v>1.3289293684263757E-2</v>
      </c>
    </row>
    <row r="8" spans="1:70" x14ac:dyDescent="0.25">
      <c r="A8" s="5" t="s">
        <v>3</v>
      </c>
      <c r="B8" s="168">
        <v>12.25</v>
      </c>
      <c r="C8" s="169">
        <v>13.25</v>
      </c>
      <c r="E8" s="192" t="s">
        <v>18</v>
      </c>
      <c r="F8" s="167" t="s">
        <v>144</v>
      </c>
      <c r="G8" s="167"/>
      <c r="H8" s="10"/>
      <c r="I8" s="10"/>
      <c r="J8" s="166" t="s">
        <v>144</v>
      </c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>
        <f t="shared" si="6"/>
        <v>0</v>
      </c>
      <c r="S8" s="176">
        <f t="shared" si="2"/>
        <v>1</v>
      </c>
      <c r="T8" s="177">
        <f>R8*PRODUCT(S5:S7)*PRODUCT(S9:S19)</f>
        <v>0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0</v>
      </c>
      <c r="W8" s="186" t="s">
        <v>42</v>
      </c>
      <c r="X8" s="15" t="s">
        <v>43</v>
      </c>
      <c r="Y8" s="69">
        <f>COUNTIF(J6:J18,"IMP")*0.01</f>
        <v>0.01</v>
      </c>
      <c r="Z8" s="146" t="str">
        <f>Z3</f>
        <v>0,6</v>
      </c>
      <c r="AA8" s="19">
        <f t="shared" si="3"/>
        <v>6.0000000000000001E-3</v>
      </c>
      <c r="AB8" s="157">
        <f t="shared" si="4"/>
        <v>5.816489963253413E-3</v>
      </c>
      <c r="AC8" s="176">
        <f t="shared" si="5"/>
        <v>0.99418351003674654</v>
      </c>
      <c r="AD8" s="177">
        <f>AB8*PRODUCT(AC5:AC7)*PRODUCT(AC9:AC19)</f>
        <v>1.9061503781957023E-3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2.8309626946506528E-3</v>
      </c>
      <c r="BH8">
        <v>0</v>
      </c>
      <c r="BI8">
        <v>5</v>
      </c>
      <c r="BJ8" s="107">
        <f t="shared" si="0"/>
        <v>1.5042216147765257E-3</v>
      </c>
      <c r="BL8">
        <f>BH31+1</f>
        <v>4</v>
      </c>
      <c r="BM8">
        <v>4</v>
      </c>
      <c r="BN8" s="107">
        <f>$H$29*H43</f>
        <v>3.0959465810175682E-2</v>
      </c>
      <c r="BP8">
        <f>BP6+1</f>
        <v>3</v>
      </c>
      <c r="BQ8">
        <v>1</v>
      </c>
      <c r="BR8" s="107">
        <f>$H$28*H40</f>
        <v>4.6503261630159699E-2</v>
      </c>
    </row>
    <row r="9" spans="1:70" x14ac:dyDescent="0.25">
      <c r="A9" s="5" t="s">
        <v>4</v>
      </c>
      <c r="B9" s="168">
        <v>13.75</v>
      </c>
      <c r="C9" s="169">
        <v>12.75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2.5000000000000001E-2</v>
      </c>
      <c r="P9" s="144">
        <v>0.5</v>
      </c>
      <c r="Q9" s="16">
        <f t="shared" si="1"/>
        <v>1.2500000000000001E-2</v>
      </c>
      <c r="R9" s="157">
        <f t="shared" si="6"/>
        <v>1.473130627948168E-2</v>
      </c>
      <c r="S9" s="176">
        <f t="shared" si="2"/>
        <v>0.98526869372051828</v>
      </c>
      <c r="T9" s="177">
        <f>R9*PRODUCT(S5:S8)*PRODUCT(S10:S19)</f>
        <v>7.5622745016388779E-3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5.7480177884576501E-3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>
        <f t="shared" si="4"/>
        <v>0</v>
      </c>
      <c r="AC9" s="176">
        <f t="shared" si="5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BH9">
        <v>0</v>
      </c>
      <c r="BI9">
        <v>6</v>
      </c>
      <c r="BJ9" s="107">
        <f t="shared" si="0"/>
        <v>4.6924067529567772E-4</v>
      </c>
      <c r="BL9">
        <f>BH38+1</f>
        <v>5</v>
      </c>
      <c r="BM9">
        <v>5</v>
      </c>
      <c r="BN9" s="107">
        <f>$H$30*H44</f>
        <v>7.815998431993253E-3</v>
      </c>
      <c r="BP9">
        <f>BL6+1</f>
        <v>3</v>
      </c>
      <c r="BQ9">
        <v>2</v>
      </c>
      <c r="BR9" s="107">
        <f>$H$28*H41</f>
        <v>7.0344535328669452E-2</v>
      </c>
    </row>
    <row r="10" spans="1:70" x14ac:dyDescent="0.25">
      <c r="A10" s="6" t="s">
        <v>5</v>
      </c>
      <c r="B10" s="168">
        <v>13.75</v>
      </c>
      <c r="C10" s="169">
        <v>13</v>
      </c>
      <c r="E10" s="192" t="s">
        <v>17</v>
      </c>
      <c r="F10" s="167" t="s">
        <v>16</v>
      </c>
      <c r="G10" s="167"/>
      <c r="H10" s="10"/>
      <c r="I10" s="10"/>
      <c r="J10" s="166" t="s">
        <v>144</v>
      </c>
      <c r="K10" s="166"/>
      <c r="L10" s="10"/>
      <c r="M10" s="10"/>
      <c r="O10" s="67">
        <f>COUNTIF(F14:F18,"RAP")*0.085</f>
        <v>8.5000000000000006E-2</v>
      </c>
      <c r="P10" s="16" t="str">
        <f>R3</f>
        <v>0,72</v>
      </c>
      <c r="Q10" s="16">
        <f t="shared" si="1"/>
        <v>6.1200000000000004E-2</v>
      </c>
      <c r="R10" s="157">
        <f t="shared" si="6"/>
        <v>7.2124475544342315E-2</v>
      </c>
      <c r="S10" s="176">
        <f t="shared" si="2"/>
        <v>0.92787552445565769</v>
      </c>
      <c r="T10" s="177">
        <f>R10*PRODUCT(S5:S9)*PRODUCT(S11:S19)</f>
        <v>3.9315048103108166E-2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2.6827030611721786E-2</v>
      </c>
      <c r="W10" s="186" t="s">
        <v>46</v>
      </c>
      <c r="X10" s="15" t="s">
        <v>47</v>
      </c>
      <c r="Y10" s="69">
        <f>COUNTIF(J14:J18,"RAP")*0.085</f>
        <v>0.17</v>
      </c>
      <c r="Z10" s="146" t="str">
        <f>AB3</f>
        <v>0,72</v>
      </c>
      <c r="AA10" s="19">
        <f t="shared" si="3"/>
        <v>0.12240000000000001</v>
      </c>
      <c r="AB10" s="157">
        <f t="shared" si="4"/>
        <v>0.11865639525036961</v>
      </c>
      <c r="AC10" s="176">
        <f t="shared" si="5"/>
        <v>0.88134360474963036</v>
      </c>
      <c r="AD10" s="177">
        <f>AB10*PRODUCT(AC5:AC9)*PRODUCT(AC11:AC19)</f>
        <v>4.3864039602911416E-2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5.9240207837973485E-2</v>
      </c>
      <c r="BH10">
        <v>0</v>
      </c>
      <c r="BI10">
        <v>7</v>
      </c>
      <c r="BJ10" s="107">
        <f t="shared" si="0"/>
        <v>1.0940351914439935E-4</v>
      </c>
      <c r="BL10">
        <f>BH44+1</f>
        <v>6</v>
      </c>
      <c r="BM10">
        <v>6</v>
      </c>
      <c r="BN10" s="107">
        <f>$H$31*H45</f>
        <v>1.0757963088786307E-3</v>
      </c>
      <c r="BP10">
        <f>BP7+1</f>
        <v>4</v>
      </c>
      <c r="BQ10">
        <v>0</v>
      </c>
      <c r="BR10" s="107">
        <f>$H$29*H39</f>
        <v>1.1001242065641872E-2</v>
      </c>
    </row>
    <row r="11" spans="1:70" x14ac:dyDescent="0.25">
      <c r="A11" s="6" t="s">
        <v>6</v>
      </c>
      <c r="B11" s="168">
        <v>13.25</v>
      </c>
      <c r="C11" s="169">
        <v>12.75</v>
      </c>
      <c r="E11" s="192" t="s">
        <v>19</v>
      </c>
      <c r="F11" s="167" t="s">
        <v>123</v>
      </c>
      <c r="G11" s="167"/>
      <c r="H11" s="10"/>
      <c r="I11" s="10"/>
      <c r="J11" s="166" t="s">
        <v>144</v>
      </c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8.5000000000000006E-2</v>
      </c>
      <c r="P11" s="16" t="str">
        <f>R3</f>
        <v>0,72</v>
      </c>
      <c r="Q11" s="16">
        <f t="shared" si="1"/>
        <v>6.1200000000000004E-2</v>
      </c>
      <c r="R11" s="157">
        <f t="shared" si="6"/>
        <v>7.2124475544342315E-2</v>
      </c>
      <c r="S11" s="176">
        <f t="shared" si="2"/>
        <v>0.92787552445565769</v>
      </c>
      <c r="T11" s="177">
        <f>R11*PRODUCT(S5:S10)*PRODUCT(S12:S19)</f>
        <v>3.9315048103108159E-2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2.3771041795656426E-2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0.17</v>
      </c>
      <c r="Z11" s="146" t="str">
        <f>AB3</f>
        <v>0,72</v>
      </c>
      <c r="AA11" s="19">
        <f t="shared" si="3"/>
        <v>0.12240000000000001</v>
      </c>
      <c r="AB11" s="157">
        <f t="shared" si="4"/>
        <v>0.11865639525036961</v>
      </c>
      <c r="AC11" s="176">
        <f t="shared" si="5"/>
        <v>0.88134360474963036</v>
      </c>
      <c r="AD11" s="177">
        <f>AB11*PRODUCT(AC5:AC10)*PRODUCT(AC12:AC19)</f>
        <v>4.3864039602911423E-2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5.3334737153949555E-2</v>
      </c>
      <c r="BH11">
        <v>0</v>
      </c>
      <c r="BI11">
        <v>8</v>
      </c>
      <c r="BJ11" s="107">
        <f t="shared" si="0"/>
        <v>1.9109572691656972E-5</v>
      </c>
      <c r="BL11">
        <f>BH50+1</f>
        <v>7</v>
      </c>
      <c r="BM11">
        <v>7</v>
      </c>
      <c r="BN11" s="107">
        <f>$H$32*H46</f>
        <v>8.3187497781382128E-5</v>
      </c>
      <c r="BP11">
        <f>BP8+1</f>
        <v>4</v>
      </c>
      <c r="BQ11">
        <v>1</v>
      </c>
      <c r="BR11" s="107">
        <f>$H$29*H40</f>
        <v>3.8496676361442411E-2</v>
      </c>
    </row>
    <row r="12" spans="1:70" x14ac:dyDescent="0.25">
      <c r="A12" s="6" t="s">
        <v>7</v>
      </c>
      <c r="B12" s="168">
        <v>9</v>
      </c>
      <c r="C12" s="169">
        <v>12.5</v>
      </c>
      <c r="E12" s="192" t="s">
        <v>19</v>
      </c>
      <c r="F12" s="167" t="s">
        <v>144</v>
      </c>
      <c r="G12" s="167"/>
      <c r="H12" s="10"/>
      <c r="I12" s="10"/>
      <c r="J12" s="166" t="s">
        <v>147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BH12">
        <v>0</v>
      </c>
      <c r="BI12">
        <v>9</v>
      </c>
      <c r="BJ12" s="107">
        <f t="shared" si="0"/>
        <v>2.4751703825457471E-6</v>
      </c>
      <c r="BL12">
        <f>BH54+1</f>
        <v>8</v>
      </c>
      <c r="BM12">
        <v>8</v>
      </c>
      <c r="BN12" s="107">
        <f>$H$33*H47</f>
        <v>3.6310673849752535E-6</v>
      </c>
      <c r="BP12">
        <f>BP9+1</f>
        <v>4</v>
      </c>
      <c r="BQ12">
        <v>2</v>
      </c>
      <c r="BR12" s="107">
        <f>$H$29*H41</f>
        <v>5.8233137105108898E-2</v>
      </c>
    </row>
    <row r="13" spans="1:70" x14ac:dyDescent="0.25">
      <c r="A13" s="7" t="s">
        <v>8</v>
      </c>
      <c r="B13" s="168">
        <v>11.75</v>
      </c>
      <c r="C13" s="169">
        <v>8.25</v>
      </c>
      <c r="E13" s="192" t="s">
        <v>19</v>
      </c>
      <c r="F13" s="167" t="s">
        <v>131</v>
      </c>
      <c r="G13" s="167"/>
      <c r="H13" s="10"/>
      <c r="I13" s="10"/>
      <c r="J13" s="166" t="s">
        <v>144</v>
      </c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>
        <f t="shared" si="6"/>
        <v>5.8925225117926722E-2</v>
      </c>
      <c r="S13" s="176">
        <f t="shared" si="2"/>
        <v>0.94107477488207325</v>
      </c>
      <c r="T13" s="177">
        <f>R13*PRODUCT(S5:S12)*PRODUCT(S14:S19)</f>
        <v>3.1669629315988809E-2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1.7165407240722907E-2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>
        <f t="shared" si="4"/>
        <v>4.8470749693778438E-2</v>
      </c>
      <c r="AC13" s="176">
        <f t="shared" si="5"/>
        <v>0.9515292503062216</v>
      </c>
      <c r="AD13" s="177">
        <f>AB13*PRODUCT(AC5:AC12)*PRODUCT(AC14:AC19)</f>
        <v>1.6596645812014404E-2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1.9334601921546894E-2</v>
      </c>
      <c r="BH13">
        <v>0</v>
      </c>
      <c r="BI13">
        <v>10</v>
      </c>
      <c r="BJ13" s="107">
        <f t="shared" si="0"/>
        <v>2.3172788200816486E-7</v>
      </c>
      <c r="BL13">
        <f>BH57+1</f>
        <v>9</v>
      </c>
      <c r="BM13">
        <v>9</v>
      </c>
      <c r="BN13" s="107">
        <f>$H$34*H48</f>
        <v>8.7719204658988475E-8</v>
      </c>
      <c r="BP13">
        <f>BL7+1</f>
        <v>4</v>
      </c>
      <c r="BQ13">
        <v>3</v>
      </c>
      <c r="BR13" s="107">
        <f>$H$29*H42</f>
        <v>5.195032570743454E-2</v>
      </c>
    </row>
    <row r="14" spans="1:70" x14ac:dyDescent="0.25">
      <c r="A14" s="7" t="s">
        <v>9</v>
      </c>
      <c r="B14" s="168">
        <v>9.25</v>
      </c>
      <c r="C14" s="169">
        <v>6</v>
      </c>
      <c r="E14" s="192" t="s">
        <v>20</v>
      </c>
      <c r="F14" s="167" t="s">
        <v>144</v>
      </c>
      <c r="G14" s="167"/>
      <c r="H14" s="10"/>
      <c r="I14" s="10"/>
      <c r="J14" s="166" t="s">
        <v>123</v>
      </c>
      <c r="K14" s="166"/>
      <c r="L14" s="10"/>
      <c r="M14" s="10"/>
      <c r="O14" s="67">
        <f>COUNTIF(F6:F18,"CAB")*0.095</f>
        <v>0.28500000000000003</v>
      </c>
      <c r="P14" s="144">
        <v>0.95</v>
      </c>
      <c r="Q14" s="16">
        <f t="shared" si="1"/>
        <v>0.27074999999999999</v>
      </c>
      <c r="R14" s="157">
        <f t="shared" si="6"/>
        <v>0.31908009401357312</v>
      </c>
      <c r="S14" s="176">
        <f t="shared" si="2"/>
        <v>0.68091990598642682</v>
      </c>
      <c r="T14" s="177">
        <f>R14*PRODUCT(S5:S13)*PRODUCT(S15:S19)</f>
        <v>0.23701156777428042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1.7399795512627873E-2</v>
      </c>
      <c r="W14" s="186" t="s">
        <v>54</v>
      </c>
      <c r="X14" s="15" t="s">
        <v>55</v>
      </c>
      <c r="Y14" s="69">
        <f>COUNTIF(J6:J18,"CAB")*0.095</f>
        <v>0.57000000000000006</v>
      </c>
      <c r="Z14" s="147">
        <v>0.95</v>
      </c>
      <c r="AA14" s="19">
        <f t="shared" si="3"/>
        <v>0.54149999999999998</v>
      </c>
      <c r="AB14" s="157">
        <f t="shared" si="4"/>
        <v>0.52493821918362049</v>
      </c>
      <c r="AC14" s="176">
        <f t="shared" si="5"/>
        <v>0.47506178081637951</v>
      </c>
      <c r="AD14" s="177">
        <f>AB14*PRODUCT(AC5:AC13)*PRODUCT(AC15:AC19)</f>
        <v>0.36001519666184656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2.1594098933179189E-2</v>
      </c>
      <c r="BH14">
        <v>1</v>
      </c>
      <c r="BI14">
        <v>2</v>
      </c>
      <c r="BJ14" s="107">
        <f t="shared" ref="BJ14:BJ22" si="7">$H$26*H41</f>
        <v>2.8961168692356185E-2</v>
      </c>
      <c r="BL14">
        <f>BP39+1</f>
        <v>10</v>
      </c>
      <c r="BM14">
        <v>10</v>
      </c>
      <c r="BN14" s="107">
        <f>$H$35*H49</f>
        <v>1.1150853571786875E-9</v>
      </c>
      <c r="BP14">
        <f>BP10+1</f>
        <v>5</v>
      </c>
      <c r="BQ14">
        <v>0</v>
      </c>
      <c r="BR14" s="107">
        <f>$H$30*H39</f>
        <v>6.5504635127342642E-3</v>
      </c>
    </row>
    <row r="15" spans="1:70" x14ac:dyDescent="0.25">
      <c r="A15" s="189" t="s">
        <v>71</v>
      </c>
      <c r="B15" s="170">
        <v>7.75</v>
      </c>
      <c r="C15" s="171">
        <v>10.75</v>
      </c>
      <c r="E15" s="192" t="s">
        <v>20</v>
      </c>
      <c r="F15" s="167" t="s">
        <v>16</v>
      </c>
      <c r="G15" s="167"/>
      <c r="H15" s="10"/>
      <c r="I15" s="10"/>
      <c r="J15" s="166" t="s">
        <v>123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BH15">
        <v>1</v>
      </c>
      <c r="BI15">
        <v>3</v>
      </c>
      <c r="BJ15" s="107">
        <f t="shared" si="7"/>
        <v>2.5836529186470083E-2</v>
      </c>
      <c r="BP15">
        <f>BP11+1</f>
        <v>5</v>
      </c>
      <c r="BQ15">
        <v>1</v>
      </c>
      <c r="BR15" s="107">
        <f>$H$30*H40</f>
        <v>2.2922054833674377E-2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BH16">
        <v>1</v>
      </c>
      <c r="BI16">
        <v>4</v>
      </c>
      <c r="BJ16" s="107">
        <f t="shared" si="7"/>
        <v>1.5397115053845683E-2</v>
      </c>
      <c r="BP16">
        <f>BP12+1</f>
        <v>5</v>
      </c>
      <c r="BQ16">
        <v>2</v>
      </c>
      <c r="BR16" s="107">
        <f>$H$30*H41</f>
        <v>3.4673724799710745E-2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2.8284108056604824E-2</v>
      </c>
      <c r="S17" s="176">
        <f t="shared" si="2"/>
        <v>0.97171589194339514</v>
      </c>
      <c r="T17" s="177">
        <f>R17*PRODUCT(S5:S16)*PRODUCT(S18:S19)</f>
        <v>1.4722075631981042E-2</v>
      </c>
      <c r="U17" s="177">
        <f>R17*R18*PRODUCT(S5:S16)*S19+R17*R19*PRODUCT(S5:S16)*S18</f>
        <v>6.5227467821032264E-4</v>
      </c>
      <c r="W17" s="186" t="s">
        <v>60</v>
      </c>
      <c r="X17" s="15" t="s">
        <v>61</v>
      </c>
      <c r="Y17" s="69">
        <f>(0.02*2)*IF(COUNTBLANK(J14:J15)&lt;&gt;0,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2.3265959853013652E-2</v>
      </c>
      <c r="AC17" s="176">
        <f t="shared" si="5"/>
        <v>0.97673404014698639</v>
      </c>
      <c r="AD17" s="177">
        <f>AB17*PRODUCT(AC5:AC16)*PRODUCT(AC18:AC19)</f>
        <v>7.7608159263796795E-3</v>
      </c>
      <c r="AE17" s="177">
        <f>AB17*AB18*PRODUCT(AC5:AC16)*AC19+AB17*AB19*PRODUCT(AC5:AC16)*AC18</f>
        <v>2.8063822413871642E-4</v>
      </c>
      <c r="BH17">
        <v>1</v>
      </c>
      <c r="BI17">
        <v>5</v>
      </c>
      <c r="BJ17" s="107">
        <f t="shared" si="7"/>
        <v>6.5282991774231408E-3</v>
      </c>
      <c r="BP17">
        <f>BP13+1</f>
        <v>5</v>
      </c>
      <c r="BQ17">
        <v>3</v>
      </c>
      <c r="BR17" s="107">
        <f>$H$30*H42</f>
        <v>3.093275386458429E-2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21</v>
      </c>
      <c r="G18" s="167"/>
      <c r="H18" s="10"/>
      <c r="I18" s="10"/>
      <c r="J18" s="166" t="s">
        <v>144</v>
      </c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BH18">
        <v>1</v>
      </c>
      <c r="BI18">
        <v>6</v>
      </c>
      <c r="BJ18" s="107">
        <f t="shared" si="7"/>
        <v>2.0364974711531165E-3</v>
      </c>
      <c r="BP18">
        <f>BL8+1</f>
        <v>5</v>
      </c>
      <c r="BQ18">
        <v>4</v>
      </c>
      <c r="BR18" s="107">
        <f>$H$30*H43</f>
        <v>1.8434177700412904E-2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0.06</v>
      </c>
      <c r="P19" s="16" t="str">
        <f>P3</f>
        <v>0,6</v>
      </c>
      <c r="Q19" s="16">
        <f t="shared" si="1"/>
        <v>3.5999999999999997E-2</v>
      </c>
      <c r="R19" s="157">
        <f t="shared" si="6"/>
        <v>4.2426162084907237E-2</v>
      </c>
      <c r="S19" s="178">
        <f t="shared" si="2"/>
        <v>0.95757383791509276</v>
      </c>
      <c r="T19" s="179">
        <f>R19*PRODUCT(S5:S18)</f>
        <v>2.2409250787076722E-2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0.06</v>
      </c>
      <c r="Z19" s="146" t="str">
        <f>Z3</f>
        <v>0,6</v>
      </c>
      <c r="AA19" s="19">
        <f t="shared" si="3"/>
        <v>3.5999999999999997E-2</v>
      </c>
      <c r="AB19" s="157">
        <f t="shared" si="4"/>
        <v>3.4898939779520466E-2</v>
      </c>
      <c r="AC19" s="178">
        <f t="shared" si="5"/>
        <v>0.96510106022047948</v>
      </c>
      <c r="AD19" s="179">
        <f>AB19*PRODUCT(AC5:AC18)</f>
        <v>1.1781543001638875E-2</v>
      </c>
      <c r="AE19" s="179">
        <v>0</v>
      </c>
      <c r="AF19" s="1" t="s">
        <v>66</v>
      </c>
      <c r="BH19">
        <v>1</v>
      </c>
      <c r="BI19">
        <v>7</v>
      </c>
      <c r="BJ19" s="107">
        <f t="shared" si="7"/>
        <v>4.7480962713309163E-4</v>
      </c>
      <c r="BP19">
        <f>BP15+1</f>
        <v>6</v>
      </c>
      <c r="BQ19">
        <v>1</v>
      </c>
      <c r="BR19" s="107">
        <f>$H$31*H40</f>
        <v>1.0113822029748126E-2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0.50578490314627267</v>
      </c>
      <c r="T20" s="181">
        <f>SUM(T5:T19)</f>
        <v>0.39200489421718221</v>
      </c>
      <c r="U20" s="181">
        <f>SUM(U5:U19)</f>
        <v>9.156356762739698E-2</v>
      </c>
      <c r="V20" s="181">
        <f>1-S20-T20-U20</f>
        <v>1.0646635009148142E-2</v>
      </c>
      <c r="W20" s="21"/>
      <c r="X20" s="22"/>
      <c r="Y20" s="22"/>
      <c r="Z20" s="22"/>
      <c r="AA20" s="22"/>
      <c r="AB20" s="23"/>
      <c r="AC20" s="184">
        <f>PRODUCT(AC5:AC19)</f>
        <v>0.32580874128982162</v>
      </c>
      <c r="AD20" s="181">
        <f>SUM(AD5:AD19)</f>
        <v>0.48904221204539505</v>
      </c>
      <c r="AE20" s="181">
        <f>SUM(AE5:AE19)</f>
        <v>0.16146671020195394</v>
      </c>
      <c r="AF20" s="181">
        <f>1-AC20-AD20-AE20</f>
        <v>2.3682336462829384E-2</v>
      </c>
      <c r="BH20">
        <v>1</v>
      </c>
      <c r="BI20">
        <v>8</v>
      </c>
      <c r="BJ20" s="107">
        <f t="shared" si="7"/>
        <v>8.2935257982172928E-5</v>
      </c>
      <c r="BP20">
        <f>BP16+1</f>
        <v>6</v>
      </c>
      <c r="BQ20">
        <v>2</v>
      </c>
      <c r="BR20" s="107">
        <f>$H$31*H41</f>
        <v>1.5298972290108787E-2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0.50578490314627267</v>
      </c>
      <c r="T21" s="183">
        <f>T20*V1</f>
        <v>0.39200489421718221</v>
      </c>
      <c r="U21" s="183">
        <f>U20*V1</f>
        <v>9.156356762739698E-2</v>
      </c>
      <c r="V21" s="183">
        <f>V20*V1</f>
        <v>1.0646635009148142E-2</v>
      </c>
      <c r="W21" s="21"/>
      <c r="X21" s="22"/>
      <c r="Y21" s="22"/>
      <c r="Z21" s="22"/>
      <c r="AA21" s="22"/>
      <c r="AB21" s="23"/>
      <c r="AC21" s="185">
        <f>1-AD21-AE21-AF21</f>
        <v>0.32580874128982173</v>
      </c>
      <c r="AD21" s="183">
        <f>AD20*V1</f>
        <v>0.48904221204539505</v>
      </c>
      <c r="AE21" s="183">
        <f>AE20*V1</f>
        <v>0.16146671020195394</v>
      </c>
      <c r="AF21" s="183">
        <f>AF20*V1</f>
        <v>2.3682336462829384E-2</v>
      </c>
      <c r="BH21" s="18">
        <v>1</v>
      </c>
      <c r="BI21">
        <v>9</v>
      </c>
      <c r="BJ21" s="107">
        <f t="shared" si="7"/>
        <v>1.0742202221815651E-5</v>
      </c>
      <c r="BP21">
        <f>BP17+1</f>
        <v>6</v>
      </c>
      <c r="BQ21">
        <v>3</v>
      </c>
      <c r="BR21" s="107">
        <f>$H$31*H42</f>
        <v>1.3648356124548186E-2</v>
      </c>
    </row>
    <row r="22" spans="1:70" x14ac:dyDescent="0.25">
      <c r="A22" s="26" t="s">
        <v>77</v>
      </c>
      <c r="B22" s="62">
        <f>(B6)/((B6)+(C6))</f>
        <v>0.54867256637168138</v>
      </c>
      <c r="C22" s="63">
        <f>1-B22</f>
        <v>0.45132743362831862</v>
      </c>
      <c r="D22" s="24"/>
      <c r="E22" s="24"/>
      <c r="V22" s="59">
        <f>SUM(V25:V35)</f>
        <v>1</v>
      </c>
      <c r="AS22" s="82">
        <f>Y23+AA23+AC23+AE23+AG23+AI23+AK23+AM23+AO23+AQ23+AS23</f>
        <v>1.0000000000000004</v>
      </c>
      <c r="BH22">
        <v>1</v>
      </c>
      <c r="BI22">
        <v>10</v>
      </c>
      <c r="BJ22" s="107">
        <f t="shared" si="7"/>
        <v>1.0056955216167773E-6</v>
      </c>
      <c r="BP22">
        <f>BP18+1</f>
        <v>6</v>
      </c>
      <c r="BQ22">
        <v>4</v>
      </c>
      <c r="BR22" s="107">
        <f>$H$31*H43</f>
        <v>8.1336509261304112E-3</v>
      </c>
    </row>
    <row r="23" spans="1:70" ht="15.75" thickBot="1" x14ac:dyDescent="0.3">
      <c r="A23" s="40" t="s">
        <v>67</v>
      </c>
      <c r="B23" s="56">
        <f>((B22^2.8)/((B22^2.8)+(C22^2.8)))*B21</f>
        <v>3.1670391353272147</v>
      </c>
      <c r="C23" s="57">
        <f>B21-B23</f>
        <v>1.8329608646727853</v>
      </c>
      <c r="D23" s="151">
        <f>SUM(D25:D30)</f>
        <v>1</v>
      </c>
      <c r="E23" s="151">
        <f>SUM(E25:E30)</f>
        <v>1</v>
      </c>
      <c r="H23" s="59">
        <f>SUM(H25:H35)</f>
        <v>0.99998851713157266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0.99999999999999989</v>
      </c>
      <c r="O23" s="34"/>
      <c r="P23" s="59">
        <f>SUM(P25:P35)</f>
        <v>0.99999999999999989</v>
      </c>
      <c r="R23" s="59">
        <f>SUM(R25:R35)</f>
        <v>0.99999999999999989</v>
      </c>
      <c r="T23" s="59">
        <f>SUM(T25:T35)</f>
        <v>1</v>
      </c>
      <c r="V23" s="59">
        <f>SUM(V25:V34)</f>
        <v>0.98900071682670332</v>
      </c>
      <c r="Y23" s="80">
        <f>SUM(Y25:Y35)</f>
        <v>4.3398832161907376E-5</v>
      </c>
      <c r="Z23" s="81"/>
      <c r="AA23" s="80">
        <f>SUM(AA25:AA35)</f>
        <v>7.5029287660345753E-4</v>
      </c>
      <c r="AB23" s="81"/>
      <c r="AC23" s="80">
        <f>SUM(AC25:AC35)</f>
        <v>5.8378390863268546E-3</v>
      </c>
      <c r="AD23" s="81"/>
      <c r="AE23" s="80">
        <f>SUM(AE25:AE35)</f>
        <v>2.6921954489159839E-2</v>
      </c>
      <c r="AF23" s="81"/>
      <c r="AG23" s="80">
        <f>SUM(AG25:AG35)</f>
        <v>8.1496732977526992E-2</v>
      </c>
      <c r="AH23" s="81"/>
      <c r="AI23" s="80">
        <f>SUM(AI25:AI35)</f>
        <v>0.16923163902475749</v>
      </c>
      <c r="AJ23" s="81"/>
      <c r="AK23" s="80">
        <f>SUM(AK25:AK35)</f>
        <v>0.24418741266027763</v>
      </c>
      <c r="AL23" s="81"/>
      <c r="AM23" s="80">
        <f>SUM(AM25:AM35)</f>
        <v>0.24186165545367394</v>
      </c>
      <c r="AN23" s="81"/>
      <c r="AO23" s="80">
        <f>SUM(AO25:AO35)</f>
        <v>0.15754116603005705</v>
      </c>
      <c r="AP23" s="81"/>
      <c r="AQ23" s="80">
        <f>SUM(AQ25:AQ35)</f>
        <v>6.1128625396158411E-2</v>
      </c>
      <c r="AR23" s="81"/>
      <c r="AS23" s="80">
        <f>SUM(AS25:AS35)</f>
        <v>1.0999283173296686E-2</v>
      </c>
      <c r="BH23">
        <f t="shared" ref="BH23:BH30" si="8">BH15+1</f>
        <v>2</v>
      </c>
      <c r="BI23">
        <v>3</v>
      </c>
      <c r="BJ23" s="107">
        <f t="shared" ref="BJ23:BJ30" si="9">$H$27*H42</f>
        <v>5.1580750672025326E-2</v>
      </c>
      <c r="BP23">
        <f>BL9+1</f>
        <v>6</v>
      </c>
      <c r="BQ23">
        <v>5</v>
      </c>
      <c r="BR23" s="107">
        <f>$H$31*H44</f>
        <v>3.4486269969932976E-3</v>
      </c>
    </row>
    <row r="24" spans="1:70" ht="15.75" thickBot="1" x14ac:dyDescent="0.3">
      <c r="A24" s="26" t="s">
        <v>76</v>
      </c>
      <c r="B24" s="64">
        <f>B23/B21</f>
        <v>0.63340782706544296</v>
      </c>
      <c r="C24" s="65">
        <f>C23/B21</f>
        <v>0.36659217293455704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3.073921992110306E-2</v>
      </c>
      <c r="BP24">
        <f>BH49+1</f>
        <v>7</v>
      </c>
      <c r="BQ24">
        <v>0</v>
      </c>
      <c r="BR24" s="107">
        <f t="shared" ref="BR24:BR30" si="10">$H$32*H39</f>
        <v>9.5857514174735509E-4</v>
      </c>
    </row>
    <row r="25" spans="1:70" x14ac:dyDescent="0.25">
      <c r="A25" s="26" t="s">
        <v>69</v>
      </c>
      <c r="B25" s="117">
        <f>1/(1+EXP(-3.1416*4*((B11/(B11+C8))-(3.1416/6))))</f>
        <v>0.42639691249266598</v>
      </c>
      <c r="C25" s="118">
        <f>1/(1+EXP(-3.1416*4*((C11/(C11+B8))-(3.1416/6))))</f>
        <v>0.45737793111358466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2.3950783431186808E-2</v>
      </c>
      <c r="I25" s="97">
        <v>0</v>
      </c>
      <c r="J25" s="98">
        <f t="shared" ref="J25:J35" si="11">Y25+AA25+AC25+AE25+AG25+AI25+AK25+AM25+AO25+AQ25+AS25</f>
        <v>4.735369379789546E-2</v>
      </c>
      <c r="K25" s="97">
        <v>0</v>
      </c>
      <c r="L25" s="98">
        <f>S21</f>
        <v>0.50578490314627267</v>
      </c>
      <c r="M25" s="84">
        <v>0</v>
      </c>
      <c r="N25" s="71">
        <f>(1-$B$24)^$B$21</f>
        <v>6.6208834177770058E-3</v>
      </c>
      <c r="O25" s="70">
        <v>0</v>
      </c>
      <c r="P25" s="71">
        <f>N25</f>
        <v>6.6208834177770058E-3</v>
      </c>
      <c r="Q25" s="12">
        <v>0</v>
      </c>
      <c r="R25" s="73">
        <f>P25*N25</f>
        <v>4.3836097231794527E-5</v>
      </c>
      <c r="S25" s="70">
        <v>0</v>
      </c>
      <c r="T25" s="135">
        <f>(1-$B$33)^(INT(C23*2*(1-C31)))</f>
        <v>0.99002500000000004</v>
      </c>
      <c r="U25" s="140">
        <v>0</v>
      </c>
      <c r="V25" s="86">
        <f>R25*T25</f>
        <v>4.3398832161907376E-5</v>
      </c>
      <c r="W25" s="136">
        <f>B31</f>
        <v>0.41454987780407154</v>
      </c>
      <c r="X25" s="12">
        <v>0</v>
      </c>
      <c r="Y25" s="79">
        <f>V25</f>
        <v>4.3398832161907376E-5</v>
      </c>
      <c r="Z25" s="12">
        <v>0</v>
      </c>
      <c r="AA25" s="78">
        <f>((1-W25)^Z26)*V26</f>
        <v>4.3925905629022894E-4</v>
      </c>
      <c r="AB25" s="12">
        <v>0</v>
      </c>
      <c r="AC25" s="79">
        <f>(((1-$W$25)^AB27))*V27</f>
        <v>2.0009301210330813E-3</v>
      </c>
      <c r="AD25" s="12">
        <v>0</v>
      </c>
      <c r="AE25" s="79">
        <f>(((1-$W$25)^AB28))*V28</f>
        <v>5.4022700337227917E-3</v>
      </c>
      <c r="AF25" s="12">
        <v>0</v>
      </c>
      <c r="AG25" s="79">
        <f>(((1-$W$25)^AB29))*V29</f>
        <v>9.5741406473392552E-3</v>
      </c>
      <c r="AH25" s="12">
        <v>0</v>
      </c>
      <c r="AI25" s="79">
        <f>(((1-$W$25)^AB30))*V30</f>
        <v>1.1639412653782657E-2</v>
      </c>
      <c r="AJ25" s="12">
        <v>0</v>
      </c>
      <c r="AK25" s="79">
        <f>(((1-$W$25)^AB31))*V31</f>
        <v>9.8324711123566645E-3</v>
      </c>
      <c r="AL25" s="12">
        <v>0</v>
      </c>
      <c r="AM25" s="79">
        <f>(((1-$W$25)^AB32))*V32</f>
        <v>5.7015945153098329E-3</v>
      </c>
      <c r="AN25" s="12">
        <v>0</v>
      </c>
      <c r="AO25" s="79">
        <f>(((1-$W$25)^AB33))*V33</f>
        <v>2.1742689476218877E-3</v>
      </c>
      <c r="AP25" s="12">
        <v>0</v>
      </c>
      <c r="AQ25" s="79">
        <f>(((1-$W$25)^AB34))*V34</f>
        <v>4.9391673211489318E-4</v>
      </c>
      <c r="AR25" s="12">
        <v>0</v>
      </c>
      <c r="AS25" s="79">
        <f>(((1-$W$25)^AB35))*V35</f>
        <v>5.2031146162266301E-5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1.3033274312998284E-2</v>
      </c>
      <c r="BP25">
        <f>BP19+1</f>
        <v>7</v>
      </c>
      <c r="BQ25">
        <v>1</v>
      </c>
      <c r="BR25" s="107">
        <f t="shared" si="10"/>
        <v>3.3543446076166905E-3</v>
      </c>
    </row>
    <row r="26" spans="1:70" x14ac:dyDescent="0.25">
      <c r="A26" s="40" t="s">
        <v>24</v>
      </c>
      <c r="B26" s="119">
        <f>1/(1+EXP(-3.1416*4*((B10/(B10+C9))-(3.1416/6))))</f>
        <v>0.48513809087860921</v>
      </c>
      <c r="C26" s="120">
        <f>1/(1+EXP(-3.1416*4*((C10/(C10+B9))-(3.1416/6))))</f>
        <v>0.38396993214444053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0.10394603975670559</v>
      </c>
      <c r="I26" s="93">
        <v>1</v>
      </c>
      <c r="J26" s="86">
        <f t="shared" si="11"/>
        <v>0.16881318421632682</v>
      </c>
      <c r="K26" s="93">
        <v>1</v>
      </c>
      <c r="L26" s="86">
        <f>T21</f>
        <v>0.39200489421718221</v>
      </c>
      <c r="M26" s="85">
        <v>1</v>
      </c>
      <c r="N26" s="71">
        <f>(($B$24)^M26)*((1-($B$24))^($B$21-M26))*HLOOKUP($B$21,$AV$24:$BF$34,M26+1)</f>
        <v>5.7198703198395984E-2</v>
      </c>
      <c r="O26" s="72">
        <v>1</v>
      </c>
      <c r="P26" s="71">
        <f t="shared" ref="P26:P30" si="12">N26</f>
        <v>5.7198703198395984E-2</v>
      </c>
      <c r="Q26" s="28">
        <v>1</v>
      </c>
      <c r="R26" s="37">
        <f>N26*P25+P26*N25</f>
        <v>7.5741189104921709E-4</v>
      </c>
      <c r="S26" s="72">
        <v>1</v>
      </c>
      <c r="T26" s="135">
        <f t="shared" ref="T26:T35" si="13">(($B$33)^S26)*((1-($B$33))^(INT($C$23*2*(1-$C$31))-S26))*HLOOKUP(INT($C$23*2*(1-$C$31)),$AV$24:$BF$34,S26+1)</f>
        <v>9.9500000000000005E-3</v>
      </c>
      <c r="U26" s="93">
        <v>1</v>
      </c>
      <c r="V26" s="86">
        <f>R26*T25+T26*R25</f>
        <v>7.5029287660345753E-4</v>
      </c>
      <c r="W26" s="137"/>
      <c r="X26" s="28">
        <v>1</v>
      </c>
      <c r="Y26" s="73"/>
      <c r="Z26" s="28">
        <v>1</v>
      </c>
      <c r="AA26" s="79">
        <f>(1-((1-W25)^Z26))*V26</f>
        <v>3.1103382031322859E-4</v>
      </c>
      <c r="AB26" s="28">
        <v>1</v>
      </c>
      <c r="AC26" s="79">
        <f>((($W$25)^M26)*((1-($W$25))^($U$27-M26))*HLOOKUP($U$27,$AV$24:$BF$34,M26+1))*V27</f>
        <v>2.833666970834287E-3</v>
      </c>
      <c r="AD26" s="28">
        <v>1</v>
      </c>
      <c r="AE26" s="79">
        <f>((($W$25)^M26)*((1-($W$25))^($U$28-M26))*HLOOKUP($U$28,$AV$24:$BF$34,M26+1))*V28</f>
        <v>1.147583866211014E-2</v>
      </c>
      <c r="AF26" s="28">
        <v>1</v>
      </c>
      <c r="AG26" s="79">
        <f>((($W$25)^M26)*((1-($W$25))^($U$29-M26))*HLOOKUP($U$29,$AV$24:$BF$34,M26+1))*V29</f>
        <v>2.7117314933996849E-2</v>
      </c>
      <c r="AH26" s="28">
        <v>1</v>
      </c>
      <c r="AI26" s="79">
        <f>((($W$25)^M26)*((1-($W$25))^($U$30-M26))*HLOOKUP($U$30,$AV$24:$BF$34,M26+1))*V30</f>
        <v>4.1208609498948702E-2</v>
      </c>
      <c r="AJ26" s="28">
        <v>1</v>
      </c>
      <c r="AK26" s="79">
        <f>((($W$25)^M26)*((1-($W$25))^($U$31-M26))*HLOOKUP($U$31,$AV$24:$BF$34,M26+1))*V31</f>
        <v>4.1773495745641848E-2</v>
      </c>
      <c r="AL26" s="28">
        <v>1</v>
      </c>
      <c r="AM26" s="79">
        <f>((($W$25)^Q26)*((1-($W$25))^($U$32-Q26))*HLOOKUP($U$32,$AV$24:$BF$34,Q26+1))*V32</f>
        <v>2.826059221785137E-2</v>
      </c>
      <c r="AN26" s="28">
        <v>1</v>
      </c>
      <c r="AO26" s="79">
        <f>((($W$25)^Q26)*((1-($W$25))^($U$33-Q26))*HLOOKUP($U$33,$AV$24:$BF$34,Q26+1))*V33</f>
        <v>1.2316580250000455E-2</v>
      </c>
      <c r="AP26" s="28">
        <v>1</v>
      </c>
      <c r="AQ26" s="79">
        <f>((($W$25)^Q26)*((1-($W$25))^($U$34-Q26))*HLOOKUP($U$34,$AV$24:$BF$34,Q26+1))*V34</f>
        <v>3.1476261061840344E-3</v>
      </c>
      <c r="AR26" s="28">
        <v>1</v>
      </c>
      <c r="AS26" s="79">
        <f>((($W$25)^Q26)*((1-($W$25))^($U$35-Q26))*HLOOKUP($U$35,$AV$24:$BF$34,Q26+1))*V35</f>
        <v>3.6842601044593799E-4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4.0657190269491701E-3</v>
      </c>
      <c r="BP26">
        <f>BP20+1</f>
        <v>7</v>
      </c>
      <c r="BQ26">
        <v>2</v>
      </c>
      <c r="BR26" s="107">
        <f t="shared" si="10"/>
        <v>5.0740486684915098E-3</v>
      </c>
    </row>
    <row r="27" spans="1:70" x14ac:dyDescent="0.25">
      <c r="A27" s="26" t="s">
        <v>25</v>
      </c>
      <c r="B27" s="119">
        <f>1/(1+EXP(-3.1416*4*((B12/(B12+C7))-(3.1416/6))))</f>
        <v>0.15247054851327255</v>
      </c>
      <c r="C27" s="120">
        <f>1/(1+EXP(-3.1416*4*((C12/(C12+B7))-(3.1416/6))))</f>
        <v>0.42639691249266598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0.20752070532921274</v>
      </c>
      <c r="I27" s="93">
        <v>2</v>
      </c>
      <c r="J27" s="86">
        <f t="shared" si="11"/>
        <v>0.27088439554300459</v>
      </c>
      <c r="K27" s="93">
        <v>2</v>
      </c>
      <c r="L27" s="86">
        <f>U21</f>
        <v>9.156356762739698E-2</v>
      </c>
      <c r="M27" s="85">
        <v>2</v>
      </c>
      <c r="N27" s="71">
        <f>(($B$24)^M27)*((1-($B$24))^($B$21-M27))*HLOOKUP($B$21,$AV$24:$BF$34,M27+1)</f>
        <v>0.19765891897711027</v>
      </c>
      <c r="O27" s="72">
        <v>2</v>
      </c>
      <c r="P27" s="71">
        <f t="shared" si="12"/>
        <v>0.19765891897711027</v>
      </c>
      <c r="Q27" s="28">
        <v>2</v>
      </c>
      <c r="R27" s="37">
        <f>P25*N27+P26*N26+P27*N25</f>
        <v>5.8890449656407509E-3</v>
      </c>
      <c r="S27" s="72">
        <v>2</v>
      </c>
      <c r="T27" s="135">
        <f t="shared" si="13"/>
        <v>2.5000000000000001E-5</v>
      </c>
      <c r="U27" s="93">
        <v>2</v>
      </c>
      <c r="V27" s="86">
        <f>R27*T25+T26*R26+R25*T27</f>
        <v>5.8378390863268546E-3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1.0032419944594867E-3</v>
      </c>
      <c r="AD27" s="28">
        <v>2</v>
      </c>
      <c r="AE27" s="79">
        <f>((($W$25)^M27)*((1-($W$25))^($U$28-M27))*HLOOKUP($U$28,$AV$24:$BF$34,M27+1))*V28</f>
        <v>8.1258972109068996E-3</v>
      </c>
      <c r="AF27" s="28">
        <v>2</v>
      </c>
      <c r="AG27" s="79">
        <f>((($W$25)^M27)*((1-($W$25))^($U$29-M27))*HLOOKUP($U$29,$AV$24:$BF$34,M27+1))*V29</f>
        <v>2.8802145134323186E-2</v>
      </c>
      <c r="AH27" s="28">
        <v>2</v>
      </c>
      <c r="AI27" s="79">
        <f>((($W$25)^M27)*((1-($W$25))^($U$30-M27))*HLOOKUP($U$30,$AV$24:$BF$34,M27+1))*V30</f>
        <v>5.8358597546070132E-2</v>
      </c>
      <c r="AJ27" s="28">
        <v>2</v>
      </c>
      <c r="AK27" s="79">
        <f>((($W$25)^M27)*((1-($W$25))^($U$31-M27))*HLOOKUP($U$31,$AV$24:$BF$34,M27+1))*V31</f>
        <v>7.3948219072235921E-2</v>
      </c>
      <c r="AL27" s="28">
        <v>2</v>
      </c>
      <c r="AM27" s="79">
        <f>((($W$25)^Q27)*((1-($W$25))^($U$32-Q27))*HLOOKUP($U$32,$AV$24:$BF$34,Q27+1))*V32</f>
        <v>6.0032911121300936E-2</v>
      </c>
      <c r="AN27" s="28">
        <v>2</v>
      </c>
      <c r="AO27" s="79">
        <f>((($W$25)^Q27)*((1-($W$25))^($U$33-Q27))*HLOOKUP($U$33,$AV$24:$BF$34,Q27+1))*V33</f>
        <v>3.052425519116295E-2</v>
      </c>
      <c r="AP27" s="28">
        <v>2</v>
      </c>
      <c r="AQ27" s="79">
        <f>((($W$25)^Q27)*((1-($W$25))^($U$34-Q27))*HLOOKUP($U$34,$AV$24:$BF$34,Q27+1))*V34</f>
        <v>8.9151780363268089E-3</v>
      </c>
      <c r="AR27" s="28">
        <v>2</v>
      </c>
      <c r="AS27" s="79">
        <f>((($W$25)^Q27)*((1-($W$25))^($U$35-Q27))*HLOOKUP($U$35,$AV$24:$BF$34,Q27+1))*V35</f>
        <v>1.1739502362182665E-3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9.4792287373702752E-4</v>
      </c>
      <c r="BP27">
        <f>BP21+1</f>
        <v>7</v>
      </c>
      <c r="BQ27">
        <v>3</v>
      </c>
      <c r="BR27" s="107">
        <f t="shared" si="10"/>
        <v>4.5266062260688779E-3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0.25247723749044509</v>
      </c>
      <c r="I28" s="93">
        <v>3</v>
      </c>
      <c r="J28" s="86">
        <f t="shared" si="11"/>
        <v>0.25767462207001557</v>
      </c>
      <c r="K28" s="93">
        <v>3</v>
      </c>
      <c r="L28" s="86">
        <f>V21</f>
        <v>1.0646635009148142E-2</v>
      </c>
      <c r="M28" s="85">
        <v>3</v>
      </c>
      <c r="N28" s="71">
        <f>(($B$24)^M28)*((1-($B$24))^($B$21-M28))*HLOOKUP($B$21,$AV$24:$BF$34,M28+1)</f>
        <v>0.34152040226932495</v>
      </c>
      <c r="O28" s="72">
        <v>3</v>
      </c>
      <c r="P28" s="71">
        <f t="shared" si="12"/>
        <v>0.34152040226932495</v>
      </c>
      <c r="Q28" s="28">
        <v>3</v>
      </c>
      <c r="R28" s="37">
        <f>P25*N28+P26*N27+P27*N26+P28*N25</f>
        <v>2.7134001218610069E-2</v>
      </c>
      <c r="S28" s="72">
        <v>3</v>
      </c>
      <c r="T28" s="135">
        <f t="shared" si="13"/>
        <v>0</v>
      </c>
      <c r="U28" s="93">
        <v>3</v>
      </c>
      <c r="V28" s="86">
        <f>R28*T25+R27*T26+R26*T27+R25*T28</f>
        <v>2.6921954489159836E-2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1.9179485824200057E-3</v>
      </c>
      <c r="AF28" s="28">
        <v>3</v>
      </c>
      <c r="AG28" s="79">
        <f>((($W$25)^M28)*((1-($W$25))^($U$29-M28))*HLOOKUP($U$29,$AV$24:$BF$34,M28+1))*V29</f>
        <v>1.3596291461054595E-2</v>
      </c>
      <c r="AH28" s="28">
        <v>3</v>
      </c>
      <c r="AI28" s="79">
        <f>((($W$25)^M28)*((1-($W$25))^($U$30-M28))*HLOOKUP($U$30,$AV$24:$BF$34,M28+1))*V30</f>
        <v>4.1322989891603455E-2</v>
      </c>
      <c r="AJ28" s="28">
        <v>3</v>
      </c>
      <c r="AK28" s="79">
        <f>((($W$25)^M28)*((1-($W$25))^($U$31-M28))*HLOOKUP($U$31,$AV$24:$BF$34,M28+1))*V31</f>
        <v>6.9815740101516727E-2</v>
      </c>
      <c r="AL28" s="28">
        <v>3</v>
      </c>
      <c r="AM28" s="79">
        <f>((($W$25)^Q28)*((1-($W$25))^($U$32-Q28))*HLOOKUP($U$32,$AV$24:$BF$34,Q28+1))*V32</f>
        <v>7.0847583839172737E-2</v>
      </c>
      <c r="AN28" s="28">
        <v>3</v>
      </c>
      <c r="AO28" s="79">
        <f>((($W$25)^Q28)*((1-($W$25))^($U$33-Q28))*HLOOKUP($U$33,$AV$24:$BF$34,Q28+1))*V33</f>
        <v>4.3227683383494551E-2</v>
      </c>
      <c r="AP28" s="28">
        <v>3</v>
      </c>
      <c r="AQ28" s="79">
        <f>((($W$25)^Q28)*((1-($W$25))^($U$34-Q28))*HLOOKUP($U$34,$AV$24:$BF$34,Q28+1))*V34</f>
        <v>1.4729693033393228E-2</v>
      </c>
      <c r="AR28" s="28">
        <v>3</v>
      </c>
      <c r="AS28" s="79">
        <f>((($W$25)^Q28)*((1-($W$25))^($U$35-Q28))*HLOOKUP($U$35,$AV$24:$BF$34,Q28+1))*V35</f>
        <v>2.2166917773602168E-3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1.65574208246933E-4</v>
      </c>
      <c r="BP28">
        <f>BP22+1</f>
        <v>7</v>
      </c>
      <c r="BQ28">
        <v>4</v>
      </c>
      <c r="BR28" s="107">
        <f t="shared" si="10"/>
        <v>2.6976021571324307E-3</v>
      </c>
    </row>
    <row r="29" spans="1:70" x14ac:dyDescent="0.25">
      <c r="A29" s="26" t="s">
        <v>27</v>
      </c>
      <c r="B29" s="123">
        <f>1/(1+EXP(-3.1416*4*((B14/(B14+C13))-(3.1416/6))))</f>
        <v>0.51561316231743082</v>
      </c>
      <c r="C29" s="118">
        <f>1/(1+EXP(-3.1416*4*((C14/(C14+B13))-(3.1416/6))))</f>
        <v>8.8509614873740983E-2</v>
      </c>
      <c r="D29" s="153">
        <v>0.04</v>
      </c>
      <c r="E29" s="153">
        <v>0.04</v>
      </c>
      <c r="G29" s="87">
        <v>4</v>
      </c>
      <c r="H29" s="128">
        <f>J29*L25+J28*L26+J27*L27+J26*L28</f>
        <v>0.20900758698605115</v>
      </c>
      <c r="I29" s="93">
        <v>4</v>
      </c>
      <c r="J29" s="86">
        <f t="shared" si="11"/>
        <v>0.16093291730360415</v>
      </c>
      <c r="K29" s="93">
        <v>4</v>
      </c>
      <c r="L29" s="86"/>
      <c r="M29" s="85">
        <v>4</v>
      </c>
      <c r="N29" s="71">
        <f>(($B$24)^M29)*((1-($B$24))^($B$21-M29))*HLOOKUP($B$21,$AV$24:$BF$34,M29+1)</f>
        <v>0.29504407332033544</v>
      </c>
      <c r="O29" s="72">
        <v>4</v>
      </c>
      <c r="P29" s="71">
        <f t="shared" si="12"/>
        <v>0.29504407332033544</v>
      </c>
      <c r="Q29" s="28">
        <v>4</v>
      </c>
      <c r="R29" s="37">
        <f>P25*N29+P26*N28+P27*N27+P28*N26+P29*N25</f>
        <v>8.204500132751967E-2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8.1496732977526978E-2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2.4068408008131089E-3</v>
      </c>
      <c r="AH29" s="28">
        <v>4</v>
      </c>
      <c r="AI29" s="79">
        <f>((($W$25)^M29)*((1-($W$25))^($U$30-M29))*HLOOKUP($U$30,$AV$24:$BF$34,M29+1))*V30</f>
        <v>1.4630145046182236E-2</v>
      </c>
      <c r="AJ29" s="28">
        <v>4</v>
      </c>
      <c r="AK29" s="79">
        <f>((($W$25)^M29)*((1-($W$25))^($U$31-M29))*HLOOKUP($U$31,$AV$24:$BF$34,M29+1))*V31</f>
        <v>3.7076736468164992E-2</v>
      </c>
      <c r="AL29" s="28">
        <v>4</v>
      </c>
      <c r="AM29" s="79">
        <f>((($W$25)^Q29)*((1-($W$25))^($U$32-Q29))*HLOOKUP($U$32,$AV$24:$BF$34,Q29+1))*V32</f>
        <v>5.0166284214069691E-2</v>
      </c>
      <c r="AN29" s="28">
        <v>4</v>
      </c>
      <c r="AO29" s="79">
        <f>((($W$25)^Q29)*((1-($W$25))^($U$33-Q29))*HLOOKUP($U$33,$AV$24:$BF$34,Q29+1))*V33</f>
        <v>3.8261224536869233E-2</v>
      </c>
      <c r="AP29" s="28">
        <v>4</v>
      </c>
      <c r="AQ29" s="79">
        <f>((($W$25)^Q29)*((1-($W$25))^($U$34-Q29))*HLOOKUP($U$34,$AV$24:$BF$34,Q29+1))*V34</f>
        <v>1.564486593028961E-2</v>
      </c>
      <c r="AR29" s="28">
        <v>4</v>
      </c>
      <c r="AS29" s="79">
        <f>((($W$25)^Q29)*((1-($W$25))^($U$35-Q29))*HLOOKUP($U$35,$AV$24:$BF$34,Q29+1))*V35</f>
        <v>2.7468203072152806E-3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2.1446025140331637E-5</v>
      </c>
      <c r="BP29">
        <f>BP23+1</f>
        <v>7</v>
      </c>
      <c r="BQ29">
        <v>5</v>
      </c>
      <c r="BR29" s="107">
        <f t="shared" si="10"/>
        <v>1.1437697180176596E-3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0.12444927257010416</v>
      </c>
      <c r="I30" s="93">
        <v>5</v>
      </c>
      <c r="J30" s="86">
        <f t="shared" si="11"/>
        <v>6.8972336178174928E-2</v>
      </c>
      <c r="K30" s="93">
        <v>5</v>
      </c>
      <c r="L30" s="86"/>
      <c r="M30" s="85">
        <v>5</v>
      </c>
      <c r="N30" s="71">
        <f>(($B$24)^M30)*((1-($B$24))^($B$21-M30))*HLOOKUP($B$21,$AV$24:$BF$34,M30+1)</f>
        <v>0.10195701881705628</v>
      </c>
      <c r="O30" s="72">
        <v>5</v>
      </c>
      <c r="P30" s="71">
        <f t="shared" si="12"/>
        <v>0.10195701881705628</v>
      </c>
      <c r="Q30" s="28">
        <v>5</v>
      </c>
      <c r="R30" s="37">
        <f>P25*N30+P26*N29+P27*N28+P28*N27+P29*N26+P30*N25</f>
        <v>0.17011147487338016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0.16923163902475746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2.0718843881702984E-3</v>
      </c>
      <c r="AJ30" s="28">
        <v>5</v>
      </c>
      <c r="AK30" s="79">
        <f>((($W$25)^M30)*((1-($W$25))^($U$31-M30))*HLOOKUP($U$31,$AV$24:$BF$34,M30+1))*V31</f>
        <v>1.0501428551829894E-2</v>
      </c>
      <c r="AL30" s="28">
        <v>5</v>
      </c>
      <c r="AM30" s="79">
        <f>((($W$25)^Q30)*((1-($W$25))^($U$32-Q30))*HLOOKUP($U$32,$AV$24:$BF$34,Q30+1))*V32</f>
        <v>2.1313269433942093E-2</v>
      </c>
      <c r="AN30" s="28">
        <v>5</v>
      </c>
      <c r="AO30" s="79">
        <f>((($W$25)^Q30)*((1-($W$25))^($U$33-Q30))*HLOOKUP($U$33,$AV$24:$BF$34,Q30+1))*V33</f>
        <v>2.167383400232361E-2</v>
      </c>
      <c r="AP30" s="28">
        <v>5</v>
      </c>
      <c r="AQ30" s="79">
        <f>((($W$25)^Q30)*((1-($W$25))^($U$34-Q30))*HLOOKUP($U$34,$AV$24:$BF$34,Q30+1))*V34</f>
        <v>1.107793305318016E-2</v>
      </c>
      <c r="AR30" s="28">
        <v>5</v>
      </c>
      <c r="AS30" s="79">
        <f>((($W$25)^Q30)*((1-($W$25))^($U$35-Q30))*HLOOKUP($U$35,$AV$24:$BF$34,Q30+1))*V35</f>
        <v>2.3339867487288867E-3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2.0077979351674215E-6</v>
      </c>
      <c r="BP30">
        <f>BL10+1</f>
        <v>7</v>
      </c>
      <c r="BQ30">
        <v>6</v>
      </c>
      <c r="BR30" s="107">
        <f t="shared" si="10"/>
        <v>3.5679800741667222E-4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0.41454987780407154</v>
      </c>
      <c r="C31" s="61">
        <f>(C25*E25)+(C26*E26)+(C27*E27)+(C28*E28)+(C29*E29)+(C30*E30)/(C25+C26+C27+C28+C29+C30)</f>
        <v>0.45302305641616841</v>
      </c>
      <c r="G31" s="87">
        <v>6</v>
      </c>
      <c r="H31" s="128">
        <f>J31*L25+J30*L26+J29*L27+J28*L28</f>
        <v>5.4910338695140767E-2</v>
      </c>
      <c r="I31" s="93">
        <v>6</v>
      </c>
      <c r="J31" s="86">
        <f t="shared" si="11"/>
        <v>2.0550011623013949E-2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0.24493598884902326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0.2441874126602776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1.2393216085315976E-3</v>
      </c>
      <c r="AL31" s="28">
        <v>6</v>
      </c>
      <c r="AM31" s="79">
        <f>((($W$25)^Q31)*((1-($W$25))^($U$32-Q31))*HLOOKUP($U$32,$AV$24:$BF$34,Q31+1))*V32</f>
        <v>5.0305527914747857E-3</v>
      </c>
      <c r="AN31" s="28">
        <v>6</v>
      </c>
      <c r="AO31" s="79">
        <f>((($W$25)^Q31)*((1-($W$25))^($U$33-Q31))*HLOOKUP($U$33,$AV$24:$BF$34,Q31+1))*V33</f>
        <v>7.6734848081576393E-3</v>
      </c>
      <c r="AP31" s="28">
        <v>6</v>
      </c>
      <c r="AQ31" s="79">
        <f>((($W$25)^Q31)*((1-($W$25))^($U$34-Q31))*HLOOKUP($U$34,$AV$24:$BF$34,Q31+1))*V34</f>
        <v>5.2294301648246732E-3</v>
      </c>
      <c r="AR31" s="28">
        <v>6</v>
      </c>
      <c r="AS31" s="79">
        <f>((($W$25)^Q31)*((1-($W$25))^($U$35-Q31))*HLOOKUP($U$35,$AV$24:$BF$34,Q31+1))*V35</f>
        <v>1.3772222500252511E-3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3.7398452920537791E-2</v>
      </c>
      <c r="BP31">
        <f t="shared" ref="BP31:BP37" si="17">BP24+1</f>
        <v>8</v>
      </c>
      <c r="BQ31">
        <v>0</v>
      </c>
      <c r="BR31" s="107">
        <f t="shared" ref="BR31:BR38" si="18">$H$33*H39</f>
        <v>2.3954258169545106E-4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1.8211532491148506E-2</v>
      </c>
      <c r="I32" s="93">
        <v>7</v>
      </c>
      <c r="J32" s="86">
        <f t="shared" si="11"/>
        <v>4.2055034579257349E-3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0.24183256945809881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0.24186165545367388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5.0886732055249327E-4</v>
      </c>
      <c r="AN32" s="28">
        <v>7</v>
      </c>
      <c r="AO32" s="79">
        <f>((($W$25)^Q32)*((1-($W$25))^($U$33-Q32))*HLOOKUP($U$33,$AV$24:$BF$34,Q32+1))*V33</f>
        <v>1.5524280592959215E-3</v>
      </c>
      <c r="AP32" s="28">
        <v>7</v>
      </c>
      <c r="AQ32" s="79">
        <f>((($W$25)^Q32)*((1-($W$25))^($U$34-Q32))*HLOOKUP($U$34,$AV$24:$BF$34,Q32+1))*V34</f>
        <v>1.5869544916616862E-3</v>
      </c>
      <c r="AR32" s="28">
        <v>7</v>
      </c>
      <c r="AS32" s="79">
        <f>((($W$25)^Q32)*((1-($W$25))^($U$35-Q32))*HLOOKUP($U$35,$AV$24:$BF$34,Q32+1))*V35</f>
        <v>5.5725358641563378E-4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1.5856755540516979E-2</v>
      </c>
      <c r="BP32">
        <f t="shared" si="17"/>
        <v>8</v>
      </c>
      <c r="BQ32">
        <v>1</v>
      </c>
      <c r="BR32" s="107">
        <f t="shared" si="18"/>
        <v>8.3823200937594507E-4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4.550960399002376E-3</v>
      </c>
      <c r="I33" s="93">
        <v>8</v>
      </c>
      <c r="J33" s="86">
        <f t="shared" si="11"/>
        <v>5.6630158603299704E-4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0.15669180936261987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0.15754116603005702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1.3740685113081269E-4</v>
      </c>
      <c r="AP33" s="28">
        <v>8</v>
      </c>
      <c r="AQ33" s="79">
        <f>((($W$25)^Q33)*((1-($W$25))^($U$34-Q33))*HLOOKUP($U$34,$AV$24:$BF$34,Q33+1))*V34</f>
        <v>2.8092563553125757E-4</v>
      </c>
      <c r="AR33" s="28">
        <v>8</v>
      </c>
      <c r="AS33" s="79">
        <f>((($W$25)^Q33)*((1-($W$25))^($U$35-Q33))*HLOOKUP($U$35,$AV$24:$BF$34,Q33+1))*V35</f>
        <v>1.4796909937092687E-4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4.9465016356224096E-3</v>
      </c>
      <c r="BP33">
        <f t="shared" si="17"/>
        <v>8</v>
      </c>
      <c r="BQ33">
        <v>2</v>
      </c>
      <c r="BR33" s="107">
        <f t="shared" si="18"/>
        <v>1.267976462943966E-3</v>
      </c>
    </row>
    <row r="34" spans="1:70" x14ac:dyDescent="0.25">
      <c r="A34" s="40" t="s">
        <v>86</v>
      </c>
      <c r="B34" s="56">
        <f>B23*2</f>
        <v>6.3340782706544294</v>
      </c>
      <c r="C34" s="57">
        <f>C23*2</f>
        <v>3.6659217293455706</v>
      </c>
      <c r="G34" s="87">
        <v>9</v>
      </c>
      <c r="H34" s="128">
        <f>J34*L25+J33*L26+J32*L27+J31*L28</f>
        <v>8.4880769758667531E-4</v>
      </c>
      <c r="I34" s="93">
        <v>9</v>
      </c>
      <c r="J34" s="86">
        <f t="shared" si="11"/>
        <v>4.5385559464064919E-5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6.0163628270764748E-2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6.112862539615839E-2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2.2102212652055002E-5</v>
      </c>
      <c r="AR34" s="28">
        <v>9</v>
      </c>
      <c r="AS34" s="79">
        <f>((($W$25)^Q34)*((1-($W$25))^($U$35-Q34))*HLOOKUP($U$35,$AV$24:$BF$34,Q34+1))*V35</f>
        <v>2.3283346812009917E-5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1.1532774434987346E-3</v>
      </c>
      <c r="BP34">
        <f t="shared" si="17"/>
        <v>8</v>
      </c>
      <c r="BQ34">
        <v>3</v>
      </c>
      <c r="BR34" s="107">
        <f t="shared" si="18"/>
        <v>1.1311736498139098E-3</v>
      </c>
    </row>
    <row r="35" spans="1:70" ht="15.75" thickBot="1" x14ac:dyDescent="0.3">
      <c r="G35" s="88">
        <v>10</v>
      </c>
      <c r="H35" s="129">
        <f>J35*L25+J34*L26+J33*L27+J32*L28</f>
        <v>1.1525228498887895E-4</v>
      </c>
      <c r="I35" s="94">
        <v>10</v>
      </c>
      <c r="J35" s="89">
        <f t="shared" si="11"/>
        <v>1.6486645420082987E-6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1.0395233686061569E-2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1.0999283173296681E-2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1.6486645420082987E-6</v>
      </c>
      <c r="BH35">
        <f t="shared" si="15"/>
        <v>3</v>
      </c>
      <c r="BI35">
        <v>8</v>
      </c>
      <c r="BJ35" s="107">
        <f t="shared" si="16"/>
        <v>2.0144360357457109E-4</v>
      </c>
      <c r="BP35">
        <f t="shared" si="17"/>
        <v>8</v>
      </c>
      <c r="BQ35">
        <v>4</v>
      </c>
      <c r="BR35" s="107">
        <f t="shared" si="18"/>
        <v>6.741157338263548E-4</v>
      </c>
    </row>
    <row r="36" spans="1:70" x14ac:dyDescent="0.25">
      <c r="A36" s="1"/>
      <c r="B36" s="108">
        <f>SUM(B37:B39)</f>
        <v>0.99987261764860436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1.0000000000000004</v>
      </c>
      <c r="BH36">
        <f t="shared" si="15"/>
        <v>3</v>
      </c>
      <c r="BI36">
        <v>9</v>
      </c>
      <c r="BJ36" s="107">
        <f t="shared" si="16"/>
        <v>2.6092014163077094E-5</v>
      </c>
      <c r="BP36">
        <f t="shared" si="17"/>
        <v>8</v>
      </c>
      <c r="BQ36">
        <v>5</v>
      </c>
      <c r="BR36" s="107">
        <f t="shared" si="18"/>
        <v>2.858216734262442E-4</v>
      </c>
    </row>
    <row r="37" spans="1:70" ht="15.75" thickBot="1" x14ac:dyDescent="0.3">
      <c r="A37" s="109" t="s">
        <v>104</v>
      </c>
      <c r="B37" s="107">
        <f>SUM(BN4:BN14)</f>
        <v>0.18091832206638853</v>
      </c>
      <c r="G37" s="13"/>
      <c r="H37" s="59">
        <f>SUM(H39:H49)</f>
        <v>0.9999993516047605</v>
      </c>
      <c r="I37" s="13"/>
      <c r="J37" s="59">
        <f>SUM(J39:J49)</f>
        <v>1.0000000000000002</v>
      </c>
      <c r="K37" s="59"/>
      <c r="L37" s="59">
        <f>SUM(L39:L49)</f>
        <v>1.0000000000000002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0.99994441583775628</v>
      </c>
      <c r="W37" s="13"/>
      <c r="X37" s="13"/>
      <c r="Y37" s="80">
        <f>SUM(Y39:Y49)</f>
        <v>1.024008352389289E-2</v>
      </c>
      <c r="Z37" s="81"/>
      <c r="AA37" s="80">
        <f>SUM(AA39:AA49)</f>
        <v>5.9420051716820702E-2</v>
      </c>
      <c r="AB37" s="81"/>
      <c r="AC37" s="80">
        <f>SUM(AC39:AC49)</f>
        <v>0.15524739270690188</v>
      </c>
      <c r="AD37" s="81"/>
      <c r="AE37" s="80">
        <f>SUM(AE39:AE49)</f>
        <v>0.2405546112684929</v>
      </c>
      <c r="AF37" s="81"/>
      <c r="AG37" s="80">
        <f>SUM(AG39:AG49)</f>
        <v>0.24488329358884658</v>
      </c>
      <c r="AH37" s="81"/>
      <c r="AI37" s="80">
        <f>SUM(AI39:AI49)</f>
        <v>0.17122799747433645</v>
      </c>
      <c r="AJ37" s="81"/>
      <c r="AK37" s="80">
        <f>SUM(AK39:AK49)</f>
        <v>8.3364997197993118E-2</v>
      </c>
      <c r="AL37" s="81"/>
      <c r="AM37" s="80">
        <f>SUM(AM39:AM49)</f>
        <v>2.7960147081072365E-2</v>
      </c>
      <c r="AN37" s="81"/>
      <c r="AO37" s="80">
        <f>SUM(AO39:AO49)</f>
        <v>6.2102441989031858E-3</v>
      </c>
      <c r="AP37" s="81"/>
      <c r="AQ37" s="80">
        <f>SUM(AQ39:AQ49)</f>
        <v>8.3559708049655353E-4</v>
      </c>
      <c r="AR37" s="81"/>
      <c r="AS37" s="80">
        <f>SUM(AS39:AS49)</f>
        <v>5.5584162243715894E-5</v>
      </c>
      <c r="BH37">
        <f t="shared" si="15"/>
        <v>3</v>
      </c>
      <c r="BI37">
        <v>10</v>
      </c>
      <c r="BJ37" s="107">
        <f t="shared" si="16"/>
        <v>2.4427599901701499E-6</v>
      </c>
      <c r="BP37">
        <f t="shared" si="17"/>
        <v>8</v>
      </c>
      <c r="BQ37">
        <v>6</v>
      </c>
      <c r="BR37" s="107">
        <f t="shared" si="18"/>
        <v>8.9161832096527107E-5</v>
      </c>
    </row>
    <row r="38" spans="1:70" ht="15.75" thickBot="1" x14ac:dyDescent="0.3">
      <c r="A38" s="110" t="s">
        <v>105</v>
      </c>
      <c r="B38" s="107">
        <f>SUM(BJ4:BJ59)</f>
        <v>0.28685489968290068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1.3126657459869328E-2</v>
      </c>
      <c r="BP38">
        <f>BL11+1</f>
        <v>8</v>
      </c>
      <c r="BQ38">
        <v>7</v>
      </c>
      <c r="BR38" s="107">
        <f t="shared" si="18"/>
        <v>2.0788091736880121E-5</v>
      </c>
    </row>
    <row r="39" spans="1:70" x14ac:dyDescent="0.25">
      <c r="A39" s="111" t="s">
        <v>0</v>
      </c>
      <c r="B39" s="107">
        <f>SUM(BR4:BR47)</f>
        <v>0.53209939589931521</v>
      </c>
      <c r="G39" s="130">
        <v>0</v>
      </c>
      <c r="H39" s="131">
        <f>L39*J39</f>
        <v>5.2635611100452909E-2</v>
      </c>
      <c r="I39" s="97">
        <v>0</v>
      </c>
      <c r="J39" s="98">
        <f t="shared" ref="J39:J49" si="33">Y39+AA39+AC39+AE39+AG39+AI39+AK39+AM39+AO39+AQ39+AS39</f>
        <v>0.16155371059744261</v>
      </c>
      <c r="K39" s="102">
        <v>0</v>
      </c>
      <c r="L39" s="98">
        <f>AC21</f>
        <v>0.32580874128982173</v>
      </c>
      <c r="M39" s="84">
        <v>0</v>
      </c>
      <c r="N39" s="71">
        <f>(1-$C$24)^$B$21</f>
        <v>0.10195701881705628</v>
      </c>
      <c r="O39" s="70">
        <v>0</v>
      </c>
      <c r="P39" s="71">
        <f>N39</f>
        <v>0.10195701881705628</v>
      </c>
      <c r="Q39" s="12">
        <v>0</v>
      </c>
      <c r="R39" s="73">
        <f>P39*N39</f>
        <v>1.0395233686061569E-2</v>
      </c>
      <c r="S39" s="70">
        <v>0</v>
      </c>
      <c r="T39" s="135">
        <f>(1-$C$33)^(INT(B23*2*(1-B31)))</f>
        <v>0.98507487500000002</v>
      </c>
      <c r="U39" s="140">
        <v>0</v>
      </c>
      <c r="V39" s="86">
        <f>R39*T39</f>
        <v>1.024008352389289E-2</v>
      </c>
      <c r="W39" s="136">
        <f>C31</f>
        <v>0.45302305641616841</v>
      </c>
      <c r="X39" s="12">
        <v>0</v>
      </c>
      <c r="Y39" s="79">
        <f>V39</f>
        <v>1.024008352389289E-2</v>
      </c>
      <c r="Z39" s="12">
        <v>0</v>
      </c>
      <c r="AA39" s="78">
        <f>((1-W39)^Z40)*V40</f>
        <v>3.2501398275659794E-2</v>
      </c>
      <c r="AB39" s="12">
        <v>0</v>
      </c>
      <c r="AC39" s="79">
        <f>(((1-$W$39)^AB41))*V41</f>
        <v>4.6447501290314795E-2</v>
      </c>
      <c r="AD39" s="12">
        <v>0</v>
      </c>
      <c r="AE39" s="79">
        <f>(((1-$W$39)^AB42))*V42</f>
        <v>3.9365950938394158E-2</v>
      </c>
      <c r="AF39" s="12">
        <v>0</v>
      </c>
      <c r="AG39" s="79">
        <f>(((1-$W$39)^AB43))*V43</f>
        <v>2.1919731915712524E-2</v>
      </c>
      <c r="AH39" s="12">
        <v>0</v>
      </c>
      <c r="AI39" s="79">
        <f>(((1-$W$39)^AB44))*V44</f>
        <v>8.3833940164692589E-3</v>
      </c>
      <c r="AJ39" s="12">
        <v>0</v>
      </c>
      <c r="AK39" s="79">
        <f>(((1-$W$39)^AB45))*V45</f>
        <v>2.2325328647069616E-3</v>
      </c>
      <c r="AL39" s="12">
        <v>0</v>
      </c>
      <c r="AM39" s="79">
        <f>(((1-$W$39)^AB46))*V46</f>
        <v>4.0956477025996026E-4</v>
      </c>
      <c r="AN39" s="12">
        <v>0</v>
      </c>
      <c r="AO39" s="79">
        <f>(((1-$W$39)^AB47))*V47</f>
        <v>4.9757762058244441E-5</v>
      </c>
      <c r="AP39" s="12">
        <v>0</v>
      </c>
      <c r="AQ39" s="79">
        <f>(((1-$W$39)^AB48))*V48</f>
        <v>3.6619979363239532E-6</v>
      </c>
      <c r="AR39" s="12">
        <v>0</v>
      </c>
      <c r="AS39" s="79">
        <f>(((1-$W$39)^AB49))*V49</f>
        <v>1.3324203771141977E-7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4.0948498215532042E-3</v>
      </c>
      <c r="BP39">
        <f t="shared" ref="BP39:BP46" si="34">BP31+1</f>
        <v>9</v>
      </c>
      <c r="BQ39">
        <v>0</v>
      </c>
      <c r="BR39" s="107">
        <f t="shared" ref="BR39:BR47" si="35">$H$34*H39</f>
        <v>4.4677511869243083E-5</v>
      </c>
    </row>
    <row r="40" spans="1:70" x14ac:dyDescent="0.25">
      <c r="G40" s="91">
        <v>1</v>
      </c>
      <c r="H40" s="132">
        <f>L39*J40+L40*J39</f>
        <v>0.18418793746473719</v>
      </c>
      <c r="I40" s="93">
        <v>1</v>
      </c>
      <c r="J40" s="86">
        <f t="shared" si="33"/>
        <v>0.32283158841480764</v>
      </c>
      <c r="K40" s="95">
        <v>1</v>
      </c>
      <c r="L40" s="86">
        <f>AD21</f>
        <v>0.48904221204539505</v>
      </c>
      <c r="M40" s="85">
        <v>1</v>
      </c>
      <c r="N40" s="71">
        <f>(($C$24)^M26)*((1-($C$24))^($B$21-M26))*HLOOKUP($B$21,$AV$24:$BF$34,M26+1)</f>
        <v>0.29504407332033544</v>
      </c>
      <c r="O40" s="72">
        <v>1</v>
      </c>
      <c r="P40" s="71">
        <f t="shared" ref="P40:P44" si="36">N40</f>
        <v>0.29504407332033544</v>
      </c>
      <c r="Q40" s="28">
        <v>1</v>
      </c>
      <c r="R40" s="37">
        <f>P40*N39+P39*N40</f>
        <v>6.0163628270764748E-2</v>
      </c>
      <c r="S40" s="72">
        <v>1</v>
      </c>
      <c r="T40" s="135">
        <f t="shared" ref="T40:T49" si="37">(($C$33)^S40)*((1-($C$33))^(INT($B$23*2*(1-$B$31))-S40))*HLOOKUP(INT($B$23*2*(1-$B$31)),$AV$24:$BF$34,S40+1)</f>
        <v>1.4850375000000002E-2</v>
      </c>
      <c r="U40" s="93">
        <v>1</v>
      </c>
      <c r="V40" s="86">
        <f>R40*T39+T40*R39</f>
        <v>5.9420051716820695E-2</v>
      </c>
      <c r="W40" s="137"/>
      <c r="X40" s="28">
        <v>1</v>
      </c>
      <c r="Y40" s="73"/>
      <c r="Z40" s="28">
        <v>1</v>
      </c>
      <c r="AA40" s="79">
        <f>(1-((1-W39)^Z40))*V40</f>
        <v>2.6918653441160904E-2</v>
      </c>
      <c r="AB40" s="28">
        <v>1</v>
      </c>
      <c r="AC40" s="79">
        <f>((($W$39)^M40)*((1-($W$39))^($U$27-M40))*HLOOKUP($U$27,$AV$24:$BF$34,M40+1))*V41</f>
        <v>7.6938486143730458E-2</v>
      </c>
      <c r="AD40" s="28">
        <v>1</v>
      </c>
      <c r="AE40" s="79">
        <f>((($W$39)^M40)*((1-($W$39))^($U$28-M40))*HLOOKUP($U$28,$AV$24:$BF$34,M40+1))*V42</f>
        <v>9.7812258571591898E-2</v>
      </c>
      <c r="AF40" s="28">
        <v>1</v>
      </c>
      <c r="AG40" s="79">
        <f>((($W$39)^M40)*((1-($W$39))^($U$29-M40))*HLOOKUP($U$29,$AV$24:$BF$34,M40+1))*V43</f>
        <v>7.2618373149084633E-2</v>
      </c>
      <c r="AH40" s="28">
        <v>1</v>
      </c>
      <c r="AI40" s="79">
        <f>((($W$39)^M40)*((1-($W$39))^($U$30-M40))*HLOOKUP($U$30,$AV$24:$BF$34,M40+1))*V44</f>
        <v>3.4716918373176794E-2</v>
      </c>
      <c r="AJ40" s="28">
        <v>1</v>
      </c>
      <c r="AK40" s="79">
        <f>((($W$39)^M40)*((1-($W$39))^($U$31-M40))*HLOOKUP($U$31,$AV$24:$BF$34,M40+1))*V45</f>
        <v>1.1094312553202708E-2</v>
      </c>
      <c r="AL40" s="28">
        <v>1</v>
      </c>
      <c r="AM40" s="79">
        <f>((($W$39)^Q40)*((1-($W$39))^($U$32-Q40))*HLOOKUP($U$32,$AV$24:$BF$34,Q40+1))*V46</f>
        <v>2.3744986025463306E-3</v>
      </c>
      <c r="AN40" s="28">
        <v>1</v>
      </c>
      <c r="AO40" s="79">
        <f>((($W$39)^Q40)*((1-($W$39))^($U$33-Q40))*HLOOKUP($U$33,$AV$24:$BF$34,Q40+1))*V47</f>
        <v>3.2968721936045678E-4</v>
      </c>
      <c r="AP40" s="28">
        <v>1</v>
      </c>
      <c r="AQ40" s="79">
        <f>((($W$39)^Q40)*((1-($W$39))^($U$34-Q40))*HLOOKUP($U$34,$AV$24:$BF$34,Q40+1))*V48</f>
        <v>2.7296809590366711E-5</v>
      </c>
      <c r="AR40" s="28">
        <v>1</v>
      </c>
      <c r="AS40" s="79">
        <f>((($W$39)^Q40)*((1-($W$39))^($U$35-Q40))*HLOOKUP($U$35,$AV$24:$BF$34,Q40+1))*V49</f>
        <v>1.1035513630913133E-6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9.5471472195680484E-4</v>
      </c>
      <c r="BP40">
        <f t="shared" si="34"/>
        <v>9</v>
      </c>
      <c r="BQ40">
        <v>1</v>
      </c>
      <c r="BR40" s="107">
        <f t="shared" si="35"/>
        <v>1.5634013912268211E-4</v>
      </c>
    </row>
    <row r="41" spans="1:70" x14ac:dyDescent="0.25">
      <c r="G41" s="91">
        <v>2</v>
      </c>
      <c r="H41" s="132">
        <f>L39*J41+J40*L40+J39*L41</f>
        <v>0.27861733607304545</v>
      </c>
      <c r="I41" s="93">
        <v>2</v>
      </c>
      <c r="J41" s="86">
        <f t="shared" si="33"/>
        <v>0.29051865033066487</v>
      </c>
      <c r="K41" s="95">
        <v>2</v>
      </c>
      <c r="L41" s="86">
        <f>AE21</f>
        <v>0.16146671020195394</v>
      </c>
      <c r="M41" s="85">
        <v>2</v>
      </c>
      <c r="N41" s="71">
        <f>(($C$24)^M27)*((1-($C$24))^($B$21-M27))*HLOOKUP($B$21,$AV$24:$BF$34,M27+1)</f>
        <v>0.34152040226932495</v>
      </c>
      <c r="O41" s="72">
        <v>2</v>
      </c>
      <c r="P41" s="71">
        <f t="shared" si="36"/>
        <v>0.34152040226932495</v>
      </c>
      <c r="Q41" s="28">
        <v>2</v>
      </c>
      <c r="R41" s="37">
        <f>P41*N39+P40*N40+P39*N41</f>
        <v>0.15669180936261987</v>
      </c>
      <c r="S41" s="72">
        <v>2</v>
      </c>
      <c r="T41" s="135">
        <f t="shared" si="37"/>
        <v>7.4625000000000011E-5</v>
      </c>
      <c r="U41" s="93">
        <v>2</v>
      </c>
      <c r="V41" s="86">
        <f>R41*T39+T40*R40+R39*T41</f>
        <v>0.15524739270690188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3.1861405272856635E-2</v>
      </c>
      <c r="AD41" s="28">
        <v>2</v>
      </c>
      <c r="AE41" s="79">
        <f>((($W$39)^M41)*((1-($W$39))^($U$28-M41))*HLOOKUP($U$28,$AV$24:$BF$34,M41+1))*V42</f>
        <v>8.1011108151544664E-2</v>
      </c>
      <c r="AF41" s="28">
        <v>2</v>
      </c>
      <c r="AG41" s="79">
        <f>((($W$39)^M41)*((1-($W$39))^($U$29-M41))*HLOOKUP($U$29,$AV$24:$BF$34,M41+1))*V43</f>
        <v>9.0217140983364238E-2</v>
      </c>
      <c r="AH41" s="28">
        <v>2</v>
      </c>
      <c r="AI41" s="79">
        <f>((($W$39)^M41)*((1-($W$39))^($U$30-M41))*HLOOKUP($U$30,$AV$24:$BF$34,M41+1))*V44</f>
        <v>5.7507230077081757E-2</v>
      </c>
      <c r="AJ41" s="28">
        <v>2</v>
      </c>
      <c r="AK41" s="79">
        <f>((($W$39)^M41)*((1-($W$39))^($U$31-M41))*HLOOKUP($U$31,$AV$24:$BF$34,M41+1))*V45</f>
        <v>2.297162357867218E-2</v>
      </c>
      <c r="AL41" s="28">
        <v>2</v>
      </c>
      <c r="AM41" s="79">
        <f>((($W$39)^Q41)*((1-($W$39))^($U$32-Q41))*HLOOKUP($U$32,$AV$24:$BF$34,Q41+1))*V46</f>
        <v>5.899897392383926E-3</v>
      </c>
      <c r="AN41" s="28">
        <v>2</v>
      </c>
      <c r="AO41" s="79">
        <f>((($W$39)^Q41)*((1-($W$39))^($U$33-Q41))*HLOOKUP($U$33,$AV$24:$BF$34,Q41+1))*V47</f>
        <v>9.5569968231386487E-4</v>
      </c>
      <c r="AP41" s="28">
        <v>2</v>
      </c>
      <c r="AQ41" s="79">
        <f>((($W$39)^Q41)*((1-($W$39))^($U$34-Q41))*HLOOKUP($U$34,$AV$24:$BF$34,Q41+1))*V48</f>
        <v>9.0432214784152694E-5</v>
      </c>
      <c r="AR41" s="28">
        <v>2</v>
      </c>
      <c r="AS41" s="79">
        <f>((($W$39)^Q41)*((1-($W$39))^($U$35-Q41))*HLOOKUP($U$35,$AV$24:$BF$34,Q41+1))*V49</f>
        <v>4.1129776634626149E-6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1.6676054410049205E-4</v>
      </c>
      <c r="BP41">
        <f t="shared" si="34"/>
        <v>9</v>
      </c>
      <c r="BQ41">
        <v>2</v>
      </c>
      <c r="BR41" s="107">
        <f t="shared" si="35"/>
        <v>2.3649253953989465E-4</v>
      </c>
    </row>
    <row r="42" spans="1:70" ht="15" customHeight="1" x14ac:dyDescent="0.25">
      <c r="G42" s="91">
        <v>3</v>
      </c>
      <c r="H42" s="132">
        <f>J42*L39+J41*L40+L42*J39+L41*J40</f>
        <v>0.248557128746248</v>
      </c>
      <c r="I42" s="93">
        <v>3</v>
      </c>
      <c r="J42" s="86">
        <f t="shared" si="33"/>
        <v>0.15508706514829809</v>
      </c>
      <c r="K42" s="95">
        <v>3</v>
      </c>
      <c r="L42" s="86">
        <f>AF21</f>
        <v>2.3682336462829384E-2</v>
      </c>
      <c r="M42" s="85">
        <v>3</v>
      </c>
      <c r="N42" s="71">
        <f>(($C$24)^M28)*((1-($C$24))^($B$21-M28))*HLOOKUP($B$21,$AV$24:$BF$34,M28+1)</f>
        <v>0.19765891897711027</v>
      </c>
      <c r="O42" s="72">
        <v>3</v>
      </c>
      <c r="P42" s="71">
        <f t="shared" si="36"/>
        <v>0.19765891897711027</v>
      </c>
      <c r="Q42" s="28">
        <v>3</v>
      </c>
      <c r="R42" s="37">
        <f>P42*N39+P41*N40+P40*N41+P39*N42</f>
        <v>0.24183256945809881</v>
      </c>
      <c r="S42" s="72">
        <v>3</v>
      </c>
      <c r="T42" s="135">
        <f t="shared" si="37"/>
        <v>1.2500000000000002E-7</v>
      </c>
      <c r="U42" s="93">
        <v>3</v>
      </c>
      <c r="V42" s="86">
        <f>R42*T39+R41*T40+R40*T41+R39*T42</f>
        <v>0.24055461126849284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2.2365293606962173E-2</v>
      </c>
      <c r="AF42" s="28">
        <v>3</v>
      </c>
      <c r="AG42" s="79">
        <f>((($W$39)^M42)*((1-($W$39))^($U$29-M42))*HLOOKUP($U$29,$AV$24:$BF$34,M42+1))*V43</f>
        <v>4.9813732771045144E-2</v>
      </c>
      <c r="AH42" s="28">
        <v>3</v>
      </c>
      <c r="AI42" s="79">
        <f>((($W$39)^M42)*((1-($W$39))^($U$30-M42))*HLOOKUP($U$30,$AV$24:$BF$34,M42+1))*V44</f>
        <v>4.7629249168808049E-2</v>
      </c>
      <c r="AJ42" s="28">
        <v>3</v>
      </c>
      <c r="AK42" s="79">
        <f>((($W$39)^M42)*((1-($W$39))^($U$31-M42))*HLOOKUP($U$31,$AV$24:$BF$34,M42+1))*V45</f>
        <v>2.5367736237086505E-2</v>
      </c>
      <c r="AL42" s="28">
        <v>3</v>
      </c>
      <c r="AM42" s="79">
        <f>((($W$39)^Q42)*((1-($W$39))^($U$32-Q42))*HLOOKUP($U$32,$AV$24:$BF$34,Q42+1))*V46</f>
        <v>8.1441261848175968E-3</v>
      </c>
      <c r="AN42" s="28">
        <v>3</v>
      </c>
      <c r="AO42" s="79">
        <f>((($W$39)^Q42)*((1-($W$39))^($U$33-Q42))*HLOOKUP($U$33,$AV$24:$BF$34,Q42+1))*V47</f>
        <v>1.5830794923860703E-3</v>
      </c>
      <c r="AP42" s="28">
        <v>3</v>
      </c>
      <c r="AQ42" s="79">
        <f>((($W$39)^Q42)*((1-($W$39))^($U$34-Q42))*HLOOKUP($U$34,$AV$24:$BF$34,Q42+1))*V48</f>
        <v>1.7476370301889433E-4</v>
      </c>
      <c r="AR42" s="28">
        <v>3</v>
      </c>
      <c r="AS42" s="79">
        <f>((($W$39)^Q42)*((1-($W$39))^($U$35-Q42))*HLOOKUP($U$35,$AV$24:$BF$34,Q42+1))*V49</f>
        <v>9.0839841736409742E-6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2.1599685476743216E-5</v>
      </c>
      <c r="BP42">
        <f t="shared" si="34"/>
        <v>9</v>
      </c>
      <c r="BQ42">
        <v>3</v>
      </c>
      <c r="BR42" s="107">
        <f t="shared" si="35"/>
        <v>2.1097720416985758E-4</v>
      </c>
    </row>
    <row r="43" spans="1:70" ht="15" customHeight="1" x14ac:dyDescent="0.25">
      <c r="G43" s="91">
        <v>4</v>
      </c>
      <c r="H43" s="132">
        <f>J43*L39+J42*L40+J41*L41+J40*L42</f>
        <v>0.14812603818177122</v>
      </c>
      <c r="I43" s="93">
        <v>4</v>
      </c>
      <c r="J43" s="86">
        <f t="shared" si="33"/>
        <v>5.441050996043259E-2</v>
      </c>
      <c r="K43" s="95">
        <v>4</v>
      </c>
      <c r="L43" s="86"/>
      <c r="M43" s="85">
        <v>4</v>
      </c>
      <c r="N43" s="71">
        <f>(($C$24)^M29)*((1-($C$24))^($B$21-M29))*HLOOKUP($B$21,$AV$24:$BF$34,M29+1)</f>
        <v>5.7198703198395984E-2</v>
      </c>
      <c r="O43" s="72">
        <v>4</v>
      </c>
      <c r="P43" s="71">
        <f t="shared" si="36"/>
        <v>5.7198703198395984E-2</v>
      </c>
      <c r="Q43" s="28">
        <v>4</v>
      </c>
      <c r="R43" s="37">
        <f>P43*N39+P42*N40+P41*N41+P40*N42+P39*N43</f>
        <v>0.24493598884902326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0.24488329358884653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1.0314314769640039E-2</v>
      </c>
      <c r="AH43" s="28">
        <v>4</v>
      </c>
      <c r="AI43" s="79">
        <f>((($W$39)^M43)*((1-($W$39))^($U$30-M43))*HLOOKUP($U$30,$AV$24:$BF$34,M43+1))*V44</f>
        <v>1.9724001428548042E-2</v>
      </c>
      <c r="AJ43" s="28">
        <v>4</v>
      </c>
      <c r="AK43" s="79">
        <f>((($W$39)^M43)*((1-($W$39))^($U$31-M43))*HLOOKUP($U$31,$AV$24:$BF$34,M43+1))*V45</f>
        <v>1.5757752048724323E-2</v>
      </c>
      <c r="AL43" s="28">
        <v>4</v>
      </c>
      <c r="AM43" s="79">
        <f>((($W$39)^Q43)*((1-($W$39))^($U$32-Q43))*HLOOKUP($U$32,$AV$24:$BF$34,Q43+1))*V46</f>
        <v>6.7452147286342704E-3</v>
      </c>
      <c r="AN43" s="28">
        <v>4</v>
      </c>
      <c r="AO43" s="79">
        <f>((($W$39)^Q43)*((1-($W$39))^($U$33-Q43))*HLOOKUP($U$33,$AV$24:$BF$34,Q43+1))*V47</f>
        <v>1.63894364882077E-3</v>
      </c>
      <c r="AP43" s="28">
        <v>4</v>
      </c>
      <c r="AQ43" s="79">
        <f>((($W$39)^Q43)*((1-($W$39))^($U$34-Q43))*HLOOKUP($U$34,$AV$24:$BF$34,Q43+1))*V48</f>
        <v>2.1711697674170677E-4</v>
      </c>
      <c r="AR43" s="28">
        <v>4</v>
      </c>
      <c r="AS43" s="79">
        <f>((($W$39)^Q43)*((1-($W$39))^($U$35-Q43))*HLOOKUP($U$35,$AV$24:$BF$34,Q43+1))*V49</f>
        <v>1.3166359323442639E-5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2.0221837667677067E-6</v>
      </c>
      <c r="BP43">
        <f t="shared" si="34"/>
        <v>9</v>
      </c>
      <c r="BQ43">
        <v>4</v>
      </c>
      <c r="BR43" s="107">
        <f t="shared" si="35"/>
        <v>1.2573052142170519E-4</v>
      </c>
    </row>
    <row r="44" spans="1:70" ht="15" customHeight="1" thickBot="1" x14ac:dyDescent="0.3">
      <c r="G44" s="91">
        <v>5</v>
      </c>
      <c r="H44" s="132">
        <f>J44*L39+J43*L40+J42*L41+J41*L42</f>
        <v>6.2804693595861577E-2</v>
      </c>
      <c r="I44" s="93">
        <v>5</v>
      </c>
      <c r="J44" s="86">
        <f t="shared" si="33"/>
        <v>1.3118428925950571E-2</v>
      </c>
      <c r="K44" s="95">
        <v>5</v>
      </c>
      <c r="L44" s="86"/>
      <c r="M44" s="85">
        <v>5</v>
      </c>
      <c r="N44" s="71">
        <f>(($C$24)^M30)*((1-($C$24))^($B$21-M30))*HLOOKUP($B$21,$AV$24:$BF$34,M30+1)</f>
        <v>6.6208834177770058E-3</v>
      </c>
      <c r="O44" s="72">
        <v>5</v>
      </c>
      <c r="P44" s="71">
        <f t="shared" si="36"/>
        <v>6.6208834177770058E-3</v>
      </c>
      <c r="Q44" s="28">
        <v>5</v>
      </c>
      <c r="R44" s="37">
        <f>P44*N39+P43*N40+P42*N41+P41*N42+P40*N43+P39*N44</f>
        <v>0.17011147487338016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0.1712279974743364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3.2672044102525256E-3</v>
      </c>
      <c r="AJ44" s="28">
        <v>5</v>
      </c>
      <c r="AK44" s="79">
        <f>((($W$39)^M44)*((1-($W$39))^($U$31-M44))*HLOOKUP($U$31,$AV$24:$BF$34,M44+1))*V45</f>
        <v>5.2204211377455574E-3</v>
      </c>
      <c r="AL44" s="28">
        <v>5</v>
      </c>
      <c r="AM44" s="79">
        <f>((($W$39)^Q44)*((1-($W$39))^($U$32-Q44))*HLOOKUP($U$32,$AV$24:$BF$34,Q44+1))*V46</f>
        <v>3.351956050499507E-3</v>
      </c>
      <c r="AN44" s="28">
        <v>5</v>
      </c>
      <c r="AO44" s="79">
        <f>((($W$39)^Q44)*((1-($W$39))^($U$33-Q44))*HLOOKUP($U$33,$AV$24:$BF$34,Q44+1))*V47</f>
        <v>1.0859386594511663E-3</v>
      </c>
      <c r="AP44" s="28">
        <v>5</v>
      </c>
      <c r="AQ44" s="79">
        <f>((($W$39)^Q44)*((1-($W$39))^($U$34-Q44))*HLOOKUP($U$34,$AV$24:$BF$34,Q44+1))*V48</f>
        <v>1.7982292957160326E-4</v>
      </c>
      <c r="AR44" s="28">
        <v>5</v>
      </c>
      <c r="AS44" s="79">
        <f>((($W$39)^Q44)*((1-($W$39))^($U$35-Q44))*HLOOKUP($U$35,$AV$24:$BF$34,Q44+1))*V49</f>
        <v>1.3085738430213011E-5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2.4381941771813628E-3</v>
      </c>
      <c r="BP44">
        <f t="shared" si="34"/>
        <v>9</v>
      </c>
      <c r="BQ44">
        <v>5</v>
      </c>
      <c r="BR44" s="107">
        <f t="shared" si="35"/>
        <v>5.3309107368739876E-5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1.9591871666488778E-2</v>
      </c>
      <c r="I45" s="93">
        <v>6</v>
      </c>
      <c r="J45" s="86">
        <f t="shared" si="33"/>
        <v>2.2040417379299254E-3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8.204500132751967E-2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8.336499719799309E-2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7.2061877785487775E-4</v>
      </c>
      <c r="AL45" s="28">
        <v>6</v>
      </c>
      <c r="AM45" s="79">
        <f>((($W$39)^Q45)*((1-($W$39))^($U$32-Q45))*HLOOKUP($U$32,$AV$24:$BF$34,Q45+1))*V46</f>
        <v>9.2539755272592666E-4</v>
      </c>
      <c r="AN45" s="28">
        <v>6</v>
      </c>
      <c r="AO45" s="79">
        <f>((($W$39)^Q45)*((1-($W$39))^($U$33-Q45))*HLOOKUP($U$33,$AV$24:$BF$34,Q45+1))*V47</f>
        <v>4.4970382788140782E-4</v>
      </c>
      <c r="AP45" s="28">
        <v>6</v>
      </c>
      <c r="AQ45" s="79">
        <f>((($W$39)^Q45)*((1-($W$39))^($U$34-Q45))*HLOOKUP($U$34,$AV$24:$BF$34,Q45+1))*V48</f>
        <v>9.9289905024124847E-5</v>
      </c>
      <c r="AR45" s="28">
        <v>6</v>
      </c>
      <c r="AS45" s="79">
        <f>((($W$39)^Q45)*((1-($W$39))^($U$35-Q45))*HLOOKUP($U$35,$AV$24:$BF$34,Q45+1))*V49</f>
        <v>9.0316744435880772E-6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5.6846526182527065E-4</v>
      </c>
      <c r="BP45">
        <f t="shared" si="34"/>
        <v>9</v>
      </c>
      <c r="BQ45">
        <v>6</v>
      </c>
      <c r="BR45" s="107">
        <f t="shared" si="35"/>
        <v>1.6629731480645958E-5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4.5678472046113859E-3</v>
      </c>
      <c r="I46" s="93">
        <v>7</v>
      </c>
      <c r="J46" s="86">
        <f t="shared" si="33"/>
        <v>2.5542651690626633E-4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2.7134001218610069E-2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2.7960147081072358E-2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1.0949179920484934E-4</v>
      </c>
      <c r="AN46" s="28">
        <v>7</v>
      </c>
      <c r="AO46" s="79">
        <f>((($W$39)^Q46)*((1-($W$39))^($U$33-Q46))*HLOOKUP($U$33,$AV$24:$BF$34,Q46+1))*V47</f>
        <v>1.064167094001949E-4</v>
      </c>
      <c r="AP46" s="28">
        <v>7</v>
      </c>
      <c r="AQ46" s="79">
        <f>((($W$39)^Q46)*((1-($W$39))^($U$34-Q46))*HLOOKUP($U$34,$AV$24:$BF$34,Q46+1))*V48</f>
        <v>3.5243545799141994E-5</v>
      </c>
      <c r="AR46" s="28">
        <v>7</v>
      </c>
      <c r="AS46" s="79">
        <f>((($W$39)^Q46)*((1-($W$39))^($U$35-Q46))*HLOOKUP($U$35,$AV$24:$BF$34,Q46+1))*V49</f>
        <v>4.2744625020800946E-6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9.9294139059583742E-5</v>
      </c>
      <c r="BP46">
        <f t="shared" si="34"/>
        <v>9</v>
      </c>
      <c r="BQ46">
        <v>7</v>
      </c>
      <c r="BR46" s="107">
        <f t="shared" si="35"/>
        <v>3.8772238686739211E-6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7.9786837647966046E-4</v>
      </c>
      <c r="I47" s="93">
        <v>8</v>
      </c>
      <c r="J47" s="86">
        <f t="shared" si="33"/>
        <v>1.9642233514108186E-5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5.8890449656407509E-3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6.210244198903184E-3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1.101719723101061E-5</v>
      </c>
      <c r="AP47" s="28">
        <v>8</v>
      </c>
      <c r="AQ47" s="79">
        <f>((($W$39)^Q47)*((1-($W$39))^($U$34-Q47))*HLOOKUP($U$34,$AV$24:$BF$34,Q47+1))*V48</f>
        <v>7.2974460003100172E-6</v>
      </c>
      <c r="AR47" s="28">
        <v>8</v>
      </c>
      <c r="AS47" s="79">
        <f>((($W$39)^Q47)*((1-($W$39))^($U$35-Q47))*HLOOKUP($U$35,$AV$24:$BF$34,Q47+1))*V49</f>
        <v>1.3275902827875616E-6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1.2861088844124753E-5</v>
      </c>
      <c r="BP47">
        <f>BL12+1</f>
        <v>9</v>
      </c>
      <c r="BQ47">
        <v>8</v>
      </c>
      <c r="BR47" s="107">
        <f t="shared" si="35"/>
        <v>6.7723681961691919E-7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1.0334402587110268E-4</v>
      </c>
      <c r="I48" s="93">
        <v>9</v>
      </c>
      <c r="J48" s="86">
        <f t="shared" si="33"/>
        <v>9.1589668127188627E-7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7.5741189104921709E-4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8.3559708049655321E-4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6.7155202992892833E-7</v>
      </c>
      <c r="AR48" s="28">
        <v>9</v>
      </c>
      <c r="AS48" s="79">
        <f>((($W$39)^Q48)*((1-($W$39))^($U$35-Q48))*HLOOKUP($U$35,$AV$24:$BF$34,Q48+1))*V49</f>
        <v>2.4434465134295794E-7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1.2040677680954693E-6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9.6751691932727019E-6</v>
      </c>
      <c r="I49" s="94">
        <v>10</v>
      </c>
      <c r="J49" s="89">
        <f t="shared" si="33"/>
        <v>2.023737235523247E-8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4.3836097231794527E-5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5.5584162243715873E-5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2.023737235523247E-8</v>
      </c>
      <c r="BH49">
        <f>BP14+1</f>
        <v>6</v>
      </c>
      <c r="BI49">
        <v>0</v>
      </c>
      <c r="BJ49" s="107">
        <f>$H$31*H39</f>
        <v>2.8902392329515801E-3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2.5082203711286318E-4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4.3811222786640242E-5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5.6746554627016385E-6</v>
      </c>
    </row>
    <row r="53" spans="1:62" x14ac:dyDescent="0.25">
      <c r="BH53">
        <f>BH48+1</f>
        <v>6</v>
      </c>
      <c r="BI53">
        <v>10</v>
      </c>
      <c r="BJ53" s="107">
        <f>$H$31*H49</f>
        <v>5.3126681733539594E-7</v>
      </c>
    </row>
    <row r="54" spans="1:62" x14ac:dyDescent="0.25">
      <c r="BH54">
        <f>BH51+1</f>
        <v>7</v>
      </c>
      <c r="BI54">
        <v>8</v>
      </c>
      <c r="BJ54" s="107">
        <f>$H$32*H47</f>
        <v>1.4530405861919246E-5</v>
      </c>
    </row>
    <row r="55" spans="1:62" x14ac:dyDescent="0.25">
      <c r="BH55">
        <f>BH52+1</f>
        <v>7</v>
      </c>
      <c r="BI55">
        <v>9</v>
      </c>
      <c r="BJ55" s="107">
        <f>$H$32*H48</f>
        <v>1.8820530849176783E-6</v>
      </c>
    </row>
    <row r="56" spans="1:62" x14ac:dyDescent="0.25">
      <c r="BH56">
        <f>BH53+1</f>
        <v>7</v>
      </c>
      <c r="BI56">
        <v>10</v>
      </c>
      <c r="BJ56" s="107">
        <f>$H$32*H49</f>
        <v>1.7619965812064489E-7</v>
      </c>
    </row>
    <row r="57" spans="1:62" x14ac:dyDescent="0.25">
      <c r="BH57">
        <f>BH55+1</f>
        <v>8</v>
      </c>
      <c r="BI57">
        <v>9</v>
      </c>
      <c r="BJ57" s="107">
        <f>$H$33*H48</f>
        <v>4.7031456921286535E-7</v>
      </c>
    </row>
    <row r="58" spans="1:62" x14ac:dyDescent="0.25">
      <c r="BH58">
        <f>BH56+1</f>
        <v>8</v>
      </c>
      <c r="BI58">
        <v>10</v>
      </c>
      <c r="BJ58" s="107">
        <f>$H$33*H49</f>
        <v>4.4031311852231833E-8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8.2123580867033324E-9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BR59"/>
  <sheetViews>
    <sheetView zoomScale="80" zoomScaleNormal="80" workbookViewId="0">
      <selection activeCell="C14" sqref="C14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6" t="s">
        <v>152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7</v>
      </c>
      <c r="J1" s="11" t="s">
        <v>123</v>
      </c>
      <c r="K1" s="70">
        <f>IF(D3="SI",COUNTIF($J$6:$J$18,"RAP"),0)</f>
        <v>3</v>
      </c>
      <c r="L1" s="70">
        <f>K1+K2+K3</f>
        <v>6</v>
      </c>
      <c r="M1" s="150">
        <f>L1+H1</f>
        <v>13</v>
      </c>
      <c r="P1" s="197" t="s">
        <v>135</v>
      </c>
      <c r="Q1" s="197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2</v>
      </c>
    </row>
    <row r="2" spans="1:70" x14ac:dyDescent="0.25">
      <c r="A2" s="196" t="s">
        <v>151</v>
      </c>
      <c r="B2" t="s">
        <v>146</v>
      </c>
      <c r="F2" s="10" t="s">
        <v>21</v>
      </c>
      <c r="G2" s="70">
        <f>IF(D3="SI",COUNTIF($F$6:$F$18,"TEC"),0)</f>
        <v>6</v>
      </c>
      <c r="H2" s="13"/>
      <c r="J2" s="11" t="s">
        <v>21</v>
      </c>
      <c r="K2" s="70">
        <f>IF(D3="SI",COUNTIF($J$6:$J$18,"TEC"),0)</f>
        <v>2</v>
      </c>
      <c r="L2" s="13" t="s">
        <v>134</v>
      </c>
      <c r="M2" s="163" t="str">
        <f>IF(M1&lt;&gt;0,"SI","NO")</f>
        <v>SI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198" t="s">
        <v>112</v>
      </c>
      <c r="C3" s="198"/>
      <c r="D3" t="str">
        <f>IF(B3="Sol","SI",IF(B3="Lluvia","SI","NO"))</f>
        <v>SI</v>
      </c>
      <c r="F3" s="10" t="s">
        <v>131</v>
      </c>
      <c r="G3" s="70">
        <f>IF(D3="SI",COUNTIF($F$6:$F$18,"POT"),0)</f>
        <v>1</v>
      </c>
      <c r="H3" s="13"/>
      <c r="J3" s="11" t="s">
        <v>131</v>
      </c>
      <c r="K3" s="70">
        <f>IF(D3="SI",COUNTIF($J$6:$J$18,"POT"),0)</f>
        <v>1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6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>
        <f t="shared" ref="BJ4:BJ13" si="0">$H$25*H40</f>
        <v>7.5986788109104544E-2</v>
      </c>
      <c r="BL4">
        <v>0</v>
      </c>
      <c r="BM4">
        <v>0</v>
      </c>
      <c r="BN4" s="107">
        <f>H25*H39</f>
        <v>2.3168014529558845E-2</v>
      </c>
      <c r="BP4">
        <v>1</v>
      </c>
      <c r="BQ4">
        <v>0</v>
      </c>
      <c r="BR4" s="107">
        <f>$H$26*H39</f>
        <v>1.9991895184489735E-2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COUNTIF(F5:F18,"IMP")*0.017</f>
        <v>1.7000000000000001E-2</v>
      </c>
      <c r="P5" s="16" t="str">
        <f>P3</f>
        <v>0,6</v>
      </c>
      <c r="Q5" s="16">
        <f>P5*O5</f>
        <v>1.0200000000000001E-2</v>
      </c>
      <c r="R5" s="157">
        <f>IF($M$2="SI",Q5*$B$22/0.5*$S$1,Q5*$B$22/0.5*$S$2)</f>
        <v>6.7407841792704393E-3</v>
      </c>
      <c r="S5" s="176">
        <f>(1-R5)</f>
        <v>0.99325921582072951</v>
      </c>
      <c r="T5" s="177">
        <f>R5*PRODUCT(S6:S19)</f>
        <v>6.3461637806961875E-3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3.8747125479431538E-4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BH5">
        <v>0</v>
      </c>
      <c r="BI5">
        <v>2</v>
      </c>
      <c r="BJ5" s="107">
        <f t="shared" si="0"/>
        <v>0.11494642789727061</v>
      </c>
      <c r="BL5">
        <v>1</v>
      </c>
      <c r="BM5">
        <v>1</v>
      </c>
      <c r="BN5" s="107">
        <f>$H$26*H40</f>
        <v>6.5569706085304991E-2</v>
      </c>
      <c r="BP5">
        <f>BP4+1</f>
        <v>2</v>
      </c>
      <c r="BQ5">
        <v>0</v>
      </c>
      <c r="BR5" s="107">
        <f>$H$27*H39</f>
        <v>8.0870281439830109E-3</v>
      </c>
    </row>
    <row r="6" spans="1:70" x14ac:dyDescent="0.25">
      <c r="A6" s="2" t="s">
        <v>1</v>
      </c>
      <c r="B6" s="168">
        <v>5.75</v>
      </c>
      <c r="C6" s="169">
        <v>9.5</v>
      </c>
      <c r="E6" s="192" t="s">
        <v>17</v>
      </c>
      <c r="F6" s="167" t="s">
        <v>21</v>
      </c>
      <c r="G6" s="167"/>
      <c r="H6" s="10"/>
      <c r="I6" s="10"/>
      <c r="J6" s="166" t="s">
        <v>16</v>
      </c>
      <c r="K6" s="166"/>
      <c r="L6" s="10"/>
      <c r="M6" s="10"/>
      <c r="O6" s="67">
        <f>COUNTIF(F14:F18,"IMP")*0.017</f>
        <v>1.7000000000000001E-2</v>
      </c>
      <c r="P6" s="16" t="str">
        <f>P3</f>
        <v>0,6</v>
      </c>
      <c r="Q6" s="16">
        <f t="shared" ref="Q6:Q19" si="1">P6*O6</f>
        <v>1.0200000000000001E-2</v>
      </c>
      <c r="R6" s="157">
        <f>IF($M$2="SI",Q6*$B$22/0.5*$S$1,Q6*$B$22/0.5*$S$2)</f>
        <v>6.7407841792704393E-3</v>
      </c>
      <c r="S6" s="176">
        <f t="shared" ref="S6:S19" si="2">(1-R6)</f>
        <v>0.99325921582072951</v>
      </c>
      <c r="T6" s="177">
        <f>R6*S5*PRODUCT(S7:S19)</f>
        <v>6.3461637806961875E-3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3.4440281935409813E-4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>
        <f t="shared" ref="AB6:AB19" si="4">IF($M$2="SI",AA6*$C$22/0.5*$S$1,AA6*$C$22/0.5*$S$2)</f>
        <v>0</v>
      </c>
      <c r="AC6" s="176">
        <f t="shared" ref="AC6:AC19" si="5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BH6">
        <v>0</v>
      </c>
      <c r="BI6">
        <v>3</v>
      </c>
      <c r="BJ6" s="107">
        <f t="shared" si="0"/>
        <v>0.10626243271662121</v>
      </c>
      <c r="BL6">
        <f>BH14+1</f>
        <v>2</v>
      </c>
      <c r="BM6">
        <v>2</v>
      </c>
      <c r="BN6" s="107">
        <f>$H$27*H41</f>
        <v>4.0123205045022127E-2</v>
      </c>
      <c r="BP6">
        <f>BL5+1</f>
        <v>2</v>
      </c>
      <c r="BQ6">
        <v>1</v>
      </c>
      <c r="BR6" s="107">
        <f>$H$27*H40</f>
        <v>2.6523951511908138E-2</v>
      </c>
    </row>
    <row r="7" spans="1:70" x14ac:dyDescent="0.25">
      <c r="A7" s="5" t="s">
        <v>2</v>
      </c>
      <c r="B7" s="168">
        <v>17</v>
      </c>
      <c r="C7" s="169">
        <v>13.25</v>
      </c>
      <c r="E7" s="192" t="s">
        <v>18</v>
      </c>
      <c r="F7" s="167" t="s">
        <v>21</v>
      </c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BH7">
        <v>0</v>
      </c>
      <c r="BI7">
        <v>4</v>
      </c>
      <c r="BJ7" s="107">
        <f t="shared" si="0"/>
        <v>6.7041558461522571E-2</v>
      </c>
      <c r="BL7">
        <f>BH23+1</f>
        <v>3</v>
      </c>
      <c r="BM7">
        <v>3</v>
      </c>
      <c r="BN7" s="107">
        <f>$H$28*H42</f>
        <v>9.3452225708433295E-3</v>
      </c>
      <c r="BP7">
        <f>BP5+1</f>
        <v>3</v>
      </c>
      <c r="BQ7">
        <v>0</v>
      </c>
      <c r="BR7" s="107">
        <f>$H$28*H39</f>
        <v>2.0375051348640329E-3</v>
      </c>
    </row>
    <row r="8" spans="1:70" x14ac:dyDescent="0.25">
      <c r="A8" s="5" t="s">
        <v>3</v>
      </c>
      <c r="B8" s="168">
        <v>17</v>
      </c>
      <c r="C8" s="169">
        <v>12.5</v>
      </c>
      <c r="E8" s="192" t="s">
        <v>18</v>
      </c>
      <c r="F8" s="167" t="s">
        <v>131</v>
      </c>
      <c r="G8" s="167"/>
      <c r="H8" s="10"/>
      <c r="I8" s="10"/>
      <c r="J8" s="166" t="s">
        <v>16</v>
      </c>
      <c r="K8" s="166"/>
      <c r="L8" s="10"/>
      <c r="M8" s="10"/>
      <c r="O8" s="67">
        <f>COUNTIF(F6:F18,"IMP")*0.01</f>
        <v>0.01</v>
      </c>
      <c r="P8" s="16" t="str">
        <f>P3</f>
        <v>0,6</v>
      </c>
      <c r="Q8" s="16">
        <f t="shared" si="1"/>
        <v>6.0000000000000001E-3</v>
      </c>
      <c r="R8" s="157">
        <f t="shared" si="6"/>
        <v>3.9651671642767288E-3</v>
      </c>
      <c r="S8" s="176">
        <f t="shared" si="2"/>
        <v>0.99603483283572325</v>
      </c>
      <c r="T8" s="177">
        <f>R8*PRODUCT(S5:S7)*PRODUCT(S9:S19)</f>
        <v>3.7226347870363929E-3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1.8720571170598822E-4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>
        <f t="shared" si="4"/>
        <v>0</v>
      </c>
      <c r="AC8" s="176">
        <f t="shared" si="5"/>
        <v>1</v>
      </c>
      <c r="AD8" s="177">
        <f>AB8*PRODUCT(AC5:AC7)*PRODUCT(AC9:AC19)</f>
        <v>0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BH8">
        <v>0</v>
      </c>
      <c r="BI8">
        <v>5</v>
      </c>
      <c r="BJ8" s="107">
        <f t="shared" si="0"/>
        <v>3.0519201329064983E-2</v>
      </c>
      <c r="BL8">
        <f>BH31+1</f>
        <v>4</v>
      </c>
      <c r="BM8">
        <v>4</v>
      </c>
      <c r="BN8" s="107">
        <f>$H$29*H43</f>
        <v>1.0366278537454606E-3</v>
      </c>
      <c r="BP8">
        <f>BP6+1</f>
        <v>3</v>
      </c>
      <c r="BQ8">
        <v>1</v>
      </c>
      <c r="BR8" s="107">
        <f>$H$28*H40</f>
        <v>6.6826387197139684E-3</v>
      </c>
    </row>
    <row r="9" spans="1:70" x14ac:dyDescent="0.25">
      <c r="A9" s="5" t="s">
        <v>4</v>
      </c>
      <c r="B9" s="168">
        <v>17.25</v>
      </c>
      <c r="C9" s="169">
        <v>13</v>
      </c>
      <c r="E9" s="192" t="s">
        <v>18</v>
      </c>
      <c r="F9" s="167" t="s">
        <v>21</v>
      </c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>
        <f t="shared" si="6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>
        <f t="shared" si="4"/>
        <v>0</v>
      </c>
      <c r="AC9" s="176">
        <f t="shared" si="5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BH9">
        <v>0</v>
      </c>
      <c r="BI9">
        <v>6</v>
      </c>
      <c r="BJ9" s="107">
        <f t="shared" si="0"/>
        <v>1.0328838510628508E-2</v>
      </c>
      <c r="BL9">
        <f>BH38+1</f>
        <v>5</v>
      </c>
      <c r="BM9">
        <v>5</v>
      </c>
      <c r="BN9" s="107">
        <f>$H$30*H44</f>
        <v>6.1452916290795646E-5</v>
      </c>
      <c r="BP9">
        <f>BL6+1</f>
        <v>3</v>
      </c>
      <c r="BQ9">
        <v>2</v>
      </c>
      <c r="BR9" s="107">
        <f>$H$28*H41</f>
        <v>1.0108934314425553E-2</v>
      </c>
    </row>
    <row r="10" spans="1:70" x14ac:dyDescent="0.25">
      <c r="A10" s="6" t="s">
        <v>5</v>
      </c>
      <c r="B10" s="168">
        <v>9.5</v>
      </c>
      <c r="C10" s="169">
        <v>11.75</v>
      </c>
      <c r="E10" s="192" t="s">
        <v>17</v>
      </c>
      <c r="F10" s="167" t="s">
        <v>21</v>
      </c>
      <c r="G10" s="167"/>
      <c r="H10" s="10"/>
      <c r="I10" s="10"/>
      <c r="J10" s="166" t="s">
        <v>21</v>
      </c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>
        <f t="shared" si="6"/>
        <v>0</v>
      </c>
      <c r="S10" s="176">
        <f t="shared" si="2"/>
        <v>1</v>
      </c>
      <c r="T10" s="177">
        <f>R10*PRODUCT(S5:S9)*PRODUCT(S11:S19)</f>
        <v>0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0</v>
      </c>
      <c r="W10" s="186" t="s">
        <v>46</v>
      </c>
      <c r="X10" s="15" t="s">
        <v>47</v>
      </c>
      <c r="Y10" s="69">
        <f>COUNTIF(J14:J18,"RAP")*0.085</f>
        <v>0.17</v>
      </c>
      <c r="Z10" s="146" t="str">
        <f>AB3</f>
        <v>0,72</v>
      </c>
      <c r="AA10" s="19">
        <f t="shared" si="3"/>
        <v>0.12240000000000001</v>
      </c>
      <c r="AB10" s="157">
        <f t="shared" si="4"/>
        <v>0.13364337329336176</v>
      </c>
      <c r="AC10" s="176">
        <f t="shared" si="5"/>
        <v>0.86635662670663827</v>
      </c>
      <c r="AD10" s="177">
        <f>AB10*PRODUCT(AC5:AC9)*PRODUCT(AC11:AC19)</f>
        <v>9.6089761045029518E-2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3.3460946602202606E-2</v>
      </c>
      <c r="BH10">
        <v>0</v>
      </c>
      <c r="BI10">
        <v>7</v>
      </c>
      <c r="BJ10" s="107">
        <f t="shared" si="0"/>
        <v>2.6360916452126308E-3</v>
      </c>
      <c r="BL10">
        <f>BH44+1</f>
        <v>6</v>
      </c>
      <c r="BM10">
        <v>6</v>
      </c>
      <c r="BN10" s="107">
        <f>$H$31*H45</f>
        <v>2.0752516803582821E-6</v>
      </c>
      <c r="BP10">
        <f>BP7+1</f>
        <v>4</v>
      </c>
      <c r="BQ10">
        <v>0</v>
      </c>
      <c r="BR10" s="107">
        <f>$H$29*H39</f>
        <v>3.5823464920052805E-4</v>
      </c>
    </row>
    <row r="11" spans="1:70" x14ac:dyDescent="0.25">
      <c r="A11" s="6" t="s">
        <v>6</v>
      </c>
      <c r="B11" s="168">
        <v>6</v>
      </c>
      <c r="C11" s="169">
        <v>12.25</v>
      </c>
      <c r="E11" s="192" t="s">
        <v>19</v>
      </c>
      <c r="F11" s="167" t="s">
        <v>21</v>
      </c>
      <c r="G11" s="167"/>
      <c r="H11" s="10"/>
      <c r="I11" s="10"/>
      <c r="J11" s="166" t="s">
        <v>131</v>
      </c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>
        <f t="shared" si="6"/>
        <v>0</v>
      </c>
      <c r="S11" s="176">
        <f t="shared" si="2"/>
        <v>1</v>
      </c>
      <c r="T11" s="177">
        <f>R11*PRODUCT(S5:S10)*PRODUCT(S12:S19)</f>
        <v>0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0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0.17</v>
      </c>
      <c r="Z11" s="146" t="str">
        <f>AB3</f>
        <v>0,72</v>
      </c>
      <c r="AA11" s="19">
        <f t="shared" si="3"/>
        <v>0.12240000000000001</v>
      </c>
      <c r="AB11" s="157">
        <f t="shared" si="4"/>
        <v>0.13364337329336176</v>
      </c>
      <c r="AC11" s="176">
        <f t="shared" si="5"/>
        <v>0.86635662670663827</v>
      </c>
      <c r="AD11" s="177">
        <f>AB11*PRODUCT(AC5:AC10)*PRODUCT(AC12:AC19)</f>
        <v>9.6089761045029504E-2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1.8638228786991354E-2</v>
      </c>
      <c r="BH11">
        <v>0</v>
      </c>
      <c r="BI11">
        <v>8</v>
      </c>
      <c r="BJ11" s="107">
        <f t="shared" si="0"/>
        <v>5.0840759071686269E-4</v>
      </c>
      <c r="BL11">
        <f>BH50+1</f>
        <v>7</v>
      </c>
      <c r="BM11">
        <v>7</v>
      </c>
      <c r="BN11" s="107">
        <f>$H$32*H46</f>
        <v>4.1188175616151629E-8</v>
      </c>
      <c r="BP11">
        <f>BP8+1</f>
        <v>4</v>
      </c>
      <c r="BQ11">
        <v>1</v>
      </c>
      <c r="BR11" s="107">
        <f>$H$29*H40</f>
        <v>1.1749431677630364E-3</v>
      </c>
    </row>
    <row r="12" spans="1:70" x14ac:dyDescent="0.25">
      <c r="A12" s="6" t="s">
        <v>7</v>
      </c>
      <c r="B12" s="168">
        <v>8.25</v>
      </c>
      <c r="C12" s="169">
        <v>12.75</v>
      </c>
      <c r="E12" s="192" t="s">
        <v>19</v>
      </c>
      <c r="F12" s="167"/>
      <c r="G12" s="167"/>
      <c r="H12" s="10"/>
      <c r="I12" s="10"/>
      <c r="J12" s="166" t="s">
        <v>144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BH12">
        <v>0</v>
      </c>
      <c r="BI12">
        <v>9</v>
      </c>
      <c r="BJ12" s="107">
        <f t="shared" si="0"/>
        <v>7.3352438838452121E-5</v>
      </c>
      <c r="BL12">
        <f>BH54+1</f>
        <v>8</v>
      </c>
      <c r="BM12">
        <v>8</v>
      </c>
      <c r="BN12" s="107">
        <f>$H$33*H47</f>
        <v>4.8156511983019254E-10</v>
      </c>
      <c r="BP12">
        <f>BP9+1</f>
        <v>4</v>
      </c>
      <c r="BQ12">
        <v>2</v>
      </c>
      <c r="BR12" s="107">
        <f>$H$29*H41</f>
        <v>1.7773552939590901E-3</v>
      </c>
    </row>
    <row r="13" spans="1:70" x14ac:dyDescent="0.25">
      <c r="A13" s="7" t="s">
        <v>8</v>
      </c>
      <c r="B13" s="168">
        <v>11.25</v>
      </c>
      <c r="C13" s="169">
        <v>10</v>
      </c>
      <c r="E13" s="192" t="s">
        <v>19</v>
      </c>
      <c r="F13" s="167" t="s">
        <v>21</v>
      </c>
      <c r="G13" s="167"/>
      <c r="H13" s="10"/>
      <c r="I13" s="10"/>
      <c r="J13" s="166" t="s">
        <v>123</v>
      </c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>
        <f t="shared" si="6"/>
        <v>3.3043059702306074E-2</v>
      </c>
      <c r="S13" s="176">
        <f t="shared" si="2"/>
        <v>0.96695694029769397</v>
      </c>
      <c r="T13" s="177">
        <f>R13*PRODUCT(S5:S12)*PRODUCT(S14:S19)</f>
        <v>3.1954834830189981E-2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5.1499318347803641E-4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>
        <f t="shared" si="4"/>
        <v>5.4592881247288297E-2</v>
      </c>
      <c r="AC13" s="176">
        <f t="shared" si="5"/>
        <v>0.94540711875271166</v>
      </c>
      <c r="AD13" s="177">
        <f>AB13*PRODUCT(AC5:AC12)*PRODUCT(AC14:AC19)</f>
        <v>3.5970256389777647E-2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4.8999218558915944E-3</v>
      </c>
      <c r="BH13">
        <v>0</v>
      </c>
      <c r="BI13">
        <v>10</v>
      </c>
      <c r="BJ13" s="107">
        <f t="shared" si="0"/>
        <v>7.7137692911087686E-6</v>
      </c>
      <c r="BL13">
        <f>BH57+1</f>
        <v>9</v>
      </c>
      <c r="BM13">
        <v>9</v>
      </c>
      <c r="BN13" s="107">
        <f>$H$34*H48</f>
        <v>3.2115311537345428E-12</v>
      </c>
      <c r="BP13">
        <f>BL7+1</f>
        <v>4</v>
      </c>
      <c r="BQ13">
        <v>3</v>
      </c>
      <c r="BR13" s="107">
        <f>$H$29*H42</f>
        <v>1.643079309142611E-3</v>
      </c>
    </row>
    <row r="14" spans="1:70" x14ac:dyDescent="0.25">
      <c r="A14" s="7" t="s">
        <v>9</v>
      </c>
      <c r="B14" s="168">
        <v>8.75</v>
      </c>
      <c r="C14" s="169">
        <v>9</v>
      </c>
      <c r="E14" s="192" t="s">
        <v>20</v>
      </c>
      <c r="F14" s="167" t="s">
        <v>16</v>
      </c>
      <c r="G14" s="167"/>
      <c r="H14" s="10"/>
      <c r="I14" s="10"/>
      <c r="J14" s="166" t="s">
        <v>123</v>
      </c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COUNTIF(J6:J18,"CAB")*0.095</f>
        <v>9.5000000000000001E-2</v>
      </c>
      <c r="Z14" s="147">
        <v>0.95</v>
      </c>
      <c r="AA14" s="19">
        <f t="shared" si="3"/>
        <v>9.0249999999999997E-2</v>
      </c>
      <c r="AB14" s="157">
        <f t="shared" si="4"/>
        <v>9.8540150651355379E-2</v>
      </c>
      <c r="AC14" s="176">
        <f t="shared" si="5"/>
        <v>0.90145984934864465</v>
      </c>
      <c r="AD14" s="177">
        <f>AB14*PRODUCT(AC5:AC13)*PRODUCT(AC15:AC19)</f>
        <v>6.8091549883540436E-2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1.8323260094279762E-3</v>
      </c>
      <c r="BH14">
        <v>1</v>
      </c>
      <c r="BI14">
        <v>2</v>
      </c>
      <c r="BJ14" s="107">
        <f t="shared" ref="BJ14:BJ22" si="7">$H$26*H41</f>
        <v>9.9188341556927476E-2</v>
      </c>
      <c r="BL14">
        <f>BP39+1</f>
        <v>10</v>
      </c>
      <c r="BM14">
        <v>10</v>
      </c>
      <c r="BN14" s="107">
        <f>$H$35*H49</f>
        <v>1.1284933207097914E-14</v>
      </c>
      <c r="BP14">
        <f>BP10+1</f>
        <v>5</v>
      </c>
      <c r="BQ14">
        <v>0</v>
      </c>
      <c r="BR14" s="107">
        <f>$H$30*H39</f>
        <v>4.6650698429418442E-5</v>
      </c>
    </row>
    <row r="15" spans="1:70" x14ac:dyDescent="0.25">
      <c r="A15" s="189" t="s">
        <v>71</v>
      </c>
      <c r="B15" s="170">
        <v>6.25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16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BH15">
        <v>1</v>
      </c>
      <c r="BI15">
        <v>3</v>
      </c>
      <c r="BJ15" s="107">
        <f t="shared" si="7"/>
        <v>9.1694841360237866E-2</v>
      </c>
      <c r="BP15">
        <f>BP11+1</f>
        <v>5</v>
      </c>
      <c r="BQ15">
        <v>1</v>
      </c>
      <c r="BR15" s="107">
        <f>$H$30*H40</f>
        <v>1.5300563335607744E-4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 t="s">
        <v>123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BH16">
        <v>1</v>
      </c>
      <c r="BI16">
        <v>4</v>
      </c>
      <c r="BJ16" s="107">
        <f t="shared" si="7"/>
        <v>5.7850784237794647E-2</v>
      </c>
      <c r="BP16">
        <f>BP12+1</f>
        <v>5</v>
      </c>
      <c r="BQ16">
        <v>2</v>
      </c>
      <c r="BR16" s="107">
        <f>$H$30*H41</f>
        <v>2.3145406510915935E-4</v>
      </c>
    </row>
    <row r="17" spans="1:70" x14ac:dyDescent="0.25">
      <c r="A17" s="188" t="s">
        <v>10</v>
      </c>
      <c r="B17" s="172" t="s">
        <v>153</v>
      </c>
      <c r="C17" s="173" t="s">
        <v>11</v>
      </c>
      <c r="E17" s="192" t="s">
        <v>22</v>
      </c>
      <c r="F17" s="167" t="s">
        <v>147</v>
      </c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1.5860668657106915E-2</v>
      </c>
      <c r="S17" s="176">
        <f t="shared" si="2"/>
        <v>0.98413933134289311</v>
      </c>
      <c r="T17" s="177">
        <f>R17*PRODUCT(S5:S16)*PRODUCT(S18:S19)</f>
        <v>1.5070524263082613E-2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(0.02*2)*IF(COUNTBLANK(J14:J15)&lt;&gt;0,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2.6204582998698385E-2</v>
      </c>
      <c r="AC17" s="176">
        <f t="shared" si="5"/>
        <v>0.97379541700130157</v>
      </c>
      <c r="AD17" s="177">
        <f>AB17*PRODUCT(AC5:AC16)*PRODUCT(AC18:AC19)</f>
        <v>1.6762388909477753E-2</v>
      </c>
      <c r="AE17" s="177">
        <f>AB17*AB18*PRODUCT(AC5:AC16)*AC19+AB17*AB19*PRODUCT(AC5:AC16)*AC18</f>
        <v>0</v>
      </c>
      <c r="BH17">
        <v>1</v>
      </c>
      <c r="BI17">
        <v>5</v>
      </c>
      <c r="BJ17" s="107">
        <f t="shared" si="7"/>
        <v>2.6335302634870411E-2</v>
      </c>
      <c r="BP17">
        <f>BP13+1</f>
        <v>5</v>
      </c>
      <c r="BQ17">
        <v>3</v>
      </c>
      <c r="BR17" s="107">
        <f>$H$30*H42</f>
        <v>2.1396812820169867E-4</v>
      </c>
    </row>
    <row r="18" spans="1:70" x14ac:dyDescent="0.25">
      <c r="A18" s="188" t="s">
        <v>12</v>
      </c>
      <c r="B18" s="172">
        <v>16</v>
      </c>
      <c r="C18" s="173">
        <v>20</v>
      </c>
      <c r="E18" s="192" t="s">
        <v>22</v>
      </c>
      <c r="F18" s="167"/>
      <c r="G18" s="167"/>
      <c r="H18" s="10"/>
      <c r="I18" s="10"/>
      <c r="J18" s="166" t="s">
        <v>21</v>
      </c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BH18">
        <v>1</v>
      </c>
      <c r="BI18">
        <v>6</v>
      </c>
      <c r="BJ18" s="107">
        <f t="shared" si="7"/>
        <v>8.9128508020638823E-3</v>
      </c>
      <c r="BP18">
        <f>BL8+1</f>
        <v>5</v>
      </c>
      <c r="BQ18">
        <v>4</v>
      </c>
      <c r="BR18" s="107">
        <f>$H$30*H43</f>
        <v>1.3499367941247008E-4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BH19">
        <v>1</v>
      </c>
      <c r="BI19">
        <v>7</v>
      </c>
      <c r="BJ19" s="107">
        <f t="shared" si="7"/>
        <v>2.2747079945310928E-3</v>
      </c>
      <c r="BP19">
        <f>BP15+1</f>
        <v>6</v>
      </c>
      <c r="BQ19">
        <v>1</v>
      </c>
      <c r="BR19" s="107">
        <f>$H$31*H40</f>
        <v>1.5267128975458485E-5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0.93511162687401639</v>
      </c>
      <c r="T20" s="181">
        <f>SUM(T5:T19)</f>
        <v>6.3440321441701364E-2</v>
      </c>
      <c r="U20" s="181">
        <f>SUM(U5:U19)</f>
        <v>1.4340729693324381E-3</v>
      </c>
      <c r="V20" s="181">
        <f>1-S20-T20-U20</f>
        <v>1.3978714949809635E-5</v>
      </c>
      <c r="W20" s="21"/>
      <c r="X20" s="22"/>
      <c r="Y20" s="22"/>
      <c r="Z20" s="22"/>
      <c r="AA20" s="22"/>
      <c r="AB20" s="23"/>
      <c r="AC20" s="184">
        <f>PRODUCT(AC5:AC19)</f>
        <v>0.62291155325210379</v>
      </c>
      <c r="AD20" s="181">
        <f>SUM(AD5:AD19)</f>
        <v>0.31300371727285481</v>
      </c>
      <c r="AE20" s="181">
        <f>SUM(AE5:AE19)</f>
        <v>5.8831423254513529E-2</v>
      </c>
      <c r="AF20" s="181">
        <f>1-AC20-AD20-AE20</f>
        <v>5.253306220527873E-3</v>
      </c>
      <c r="BH20">
        <v>1</v>
      </c>
      <c r="BI20">
        <v>8</v>
      </c>
      <c r="BJ20" s="107">
        <f t="shared" si="7"/>
        <v>4.3870963787780463E-4</v>
      </c>
      <c r="BP20">
        <f>BP16+1</f>
        <v>6</v>
      </c>
      <c r="BQ20">
        <v>2</v>
      </c>
      <c r="BR20" s="107">
        <f>$H$31*H41</f>
        <v>2.3094829820364542E-5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0.93511162687401639</v>
      </c>
      <c r="T21" s="183">
        <f>T20*V1</f>
        <v>6.3440321441701364E-2</v>
      </c>
      <c r="U21" s="183">
        <f>U20*V1</f>
        <v>1.4340729693324381E-3</v>
      </c>
      <c r="V21" s="183">
        <f>V20*V1</f>
        <v>1.3978714949809635E-5</v>
      </c>
      <c r="W21" s="21"/>
      <c r="X21" s="22"/>
      <c r="Y21" s="22"/>
      <c r="Z21" s="22"/>
      <c r="AA21" s="22"/>
      <c r="AB21" s="23"/>
      <c r="AC21" s="185">
        <f>1-AD21-AE21-AF21</f>
        <v>0.62291155325210379</v>
      </c>
      <c r="AD21" s="183">
        <f>AD20*V1</f>
        <v>0.31300371727285481</v>
      </c>
      <c r="AE21" s="183">
        <f>AE20*V1</f>
        <v>5.8831423254513529E-2</v>
      </c>
      <c r="AF21" s="183">
        <f>AF20*V1</f>
        <v>5.253306220527873E-3</v>
      </c>
      <c r="BH21" s="18">
        <v>1</v>
      </c>
      <c r="BI21">
        <v>9</v>
      </c>
      <c r="BJ21" s="107">
        <f t="shared" si="7"/>
        <v>6.3296501601984814E-5</v>
      </c>
      <c r="BP21">
        <f>BP17+1</f>
        <v>6</v>
      </c>
      <c r="BQ21">
        <v>3</v>
      </c>
      <c r="BR21" s="107">
        <f>$H$31*H42</f>
        <v>2.1350057107312484E-5</v>
      </c>
    </row>
    <row r="22" spans="1:70" x14ac:dyDescent="0.25">
      <c r="A22" s="26" t="s">
        <v>77</v>
      </c>
      <c r="B22" s="62">
        <f>(B6)/((B6)+(C6))</f>
        <v>0.37704918032786883</v>
      </c>
      <c r="C22" s="63">
        <f>1-B22</f>
        <v>0.62295081967213117</v>
      </c>
      <c r="D22" s="24"/>
      <c r="E22" s="24"/>
      <c r="V22" s="59">
        <f>SUM(V25:V35)</f>
        <v>1</v>
      </c>
      <c r="AS22" s="82">
        <f>Y23+AA23+AC23+AE23+AG23+AI23+AK23+AM23+AO23+AQ23+AS23</f>
        <v>0.99999999999999989</v>
      </c>
      <c r="BH22">
        <v>1</v>
      </c>
      <c r="BI22">
        <v>10</v>
      </c>
      <c r="BJ22" s="107">
        <f t="shared" si="7"/>
        <v>6.656283254157586E-6</v>
      </c>
      <c r="BP22">
        <f>BP18+1</f>
        <v>6</v>
      </c>
      <c r="BQ22">
        <v>4</v>
      </c>
      <c r="BR22" s="107">
        <f>$H$31*H43</f>
        <v>1.3469869502553275E-5</v>
      </c>
    </row>
    <row r="23" spans="1:70" ht="15.75" thickBot="1" x14ac:dyDescent="0.3">
      <c r="A23" s="40" t="s">
        <v>67</v>
      </c>
      <c r="B23" s="56">
        <f>((B22^2.8)/((B22^2.8)+(C22^2.8)))*B21</f>
        <v>0.98444134357593405</v>
      </c>
      <c r="C23" s="57">
        <f>B21-B23</f>
        <v>4.0155586564240657</v>
      </c>
      <c r="D23" s="151">
        <f>SUM(D25:D30)</f>
        <v>1</v>
      </c>
      <c r="E23" s="151">
        <f>SUM(E25:E30)</f>
        <v>1</v>
      </c>
      <c r="H23" s="59">
        <f>SUM(H25:H35)</f>
        <v>0.99999999998589284</v>
      </c>
      <c r="J23" s="59">
        <f>SUM(J25:J35)</f>
        <v>0.99999999999999989</v>
      </c>
      <c r="K23" s="59"/>
      <c r="L23" s="59">
        <f>SUM(L25:L35)</f>
        <v>0.99999999999999989</v>
      </c>
      <c r="N23" s="59">
        <f>SUM(N25:N35)</f>
        <v>0.99999999999999978</v>
      </c>
      <c r="O23" s="34"/>
      <c r="P23" s="59">
        <f>SUM(P25:P35)</f>
        <v>0.99999999999999978</v>
      </c>
      <c r="R23" s="59">
        <f>SUM(R25:R35)</f>
        <v>0.99999999999999967</v>
      </c>
      <c r="T23" s="59">
        <f>SUM(T25:T35)</f>
        <v>1</v>
      </c>
      <c r="V23" s="59">
        <f>SUM(V25:V34)</f>
        <v>0.99954534137428697</v>
      </c>
      <c r="Y23" s="80">
        <f>SUM(Y25:Y35)</f>
        <v>1.6229467169262345E-2</v>
      </c>
      <c r="Z23" s="81"/>
      <c r="AA23" s="80">
        <f>SUM(AA25:AA35)</f>
        <v>7.7974617200652865E-2</v>
      </c>
      <c r="AB23" s="81"/>
      <c r="AC23" s="80">
        <f>SUM(AC25:AC35)</f>
        <v>0.17345258971358873</v>
      </c>
      <c r="AD23" s="81"/>
      <c r="AE23" s="80">
        <f>SUM(AE25:AE35)</f>
        <v>0.2369998587488675</v>
      </c>
      <c r="AF23" s="81"/>
      <c r="AG23" s="80">
        <f>SUM(AG25:AG35)</f>
        <v>0.22247866823821943</v>
      </c>
      <c r="AH23" s="81"/>
      <c r="AI23" s="80">
        <f>SUM(AI25:AI35)</f>
        <v>0.15201096236512621</v>
      </c>
      <c r="AJ23" s="81"/>
      <c r="AK23" s="80">
        <f>SUM(AK25:AK35)</f>
        <v>7.8111400783389781E-2</v>
      </c>
      <c r="AL23" s="81"/>
      <c r="AM23" s="80">
        <f>SUM(AM25:AM35)</f>
        <v>3.0744525610730777E-2</v>
      </c>
      <c r="AN23" s="81"/>
      <c r="AO23" s="80">
        <f>SUM(AO25:AO35)</f>
        <v>9.347448183977345E-3</v>
      </c>
      <c r="AP23" s="81"/>
      <c r="AQ23" s="80">
        <f>SUM(AQ25:AQ35)</f>
        <v>2.1958033604718009E-3</v>
      </c>
      <c r="AR23" s="81"/>
      <c r="AS23" s="80">
        <f>SUM(AS25:AS35)</f>
        <v>4.546586257130334E-4</v>
      </c>
      <c r="BH23">
        <f t="shared" ref="BH23:BH30" si="8">BH15+1</f>
        <v>2</v>
      </c>
      <c r="BI23">
        <v>3</v>
      </c>
      <c r="BJ23" s="107">
        <f t="shared" ref="BJ23:BJ30" si="9">$H$27*H42</f>
        <v>3.7091969315325705E-2</v>
      </c>
      <c r="BP23">
        <f>BL9+1</f>
        <v>6</v>
      </c>
      <c r="BQ23">
        <v>5</v>
      </c>
      <c r="BR23" s="107">
        <f>$H$31*H44</f>
        <v>6.1318631108582315E-6</v>
      </c>
    </row>
    <row r="24" spans="1:70" ht="15.75" thickBot="1" x14ac:dyDescent="0.3">
      <c r="A24" s="26" t="s">
        <v>76</v>
      </c>
      <c r="B24" s="64">
        <f>B23/B21</f>
        <v>0.1968882687151868</v>
      </c>
      <c r="C24" s="65">
        <f>C23/B21</f>
        <v>0.80311173128481317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2.340152926799546E-2</v>
      </c>
      <c r="BP24">
        <f>BH49+1</f>
        <v>7</v>
      </c>
      <c r="BQ24">
        <v>0</v>
      </c>
      <c r="BR24" s="107">
        <f t="shared" ref="BR24:BR30" si="10">$H$32*H39</f>
        <v>3.6199357972019647E-7</v>
      </c>
    </row>
    <row r="25" spans="1:70" x14ac:dyDescent="0.25">
      <c r="A25" s="26" t="s">
        <v>69</v>
      </c>
      <c r="B25" s="117">
        <f>1/(1+EXP(-3.1416*4*((B11/(B11+C8))-(3.1416/6))))</f>
        <v>7.5565815647523946E-2</v>
      </c>
      <c r="C25" s="118">
        <f>1/(1+EXP(-3.1416*4*((C11/(C11+B8))-(3.1416/6))))</f>
        <v>0.21133188865330346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0.43147941403525836</v>
      </c>
      <c r="I25" s="97">
        <v>0</v>
      </c>
      <c r="J25" s="98">
        <f t="shared" ref="J25:J35" si="11">Y25+AA25+AC25+AE25+AG25+AI25+AK25+AM25+AO25+AQ25+AS25</f>
        <v>0.46142022153831025</v>
      </c>
      <c r="K25" s="97">
        <v>0</v>
      </c>
      <c r="L25" s="98">
        <f>S21</f>
        <v>0.93511162687401639</v>
      </c>
      <c r="M25" s="84">
        <v>0</v>
      </c>
      <c r="N25" s="71">
        <f>(1-$B$24)^$B$21</f>
        <v>0.33410259518432062</v>
      </c>
      <c r="O25" s="70">
        <v>0</v>
      </c>
      <c r="P25" s="71">
        <f>N25</f>
        <v>0.33410259518432062</v>
      </c>
      <c r="Q25" s="12">
        <v>0</v>
      </c>
      <c r="R25" s="73">
        <f>P25*N25</f>
        <v>0.11162454410889802</v>
      </c>
      <c r="S25" s="70">
        <v>0</v>
      </c>
      <c r="T25" s="135">
        <f>(1-$B$33)^(INT(C23*2*(1-C31)))</f>
        <v>0.14539335679999996</v>
      </c>
      <c r="U25" s="140">
        <v>0</v>
      </c>
      <c r="V25" s="86">
        <f>R25*T25</f>
        <v>1.6229467169262345E-2</v>
      </c>
      <c r="W25" s="136">
        <f>B31</f>
        <v>0.21089409752360727</v>
      </c>
      <c r="X25" s="12">
        <v>0</v>
      </c>
      <c r="Y25" s="79">
        <f>V25</f>
        <v>1.6229467169262345E-2</v>
      </c>
      <c r="Z25" s="12">
        <v>0</v>
      </c>
      <c r="AA25" s="78">
        <f>((1-W25)^Z26)*V26</f>
        <v>6.1530230676372429E-2</v>
      </c>
      <c r="AB25" s="12">
        <v>0</v>
      </c>
      <c r="AC25" s="79">
        <f>(((1-$W$25)^AB27))*V27</f>
        <v>0.1080068679211883</v>
      </c>
      <c r="AD25" s="12">
        <v>0</v>
      </c>
      <c r="AE25" s="79">
        <f>(((1-$W$25)^AB28))*V28</f>
        <v>0.11645387999124616</v>
      </c>
      <c r="AF25" s="12">
        <v>0</v>
      </c>
      <c r="AG25" s="79">
        <f>(((1-$W$25)^AB29))*V29</f>
        <v>8.6263990377579411E-2</v>
      </c>
      <c r="AH25" s="12">
        <v>0</v>
      </c>
      <c r="AI25" s="79">
        <f>(((1-$W$25)^AB30))*V30</f>
        <v>4.6510538517778345E-2</v>
      </c>
      <c r="AJ25" s="12">
        <v>0</v>
      </c>
      <c r="AK25" s="79">
        <f>(((1-$W$25)^AB31))*V31</f>
        <v>1.8859326425087534E-2</v>
      </c>
      <c r="AL25" s="12">
        <v>0</v>
      </c>
      <c r="AM25" s="79">
        <f>(((1-$W$25)^AB32))*V32</f>
        <v>5.8575342885988447E-3</v>
      </c>
      <c r="AN25" s="12">
        <v>0</v>
      </c>
      <c r="AO25" s="79">
        <f>(((1-$W$25)^AB33))*V33</f>
        <v>1.405320564813948E-3</v>
      </c>
      <c r="AP25" s="12">
        <v>0</v>
      </c>
      <c r="AQ25" s="79">
        <f>(((1-$W$25)^AB34))*V34</f>
        <v>2.6050200631686459E-4</v>
      </c>
      <c r="AR25" s="12">
        <v>0</v>
      </c>
      <c r="AS25" s="79">
        <f>(((1-$W$25)^AB35))*V35</f>
        <v>4.2563600065966194E-5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1.0653033723072854E-2</v>
      </c>
      <c r="BP25">
        <f>BP19+1</f>
        <v>7</v>
      </c>
      <c r="BQ25">
        <v>1</v>
      </c>
      <c r="BR25" s="107">
        <f t="shared" si="10"/>
        <v>1.1872717622807267E-6</v>
      </c>
    </row>
    <row r="26" spans="1:70" x14ac:dyDescent="0.25">
      <c r="A26" s="40" t="s">
        <v>24</v>
      </c>
      <c r="B26" s="119">
        <f>1/(1+EXP(-3.1416*4*((B10/(B10+C9))-(3.1416/6))))</f>
        <v>0.21858119399305384</v>
      </c>
      <c r="C26" s="120">
        <f>1/(1+EXP(-3.1416*4*((C10/(C10+B9))-(3.1416/6))))</f>
        <v>0.18419078616374182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0.37232759883900973</v>
      </c>
      <c r="I26" s="93">
        <v>1</v>
      </c>
      <c r="J26" s="86">
        <f t="shared" si="11"/>
        <v>0.36685989330676627</v>
      </c>
      <c r="K26" s="93">
        <v>1</v>
      </c>
      <c r="L26" s="86">
        <f>T21</f>
        <v>6.3440321441701364E-2</v>
      </c>
      <c r="M26" s="85">
        <v>1</v>
      </c>
      <c r="N26" s="71">
        <f>(($B$24)^M26)*((1-($B$24))^($B$21-M26))*HLOOKUP($B$21,$AV$24:$BF$34,M26+1)</f>
        <v>0.40953754612609106</v>
      </c>
      <c r="O26" s="72">
        <v>1</v>
      </c>
      <c r="P26" s="71">
        <f t="shared" ref="P26:P30" si="12">N26</f>
        <v>0.40953754612609106</v>
      </c>
      <c r="Q26" s="28">
        <v>1</v>
      </c>
      <c r="R26" s="37">
        <f>N26*P25+P26*N25</f>
        <v>0.27365511397229086</v>
      </c>
      <c r="S26" s="72">
        <v>1</v>
      </c>
      <c r="T26" s="135">
        <f t="shared" ref="T26:T35" si="13">(($B$33)^S26)*((1-($B$33))^(INT($C$23*2*(1-$C$31))-S26))*HLOOKUP(INT($C$23*2*(1-$C$31)),$AV$24:$BF$34,S26+1)</f>
        <v>0.3421020159999999</v>
      </c>
      <c r="U26" s="93">
        <v>1</v>
      </c>
      <c r="V26" s="86">
        <f>R26*T25+T26*R25</f>
        <v>7.7974617200652865E-2</v>
      </c>
      <c r="W26" s="137"/>
      <c r="X26" s="28">
        <v>1</v>
      </c>
      <c r="Y26" s="73"/>
      <c r="Z26" s="28">
        <v>1</v>
      </c>
      <c r="AA26" s="79">
        <f>(1-((1-W25)^Z26))*V26</f>
        <v>1.6444386524280433E-2</v>
      </c>
      <c r="AB26" s="28">
        <v>1</v>
      </c>
      <c r="AC26" s="79">
        <f>((($W$25)^M26)*((1-($W$25))^($U$27-M26))*HLOOKUP($U$27,$AV$24:$BF$34,M26+1))*V27</f>
        <v>5.7731188843241209E-2</v>
      </c>
      <c r="AD26" s="28">
        <v>1</v>
      </c>
      <c r="AE26" s="79">
        <f>((($W$25)^M26)*((1-($W$25))^($U$28-M26))*HLOOKUP($U$28,$AV$24:$BF$34,M26+1))*V28</f>
        <v>9.3369353264764338E-2</v>
      </c>
      <c r="AF26" s="28">
        <v>1</v>
      </c>
      <c r="AG26" s="79">
        <f>((($W$25)^M26)*((1-($W$25))^($U$29-M26))*HLOOKUP($U$29,$AV$24:$BF$34,M26+1))*V29</f>
        <v>9.2218630439196397E-2</v>
      </c>
      <c r="AH26" s="28">
        <v>1</v>
      </c>
      <c r="AI26" s="79">
        <f>((($W$25)^M26)*((1-($W$25))^($U$30-M26))*HLOOKUP($U$30,$AV$24:$BF$34,M26+1))*V30</f>
        <v>6.2151341253826729E-2</v>
      </c>
      <c r="AJ26" s="28">
        <v>1</v>
      </c>
      <c r="AK26" s="79">
        <f>((($W$25)^M26)*((1-($W$25))^($U$31-M26))*HLOOKUP($U$31,$AV$24:$BF$34,M26+1))*V31</f>
        <v>3.0241725075229244E-2</v>
      </c>
      <c r="AL26" s="28">
        <v>1</v>
      </c>
      <c r="AM26" s="79">
        <f>((($W$25)^Q26)*((1-($W$25))^($U$32-Q26))*HLOOKUP($U$32,$AV$24:$BF$34,Q26+1))*V32</f>
        <v>1.0958270398708825E-2</v>
      </c>
      <c r="AN26" s="28">
        <v>1</v>
      </c>
      <c r="AO26" s="79">
        <f>((($W$25)^Q26)*((1-($W$25))^($U$33-Q26))*HLOOKUP($U$33,$AV$24:$BF$34,Q26+1))*V33</f>
        <v>3.0046543696374906E-3</v>
      </c>
      <c r="AP26" s="28">
        <v>1</v>
      </c>
      <c r="AQ26" s="79">
        <f>((($W$25)^Q26)*((1-($W$25))^($U$34-Q26))*HLOOKUP($U$34,$AV$24:$BF$34,Q26+1))*V34</f>
        <v>6.2658892573972324E-4</v>
      </c>
      <c r="AR26" s="28">
        <v>1</v>
      </c>
      <c r="AS26" s="79">
        <f>((($W$25)^Q26)*((1-($W$25))^($U$35-Q26))*HLOOKUP($U$35,$AV$24:$BF$34,Q26+1))*V35</f>
        <v>1.1375421214183903E-4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3.6053848129082144E-3</v>
      </c>
      <c r="BP26">
        <f>BP20+1</f>
        <v>7</v>
      </c>
      <c r="BQ26">
        <v>2</v>
      </c>
      <c r="BR26" s="107">
        <f t="shared" si="10"/>
        <v>1.7960049557761894E-6</v>
      </c>
    </row>
    <row r="27" spans="1:70" x14ac:dyDescent="0.25">
      <c r="A27" s="26" t="s">
        <v>25</v>
      </c>
      <c r="B27" s="119">
        <f>1/(1+EXP(-3.1416*4*((B12/(B12+C7))-(3.1416/6))))</f>
        <v>0.14706905601076381</v>
      </c>
      <c r="C27" s="120">
        <f>1/(1+EXP(-3.1416*4*((C12/(C12+B7))-(3.1416/6))))</f>
        <v>0.23251449252298675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0.15061222274358077</v>
      </c>
      <c r="I27" s="93">
        <v>2</v>
      </c>
      <c r="J27" s="86">
        <f t="shared" si="11"/>
        <v>0.13546703867257806</v>
      </c>
      <c r="K27" s="93">
        <v>2</v>
      </c>
      <c r="L27" s="86">
        <f>U21</f>
        <v>1.4340729693324381E-3</v>
      </c>
      <c r="M27" s="85">
        <v>2</v>
      </c>
      <c r="N27" s="71">
        <f>(($B$24)^M27)*((1-($B$24))^($B$21-M27))*HLOOKUP($B$21,$AV$24:$BF$34,M27+1)</f>
        <v>0.20080179454391892</v>
      </c>
      <c r="O27" s="72">
        <v>2</v>
      </c>
      <c r="P27" s="71">
        <f t="shared" si="12"/>
        <v>0.20080179454391892</v>
      </c>
      <c r="Q27" s="28">
        <v>2</v>
      </c>
      <c r="R27" s="37">
        <f>P25*N27+P26*N26+P27*N25</f>
        <v>0.30189780303656427</v>
      </c>
      <c r="S27" s="72">
        <v>2</v>
      </c>
      <c r="T27" s="135">
        <f t="shared" si="13"/>
        <v>0.32197836799999996</v>
      </c>
      <c r="U27" s="93">
        <v>2</v>
      </c>
      <c r="V27" s="86">
        <f>R27*T25+T26*R26+R25*T27</f>
        <v>0.17345258971358873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7.7145329491592153E-3</v>
      </c>
      <c r="AD27" s="28">
        <v>2</v>
      </c>
      <c r="AE27" s="79">
        <f>((($W$25)^M27)*((1-($W$25))^($U$28-M27))*HLOOKUP($U$28,$AV$24:$BF$34,M27+1))*V28</f>
        <v>2.4953615771140976E-2</v>
      </c>
      <c r="AF27" s="28">
        <v>2</v>
      </c>
      <c r="AG27" s="79">
        <f>((($W$25)^M27)*((1-($W$25))^($U$29-M27))*HLOOKUP($U$29,$AV$24:$BF$34,M27+1))*V29</f>
        <v>3.6969115514731324E-2</v>
      </c>
      <c r="AH27" s="28">
        <v>2</v>
      </c>
      <c r="AI27" s="79">
        <f>((($W$25)^M27)*((1-($W$25))^($U$30-M27))*HLOOKUP($U$30,$AV$24:$BF$34,M27+1))*V30</f>
        <v>3.3220765381360602E-2</v>
      </c>
      <c r="AJ27" s="28">
        <v>2</v>
      </c>
      <c r="AK27" s="79">
        <f>((($W$25)^M27)*((1-($W$25))^($U$31-M27))*HLOOKUP($U$31,$AV$24:$BF$34,M27+1))*V31</f>
        <v>2.0205783841188277E-2</v>
      </c>
      <c r="AL27" s="28">
        <v>2</v>
      </c>
      <c r="AM27" s="79">
        <f>((($W$25)^Q27)*((1-($W$25))^($U$32-Q27))*HLOOKUP($U$32,$AV$24:$BF$34,Q27+1))*V32</f>
        <v>8.7860243051134553E-3</v>
      </c>
      <c r="AN27" s="28">
        <v>2</v>
      </c>
      <c r="AO27" s="79">
        <f>((($W$25)^Q27)*((1-($W$25))^($U$33-Q27))*HLOOKUP($U$33,$AV$24:$BF$34,Q27+1))*V33</f>
        <v>2.8105524794994996E-3</v>
      </c>
      <c r="AP27" s="28">
        <v>2</v>
      </c>
      <c r="AQ27" s="79">
        <f>((($W$25)^Q27)*((1-($W$25))^($U$34-Q27))*HLOOKUP($U$34,$AV$24:$BF$34,Q27+1))*V34</f>
        <v>6.6984117390311273E-4</v>
      </c>
      <c r="AR27" s="28">
        <v>2</v>
      </c>
      <c r="AS27" s="79">
        <f>((($W$25)^Q27)*((1-($W$25))^($U$35-Q27))*HLOOKUP($U$35,$AV$24:$BF$34,Q27+1))*V35</f>
        <v>1.3680725648159645E-4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9.2015426258276582E-4</v>
      </c>
      <c r="BP27">
        <f>BP21+1</f>
        <v>7</v>
      </c>
      <c r="BQ27">
        <v>3</v>
      </c>
      <c r="BR27" s="107">
        <f t="shared" si="10"/>
        <v>1.6603200226669874E-6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3.7946347131443341E-2</v>
      </c>
      <c r="I28" s="93">
        <v>3</v>
      </c>
      <c r="J28" s="86">
        <f t="shared" si="11"/>
        <v>3.0819551277924576E-2</v>
      </c>
      <c r="K28" s="93">
        <v>3</v>
      </c>
      <c r="L28" s="86">
        <f>V21</f>
        <v>1.3978714949809635E-5</v>
      </c>
      <c r="M28" s="85">
        <v>3</v>
      </c>
      <c r="N28" s="71">
        <f>(($B$24)^M28)*((1-($B$24))^($B$21-M28))*HLOOKUP($B$21,$AV$24:$BF$34,M28+1)</f>
        <v>4.9227917041388694E-2</v>
      </c>
      <c r="O28" s="72">
        <v>3</v>
      </c>
      <c r="P28" s="71">
        <f t="shared" si="12"/>
        <v>4.9227917041388694E-2</v>
      </c>
      <c r="Q28" s="28">
        <v>3</v>
      </c>
      <c r="R28" s="37">
        <f>P25*N28+P26*N27+P27*N26+P28*N25</f>
        <v>0.19736609806855693</v>
      </c>
      <c r="S28" s="72">
        <v>3</v>
      </c>
      <c r="T28" s="135">
        <f t="shared" si="13"/>
        <v>0.151519232</v>
      </c>
      <c r="U28" s="93">
        <v>3</v>
      </c>
      <c r="V28" s="86">
        <f>R28*T25+R27*T26+R26*T27+R25*T28</f>
        <v>0.23699985874886756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2.2230097217160565E-3</v>
      </c>
      <c r="AF28" s="28">
        <v>3</v>
      </c>
      <c r="AG28" s="79">
        <f>((($W$25)^M28)*((1-($W$25))^($U$29-M28))*HLOOKUP($U$29,$AV$24:$BF$34,M28+1))*V29</f>
        <v>6.5868372700950591E-3</v>
      </c>
      <c r="AH28" s="28">
        <v>3</v>
      </c>
      <c r="AI28" s="79">
        <f>((($W$25)^M28)*((1-($W$25))^($U$30-M28))*HLOOKUP($U$30,$AV$24:$BF$34,M28+1))*V30</f>
        <v>8.8784829921547005E-3</v>
      </c>
      <c r="AJ28" s="28">
        <v>3</v>
      </c>
      <c r="AK28" s="79">
        <f>((($W$25)^M28)*((1-($W$25))^($U$31-M28))*HLOOKUP($U$31,$AV$24:$BF$34,M28+1))*V31</f>
        <v>7.2001836248199854E-3</v>
      </c>
      <c r="AL28" s="28">
        <v>3</v>
      </c>
      <c r="AM28" s="79">
        <f>((($W$25)^Q28)*((1-($W$25))^($U$32-Q28))*HLOOKUP($U$32,$AV$24:$BF$34,Q28+1))*V32</f>
        <v>3.9135445589590636E-3</v>
      </c>
      <c r="AN28" s="28">
        <v>3</v>
      </c>
      <c r="AO28" s="79">
        <f>((($W$25)^Q28)*((1-($W$25))^($U$33-Q28))*HLOOKUP($U$33,$AV$24:$BF$34,Q28+1))*V33</f>
        <v>1.5022798000792197E-3</v>
      </c>
      <c r="AP28" s="28">
        <v>3</v>
      </c>
      <c r="AQ28" s="79">
        <f>((($W$25)^Q28)*((1-($W$25))^($U$34-Q28))*HLOOKUP($U$34,$AV$24:$BF$34,Q28+1))*V34</f>
        <v>4.1771277504404748E-4</v>
      </c>
      <c r="AR28" s="28">
        <v>3</v>
      </c>
      <c r="AS28" s="79">
        <f>((($W$25)^Q28)*((1-($W$25))^($U$35-Q28))*HLOOKUP($U$35,$AV$24:$BF$34,Q28+1))*V35</f>
        <v>9.750053505644251E-5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1.7746477539092574E-4</v>
      </c>
      <c r="BP28">
        <f>BP22+1</f>
        <v>7</v>
      </c>
      <c r="BQ28">
        <v>4</v>
      </c>
      <c r="BR28" s="107">
        <f t="shared" si="10"/>
        <v>1.0475051155783911E-6</v>
      </c>
    </row>
    <row r="29" spans="1:70" x14ac:dyDescent="0.25">
      <c r="A29" s="26" t="s">
        <v>27</v>
      </c>
      <c r="B29" s="123">
        <f>1/(1+EXP(-3.1416*4*((B14/(B14+C13))-(3.1416/6))))</f>
        <v>0.32839636256027932</v>
      </c>
      <c r="C29" s="118">
        <f>1/(1+EXP(-3.1416*4*((C14/(C14+B13))-(3.1416/6))))</f>
        <v>0.26998466625127815</v>
      </c>
      <c r="D29" s="153">
        <v>0.04</v>
      </c>
      <c r="E29" s="153">
        <v>0.04</v>
      </c>
      <c r="G29" s="87">
        <v>4</v>
      </c>
      <c r="H29" s="128">
        <f>J29*L25+J28*L26+J27*L27+J26*L28</f>
        <v>6.6717359973579686E-3</v>
      </c>
      <c r="I29" s="93">
        <v>4</v>
      </c>
      <c r="J29" s="86">
        <f t="shared" si="11"/>
        <v>4.8305846911847888E-3</v>
      </c>
      <c r="K29" s="93">
        <v>4</v>
      </c>
      <c r="L29" s="86"/>
      <c r="M29" s="85">
        <v>4</v>
      </c>
      <c r="N29" s="71">
        <f>(($B$24)^M29)*((1-($B$24))^($B$21-M29))*HLOOKUP($B$21,$AV$24:$BF$34,M29+1)</f>
        <v>6.034278283563373E-3</v>
      </c>
      <c r="O29" s="72">
        <v>4</v>
      </c>
      <c r="P29" s="71">
        <f t="shared" si="12"/>
        <v>6.034278283563373E-3</v>
      </c>
      <c r="Q29" s="28">
        <v>4</v>
      </c>
      <c r="R29" s="37">
        <f>P25*N29+P26*N28+P27*N27+P28*N26+P29*N25</f>
        <v>8.4674857453322261E-2</v>
      </c>
      <c r="S29" s="72">
        <v>4</v>
      </c>
      <c r="T29" s="135">
        <f t="shared" si="13"/>
        <v>3.5651584E-2</v>
      </c>
      <c r="U29" s="93">
        <v>4</v>
      </c>
      <c r="V29" s="86">
        <f>T29*R25+T28*R26+T27*R27+T26*R28+T25*R29</f>
        <v>0.22247866823821949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4.4009463661726827E-4</v>
      </c>
      <c r="AH29" s="28">
        <v>4</v>
      </c>
      <c r="AI29" s="79">
        <f>((($W$25)^M29)*((1-($W$25))^($U$30-M29))*HLOOKUP($U$30,$AV$24:$BF$34,M29+1))*V30</f>
        <v>1.1864184845995231E-3</v>
      </c>
      <c r="AJ29" s="28">
        <v>4</v>
      </c>
      <c r="AK29" s="79">
        <f>((($W$25)^M29)*((1-($W$25))^($U$31-M29))*HLOOKUP($U$31,$AV$24:$BF$34,M29+1))*V31</f>
        <v>1.4432247523387014E-3</v>
      </c>
      <c r="AL29" s="28">
        <v>4</v>
      </c>
      <c r="AM29" s="79">
        <f>((($W$25)^Q29)*((1-($W$25))^($U$32-Q29))*HLOOKUP($U$32,$AV$24:$BF$34,Q29+1))*V32</f>
        <v>1.0459222840558929E-3</v>
      </c>
      <c r="AN29" s="28">
        <v>4</v>
      </c>
      <c r="AO29" s="79">
        <f>((($W$25)^Q29)*((1-($W$25))^($U$33-Q29))*HLOOKUP($U$33,$AV$24:$BF$34,Q29+1))*V33</f>
        <v>5.0186854145842989E-4</v>
      </c>
      <c r="AP29" s="28">
        <v>4</v>
      </c>
      <c r="AQ29" s="79">
        <f>((($W$25)^Q29)*((1-($W$25))^($U$34-Q29))*HLOOKUP($U$34,$AV$24:$BF$34,Q29+1))*V34</f>
        <v>1.6745501162874278E-4</v>
      </c>
      <c r="AR29" s="28">
        <v>4</v>
      </c>
      <c r="AS29" s="79">
        <f>((($W$25)^Q29)*((1-($W$25))^($U$35-Q29))*HLOOKUP($U$35,$AV$24:$BF$34,Q29+1))*V35</f>
        <v>4.5600980486230411E-5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2.5604405442663984E-5</v>
      </c>
      <c r="BP29">
        <f>BP23+1</f>
        <v>7</v>
      </c>
      <c r="BQ29">
        <v>5</v>
      </c>
      <c r="BR29" s="107">
        <f t="shared" si="10"/>
        <v>4.768537642798162E-7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8.688192074888301E-4</v>
      </c>
      <c r="I30" s="93">
        <v>5</v>
      </c>
      <c r="J30" s="86">
        <f t="shared" si="11"/>
        <v>5.5209902920492235E-4</v>
      </c>
      <c r="K30" s="93">
        <v>5</v>
      </c>
      <c r="L30" s="86"/>
      <c r="M30" s="85">
        <v>5</v>
      </c>
      <c r="N30" s="71">
        <f>(($B$24)^M30)*((1-($B$24))^($B$21-M30))*HLOOKUP($B$21,$AV$24:$BF$34,M30+1)</f>
        <v>2.9586882071707776E-4</v>
      </c>
      <c r="O30" s="72">
        <v>5</v>
      </c>
      <c r="P30" s="71">
        <f t="shared" si="12"/>
        <v>2.9586882071707776E-4</v>
      </c>
      <c r="Q30" s="28">
        <v>5</v>
      </c>
      <c r="R30" s="37">
        <f>P25*N30+P26*N29+P27*N28+P28*N27+P29*N26+P30*N25</f>
        <v>2.4910336290596444E-2</v>
      </c>
      <c r="S30" s="72">
        <v>5</v>
      </c>
      <c r="T30" s="135">
        <f t="shared" si="13"/>
        <v>3.3554432000000001E-3</v>
      </c>
      <c r="U30" s="93">
        <v>5</v>
      </c>
      <c r="V30" s="86">
        <f>T30*R25+T29*R26+T28*R27+T27*R28+T26*R29+T25*R30</f>
        <v>0.15201096236512623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6.3415735406294863E-5</v>
      </c>
      <c r="AJ30" s="28">
        <v>5</v>
      </c>
      <c r="AK30" s="79">
        <f>((($W$25)^M30)*((1-($W$25))^($U$31-M30))*HLOOKUP($U$31,$AV$24:$BF$34,M30+1))*V31</f>
        <v>1.5428478267012213E-4</v>
      </c>
      <c r="AL30" s="28">
        <v>5</v>
      </c>
      <c r="AM30" s="79">
        <f>((($W$25)^Q30)*((1-($W$25))^($U$32-Q30))*HLOOKUP($U$32,$AV$24:$BF$34,Q30+1))*V32</f>
        <v>1.6771804809740084E-4</v>
      </c>
      <c r="AN30" s="28">
        <v>5</v>
      </c>
      <c r="AO30" s="79">
        <f>((($W$25)^Q30)*((1-($W$25))^($U$33-Q30))*HLOOKUP($U$33,$AV$24:$BF$34,Q30+1))*V33</f>
        <v>1.0730231548816078E-4</v>
      </c>
      <c r="AP30" s="28">
        <v>5</v>
      </c>
      <c r="AQ30" s="79">
        <f>((($W$25)^Q30)*((1-($W$25))^($U$34-Q30))*HLOOKUP($U$34,$AV$24:$BF$34,Q30+1))*V34</f>
        <v>4.4753528572554795E-5</v>
      </c>
      <c r="AR30" s="28">
        <v>5</v>
      </c>
      <c r="AS30" s="79">
        <f>((($W$25)^Q30)*((1-($W$25))^($U$35-Q30))*HLOOKUP($U$35,$AV$24:$BF$34,Q30+1))*V35</f>
        <v>1.4624618970389055E-5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2.6925686391382079E-6</v>
      </c>
      <c r="BP30">
        <f>BL10+1</f>
        <v>7</v>
      </c>
      <c r="BQ30">
        <v>6</v>
      </c>
      <c r="BR30" s="107">
        <f t="shared" si="10"/>
        <v>1.6138513820611939E-7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0.21089409752360727</v>
      </c>
      <c r="C31" s="61">
        <f>(C25*E25)+(C26*E26)+(C27*E27)+(C28*E28)+(C29*E29)+(C30*E30)/(C25+C26+C27+C28+C29+C30)</f>
        <v>0.27054912437807233</v>
      </c>
      <c r="G31" s="87">
        <v>6</v>
      </c>
      <c r="H31" s="128">
        <f>J31*L25+J30*L26+J29*L27+J28*L28</f>
        <v>8.6692068822188429E-5</v>
      </c>
      <c r="I31" s="93">
        <v>6</v>
      </c>
      <c r="J31" s="86">
        <f t="shared" si="11"/>
        <v>4.7383113432137913E-5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5.0891144140910805E-3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7.8111400783389809E-2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6.8722820559172241E-6</v>
      </c>
      <c r="AL31" s="28">
        <v>6</v>
      </c>
      <c r="AM31" s="79">
        <f>((($W$25)^Q31)*((1-($W$25))^($U$32-Q31))*HLOOKUP($U$32,$AV$24:$BF$34,Q31+1))*V32</f>
        <v>1.4941275639058038E-5</v>
      </c>
      <c r="AN31" s="28">
        <v>6</v>
      </c>
      <c r="AO31" s="79">
        <f>((($W$25)^Q31)*((1-($W$25))^($U$33-Q31))*HLOOKUP($U$33,$AV$24:$BF$34,Q31+1))*V33</f>
        <v>1.4338648916484341E-5</v>
      </c>
      <c r="AP31" s="28">
        <v>6</v>
      </c>
      <c r="AQ31" s="79">
        <f>((($W$25)^Q31)*((1-($W$25))^($U$34-Q31))*HLOOKUP($U$34,$AV$24:$BF$34,Q31+1))*V34</f>
        <v>7.9737966642048418E-6</v>
      </c>
      <c r="AR31" s="28">
        <v>6</v>
      </c>
      <c r="AS31" s="79">
        <f>((($W$25)^Q31)*((1-($W$25))^($U$35-Q31))*HLOOKUP($U$35,$AV$24:$BF$34,Q31+1))*V35</f>
        <v>3.2571101564734699E-6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5.8959527774968346E-3</v>
      </c>
      <c r="BP31">
        <f t="shared" ref="BP31:BP37" si="17">BP24+1</f>
        <v>8</v>
      </c>
      <c r="BQ31">
        <v>0</v>
      </c>
      <c r="BR31" s="107">
        <f t="shared" ref="BR31:BR38" si="18">$H$33*H39</f>
        <v>2.1944809434145606E-8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6.7417420453927049E-6</v>
      </c>
      <c r="I32" s="93">
        <v>7</v>
      </c>
      <c r="J32" s="86">
        <f t="shared" si="11"/>
        <v>3.076067450202249E-6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7.1293188179498662E-4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3.0744525610730787E-2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5.7045155823317961E-7</v>
      </c>
      <c r="AN32" s="28">
        <v>7</v>
      </c>
      <c r="AO32" s="79">
        <f>((($W$25)^Q32)*((1-($W$25))^($U$33-Q32))*HLOOKUP($U$33,$AV$24:$BF$34,Q32+1))*V33</f>
        <v>1.094887051810344E-6</v>
      </c>
      <c r="AP32" s="28">
        <v>7</v>
      </c>
      <c r="AQ32" s="79">
        <f>((($W$25)^Q32)*((1-($W$25))^($U$34-Q32))*HLOOKUP($U$34,$AV$24:$BF$34,Q32+1))*V34</f>
        <v>9.1330851033351558E-7</v>
      </c>
      <c r="AR32" s="28">
        <v>7</v>
      </c>
      <c r="AS32" s="79">
        <f>((($W$25)^Q32)*((1-($W$25))^($U$35-Q32))*HLOOKUP($U$35,$AV$24:$BF$34,Q32+1))*V35</f>
        <v>4.9742032982521004E-7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2.6840033849505349E-3</v>
      </c>
      <c r="BP32">
        <f t="shared" si="17"/>
        <v>8</v>
      </c>
      <c r="BQ32">
        <v>1</v>
      </c>
      <c r="BR32" s="107">
        <f t="shared" si="18"/>
        <v>7.1974902400013847E-8</v>
      </c>
    </row>
    <row r="33" spans="1:70" x14ac:dyDescent="0.25">
      <c r="A33" s="26" t="s">
        <v>84</v>
      </c>
      <c r="B33" s="75">
        <f>IF(B17&lt;&gt;"CA",0.005,IF((B18-B16)&lt;0,0.1,0.1+0.055*(B18-B16)))</f>
        <v>0.32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4.0869853148960603E-7</v>
      </c>
      <c r="I33" s="93">
        <v>8</v>
      </c>
      <c r="J33" s="86">
        <f t="shared" si="11"/>
        <v>1.4745121606945125E-7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6.5542525926272141E-5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9.3474481839773502E-3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3.6577032302824106E-8</v>
      </c>
      <c r="AP33" s="28">
        <v>8</v>
      </c>
      <c r="AQ33" s="79">
        <f>((($W$25)^Q33)*((1-($W$25))^($U$34-Q33))*HLOOKUP($U$34,$AV$24:$BF$34,Q33+1))*V34</f>
        <v>6.1022029312845969E-8</v>
      </c>
      <c r="AR33" s="28">
        <v>8</v>
      </c>
      <c r="AS33" s="79">
        <f>((($W$25)^Q33)*((1-($W$25))^($U$35-Q33))*HLOOKUP($U$35,$AV$24:$BF$34,Q33+1))*V35</f>
        <v>4.9852154453781171E-8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9.0836707115047233E-4</v>
      </c>
      <c r="BP33">
        <f t="shared" si="17"/>
        <v>8</v>
      </c>
      <c r="BQ33">
        <v>2</v>
      </c>
      <c r="BR33" s="107">
        <f t="shared" si="18"/>
        <v>1.0887758431448955E-7</v>
      </c>
    </row>
    <row r="34" spans="1:70" x14ac:dyDescent="0.25">
      <c r="A34" s="40" t="s">
        <v>86</v>
      </c>
      <c r="B34" s="56">
        <f>B23*2</f>
        <v>1.9688826871518681</v>
      </c>
      <c r="C34" s="57">
        <f>C23*2</f>
        <v>8.0311173128481315</v>
      </c>
      <c r="G34" s="87">
        <v>9</v>
      </c>
      <c r="H34" s="128">
        <f>J34*L25+J33*L26+J32*L27+J31*L28</f>
        <v>1.889111803659559E-8</v>
      </c>
      <c r="I34" s="93">
        <v>9</v>
      </c>
      <c r="J34" s="86">
        <f t="shared" si="11"/>
        <v>4.7728048134946185E-9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3.5707095992731348E-6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2.1958033604718022E-3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1.812062904302388E-9</v>
      </c>
      <c r="AR34" s="28">
        <v>9</v>
      </c>
      <c r="AS34" s="79">
        <f>((($W$25)^Q34)*((1-($W$25))^($U$35-Q34))*HLOOKUP($U$35,$AV$24:$BF$34,Q34+1))*V35</f>
        <v>2.9607419091922307E-9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2.3183040809303154E-4</v>
      </c>
      <c r="BP34">
        <f t="shared" si="17"/>
        <v>8</v>
      </c>
      <c r="BQ34">
        <v>3</v>
      </c>
      <c r="BR34" s="107">
        <f t="shared" si="18"/>
        <v>1.0065207931390982E-7</v>
      </c>
    </row>
    <row r="35" spans="1:70" ht="15.75" thickBot="1" x14ac:dyDescent="0.3">
      <c r="G35" s="88">
        <v>10</v>
      </c>
      <c r="H35" s="129">
        <f>J35*L25+J34*L26+J33*L27+J32*L28</f>
        <v>6.3123697168880992E-10</v>
      </c>
      <c r="I35" s="94">
        <v>10</v>
      </c>
      <c r="J35" s="89">
        <f t="shared" si="11"/>
        <v>7.9127908051365431E-11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8.7538359072514297E-8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4.5465862571303362E-4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7.9127908051365431E-11</v>
      </c>
      <c r="BH35">
        <f t="shared" si="15"/>
        <v>3</v>
      </c>
      <c r="BI35">
        <v>8</v>
      </c>
      <c r="BJ35" s="107">
        <f t="shared" si="16"/>
        <v>4.4711776029311055E-5</v>
      </c>
      <c r="BP35">
        <f t="shared" si="17"/>
        <v>8</v>
      </c>
      <c r="BQ35">
        <v>4</v>
      </c>
      <c r="BR35" s="107">
        <f t="shared" si="18"/>
        <v>6.3501955367353561E-8</v>
      </c>
    </row>
    <row r="36" spans="1:70" x14ac:dyDescent="0.25">
      <c r="A36" s="1"/>
      <c r="B36" s="108">
        <f>SUM(B37:B39)</f>
        <v>0.99999863883222129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0.99999999999999956</v>
      </c>
      <c r="BH36">
        <f t="shared" si="15"/>
        <v>3</v>
      </c>
      <c r="BI36">
        <v>9</v>
      </c>
      <c r="BJ36" s="107">
        <f t="shared" si="16"/>
        <v>6.4509615443076974E-6</v>
      </c>
      <c r="BP36">
        <f t="shared" si="17"/>
        <v>8</v>
      </c>
      <c r="BQ36">
        <v>5</v>
      </c>
      <c r="BR36" s="107">
        <f t="shared" si="18"/>
        <v>2.8907874535134246E-8</v>
      </c>
    </row>
    <row r="37" spans="1:70" ht="15.75" thickBot="1" x14ac:dyDescent="0.3">
      <c r="A37" s="109" t="s">
        <v>104</v>
      </c>
      <c r="B37" s="107">
        <f>SUM(BN4:BN14)</f>
        <v>0.13930634592540947</v>
      </c>
      <c r="G37" s="13"/>
      <c r="H37" s="59">
        <f>SUM(H39:H49)</f>
        <v>0.99999863947755352</v>
      </c>
      <c r="I37" s="13"/>
      <c r="J37" s="59">
        <f>SUM(J39:J49)</f>
        <v>0.99999999999999967</v>
      </c>
      <c r="K37" s="59"/>
      <c r="L37" s="59">
        <f>SUM(L39:L49)</f>
        <v>1</v>
      </c>
      <c r="M37" s="13"/>
      <c r="N37" s="74">
        <f>SUM(N39:N49)</f>
        <v>0.99999999999999978</v>
      </c>
      <c r="O37" s="13"/>
      <c r="P37" s="74">
        <f>SUM(P39:P49)</f>
        <v>0.99999999999999978</v>
      </c>
      <c r="Q37" s="13"/>
      <c r="R37" s="59">
        <f>SUM(R39:R49)</f>
        <v>0.99999999999999967</v>
      </c>
      <c r="S37" s="13"/>
      <c r="T37" s="59">
        <f>SUM(T39:T49)</f>
        <v>1</v>
      </c>
      <c r="U37" s="13"/>
      <c r="V37" s="59">
        <f>SUM(V39:V48)</f>
        <v>0.88700718032124026</v>
      </c>
      <c r="W37" s="13"/>
      <c r="X37" s="13"/>
      <c r="Y37" s="80">
        <f>SUM(Y39:Y49)</f>
        <v>8.7100667277151897E-8</v>
      </c>
      <c r="Z37" s="81"/>
      <c r="AA37" s="80">
        <f>SUM(AA39:AA49)</f>
        <v>3.5532937430721378E-6</v>
      </c>
      <c r="AB37" s="81"/>
      <c r="AC37" s="80">
        <f>SUM(AC39:AC49)</f>
        <v>6.523266684463725E-5</v>
      </c>
      <c r="AD37" s="81"/>
      <c r="AE37" s="80">
        <f>SUM(AE39:AE49)</f>
        <v>7.0969493501564398E-4</v>
      </c>
      <c r="AF37" s="81"/>
      <c r="AG37" s="80">
        <f>SUM(AG39:AG49)</f>
        <v>5.0672335014296053E-3</v>
      </c>
      <c r="AH37" s="81"/>
      <c r="AI37" s="80">
        <f>SUM(AI39:AI49)</f>
        <v>2.4811230181213933E-2</v>
      </c>
      <c r="AJ37" s="81"/>
      <c r="AK37" s="80">
        <f>SUM(AK39:AK49)</f>
        <v>8.4376034847508677E-2</v>
      </c>
      <c r="AL37" s="81"/>
      <c r="AM37" s="80">
        <f>SUM(AM39:AM49)</f>
        <v>0.1968026418654808</v>
      </c>
      <c r="AN37" s="81"/>
      <c r="AO37" s="80">
        <f>SUM(AO39:AO49)</f>
        <v>0.30137514451172415</v>
      </c>
      <c r="AP37" s="81"/>
      <c r="AQ37" s="80">
        <f>SUM(AQ39:AQ49)</f>
        <v>0.27379632741761217</v>
      </c>
      <c r="AR37" s="81"/>
      <c r="AS37" s="80">
        <f>SUM(AS39:AS49)</f>
        <v>0.11299281967875968</v>
      </c>
      <c r="BH37">
        <f t="shared" si="15"/>
        <v>3</v>
      </c>
      <c r="BI37">
        <v>10</v>
      </c>
      <c r="BJ37" s="107">
        <f t="shared" si="16"/>
        <v>6.7838547492873475E-7</v>
      </c>
      <c r="BP37">
        <f t="shared" si="17"/>
        <v>8</v>
      </c>
      <c r="BQ37">
        <v>6</v>
      </c>
      <c r="BR37" s="107">
        <f t="shared" si="18"/>
        <v>9.7835052935855961E-9</v>
      </c>
    </row>
    <row r="38" spans="1:70" ht="15.75" thickBot="1" x14ac:dyDescent="0.3">
      <c r="A38" s="110" t="s">
        <v>105</v>
      </c>
      <c r="B38" s="107">
        <f>SUM(BJ4:BJ59)</f>
        <v>0.78144022316283102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4.7190212903436344E-4</v>
      </c>
      <c r="BP38">
        <f>BL11+1</f>
        <v>8</v>
      </c>
      <c r="BQ38">
        <v>7</v>
      </c>
      <c r="BR38" s="107">
        <f t="shared" si="18"/>
        <v>2.4969135240885087E-9</v>
      </c>
    </row>
    <row r="39" spans="1:70" x14ac:dyDescent="0.25">
      <c r="A39" s="111" t="s">
        <v>0</v>
      </c>
      <c r="B39" s="107">
        <f>SUM(BR4:BR47)</f>
        <v>7.9252069743980816E-2</v>
      </c>
      <c r="G39" s="130">
        <v>0</v>
      </c>
      <c r="H39" s="131">
        <f>L39*J39</f>
        <v>5.3694368203776391E-2</v>
      </c>
      <c r="I39" s="97">
        <v>0</v>
      </c>
      <c r="J39" s="98">
        <f t="shared" ref="J39:J49" si="33">Y39+AA39+AC39+AE39+AG39+AI39+AK39+AM39+AO39+AQ39+AS39</f>
        <v>8.6199024441669478E-2</v>
      </c>
      <c r="K39" s="102">
        <v>0</v>
      </c>
      <c r="L39" s="98">
        <f>AC21</f>
        <v>0.62291155325210379</v>
      </c>
      <c r="M39" s="84">
        <v>0</v>
      </c>
      <c r="N39" s="71">
        <f>(1-$C$24)^$B$21</f>
        <v>2.9586882071707803E-4</v>
      </c>
      <c r="O39" s="70">
        <v>0</v>
      </c>
      <c r="P39" s="71">
        <f>N39</f>
        <v>2.9586882071707803E-4</v>
      </c>
      <c r="Q39" s="12">
        <v>0</v>
      </c>
      <c r="R39" s="73">
        <f>P39*N39</f>
        <v>8.7538359072514469E-8</v>
      </c>
      <c r="S39" s="70">
        <v>0</v>
      </c>
      <c r="T39" s="135">
        <f>(1-$C$33)^(INT(B23*2*(1-B31)))</f>
        <v>0.995</v>
      </c>
      <c r="U39" s="140">
        <v>0</v>
      </c>
      <c r="V39" s="86">
        <f>R39*T39</f>
        <v>8.7100667277151897E-8</v>
      </c>
      <c r="W39" s="136">
        <f>C31</f>
        <v>0.27054912437807233</v>
      </c>
      <c r="X39" s="12">
        <v>0</v>
      </c>
      <c r="Y39" s="79">
        <f>V39</f>
        <v>8.7100667277151897E-8</v>
      </c>
      <c r="Z39" s="12">
        <v>0</v>
      </c>
      <c r="AA39" s="78">
        <f>((1-W39)^Z40)*V40</f>
        <v>2.5919532322258877E-6</v>
      </c>
      <c r="AB39" s="12">
        <v>0</v>
      </c>
      <c r="AC39" s="79">
        <f>(((1-$W$39)^AB41))*V41</f>
        <v>3.4710209394095702E-5</v>
      </c>
      <c r="AD39" s="12">
        <v>0</v>
      </c>
      <c r="AE39" s="79">
        <f>(((1-$W$39)^AB42))*V42</f>
        <v>2.7546083243712883E-4</v>
      </c>
      <c r="AF39" s="12">
        <v>0</v>
      </c>
      <c r="AG39" s="79">
        <f>(((1-$W$39)^AB43))*V43</f>
        <v>1.4346802411215E-3</v>
      </c>
      <c r="AH39" s="12">
        <v>0</v>
      </c>
      <c r="AI39" s="79">
        <f>(((1-$W$39)^AB44))*V44</f>
        <v>5.1242292074635794E-3</v>
      </c>
      <c r="AJ39" s="12">
        <v>0</v>
      </c>
      <c r="AK39" s="79">
        <f>(((1-$W$39)^AB45))*V45</f>
        <v>1.2711459322744074E-2</v>
      </c>
      <c r="AL39" s="12">
        <v>0</v>
      </c>
      <c r="AM39" s="79">
        <f>(((1-$W$39)^AB46))*V46</f>
        <v>2.1627348262417419E-2</v>
      </c>
      <c r="AN39" s="12">
        <v>0</v>
      </c>
      <c r="AO39" s="79">
        <f>(((1-$W$39)^AB47))*V47</f>
        <v>2.4158826294999266E-2</v>
      </c>
      <c r="AP39" s="12">
        <v>0</v>
      </c>
      <c r="AQ39" s="79">
        <f>(((1-$W$39)^AB48))*V48</f>
        <v>1.601002713174551E-2</v>
      </c>
      <c r="AR39" s="12">
        <v>0</v>
      </c>
      <c r="AS39" s="79">
        <f>(((1-$W$39)^AB49))*V49</f>
        <v>4.8196038854473999E-3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1.597093197512927E-4</v>
      </c>
      <c r="BP39">
        <f t="shared" ref="BP39:BP46" si="34">BP31+1</f>
        <v>9</v>
      </c>
      <c r="BQ39">
        <v>0</v>
      </c>
      <c r="BR39" s="107">
        <f t="shared" ref="BR39:BR47" si="35">$H$34*H39</f>
        <v>1.014346647637965E-9</v>
      </c>
    </row>
    <row r="40" spans="1:70" x14ac:dyDescent="0.25">
      <c r="G40" s="91">
        <v>1</v>
      </c>
      <c r="H40" s="132">
        <f>L39*J40+L40*J39</f>
        <v>0.1761075630433096</v>
      </c>
      <c r="I40" s="93">
        <v>1</v>
      </c>
      <c r="J40" s="86">
        <f t="shared" si="33"/>
        <v>0.23940308570166938</v>
      </c>
      <c r="K40" s="95">
        <v>1</v>
      </c>
      <c r="L40" s="86">
        <f>AD21</f>
        <v>0.31300371727285481</v>
      </c>
      <c r="M40" s="85">
        <v>1</v>
      </c>
      <c r="N40" s="71">
        <f>(($C$24)^M26)*((1-($C$24))^($B$21-M26))*HLOOKUP($B$21,$AV$24:$BF$34,M26+1)</f>
        <v>6.0342782835633773E-3</v>
      </c>
      <c r="O40" s="72">
        <v>1</v>
      </c>
      <c r="P40" s="71">
        <f t="shared" ref="P40:P44" si="36">N40</f>
        <v>6.0342782835633773E-3</v>
      </c>
      <c r="Q40" s="28">
        <v>1</v>
      </c>
      <c r="R40" s="37">
        <f>P40*N39+P39*N40</f>
        <v>3.5707095992731403E-6</v>
      </c>
      <c r="S40" s="72">
        <v>1</v>
      </c>
      <c r="T40" s="135">
        <f t="shared" ref="T40:T49" si="37">(($C$33)^S40)*((1-($C$33))^(INT($B$23*2*(1-$B$31))-S40))*HLOOKUP(INT($B$23*2*(1-$B$31)),$AV$24:$BF$34,S40+1)</f>
        <v>5.0000000000000001E-3</v>
      </c>
      <c r="U40" s="93">
        <v>1</v>
      </c>
      <c r="V40" s="86">
        <f>R40*T39+T40*R39</f>
        <v>3.5532937430721373E-6</v>
      </c>
      <c r="W40" s="137"/>
      <c r="X40" s="28">
        <v>1</v>
      </c>
      <c r="Y40" s="73"/>
      <c r="Z40" s="28">
        <v>1</v>
      </c>
      <c r="AA40" s="79">
        <f>(1-((1-W39)^Z40))*V40</f>
        <v>9.6134051084624987E-7</v>
      </c>
      <c r="AB40" s="28">
        <v>1</v>
      </c>
      <c r="AC40" s="79">
        <f>((($W$39)^M40)*((1-($W$39))^($U$27-M40))*HLOOKUP($U$27,$AV$24:$BF$34,M40+1))*V41</f>
        <v>2.5747633109756846E-5</v>
      </c>
      <c r="AD40" s="28">
        <v>1</v>
      </c>
      <c r="AE40" s="79">
        <f>((($W$39)^M40)*((1-($W$39))^($U$28-M40))*HLOOKUP($U$28,$AV$24:$BF$34,M40+1))*V42</f>
        <v>3.0650050403783417E-4</v>
      </c>
      <c r="AF40" s="28">
        <v>1</v>
      </c>
      <c r="AG40" s="79">
        <f>((($W$39)^M40)*((1-($W$39))^($U$29-M40))*HLOOKUP($U$29,$AV$24:$BF$34,M40+1))*V43</f>
        <v>2.1284585211691284E-3</v>
      </c>
      <c r="AH40" s="28">
        <v>1</v>
      </c>
      <c r="AI40" s="79">
        <f>((($W$39)^M40)*((1-($W$39))^($U$30-M40))*HLOOKUP($U$30,$AV$24:$BF$34,M40+1))*V44</f>
        <v>9.5027353556181027E-3</v>
      </c>
      <c r="AJ40" s="28">
        <v>1</v>
      </c>
      <c r="AK40" s="79">
        <f>((($W$39)^M40)*((1-($W$39))^($U$31-M40))*HLOOKUP($U$31,$AV$24:$BF$34,M40+1))*V45</f>
        <v>2.8287641876394338E-2</v>
      </c>
      <c r="AL40" s="28">
        <v>1</v>
      </c>
      <c r="AM40" s="79">
        <f>((($W$39)^Q40)*((1-($W$39))^($U$32-Q40))*HLOOKUP($U$32,$AV$24:$BF$34,Q40+1))*V46</f>
        <v>5.6150211500116745E-2</v>
      </c>
      <c r="AN40" s="28">
        <v>1</v>
      </c>
      <c r="AO40" s="79">
        <f>((($W$39)^Q40)*((1-($W$39))^($U$33-Q40))*HLOOKUP($U$33,$AV$24:$BF$34,Q40+1))*V47</f>
        <v>7.1682955149420302E-2</v>
      </c>
      <c r="AP40" s="28">
        <v>1</v>
      </c>
      <c r="AQ40" s="79">
        <f>((($W$39)^Q40)*((1-($W$39))^($U$34-Q40))*HLOOKUP($U$34,$AV$24:$BF$34,Q40+1))*V48</f>
        <v>5.344224086732248E-2</v>
      </c>
      <c r="AR40" s="28">
        <v>1</v>
      </c>
      <c r="AS40" s="79">
        <f>((($W$39)^Q40)*((1-($W$39))^($U$35-Q40))*HLOOKUP($U$35,$AV$24:$BF$34,Q40+1))*V49</f>
        <v>1.787563295396985E-2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4.0760478830775807E-5</v>
      </c>
      <c r="BP40">
        <f t="shared" si="34"/>
        <v>9</v>
      </c>
      <c r="BQ40">
        <v>1</v>
      </c>
      <c r="BR40" s="107">
        <f t="shared" si="35"/>
        <v>3.3268687605883611E-9</v>
      </c>
    </row>
    <row r="41" spans="1:70" x14ac:dyDescent="0.25">
      <c r="G41" s="91">
        <v>2</v>
      </c>
      <c r="H41" s="132">
        <f>L39*J41+J40*L40+J39*L41</f>
        <v>0.26640072308960205</v>
      </c>
      <c r="I41" s="93">
        <v>2</v>
      </c>
      <c r="J41" s="86">
        <f t="shared" si="33"/>
        <v>0.29923261990277455</v>
      </c>
      <c r="K41" s="95">
        <v>2</v>
      </c>
      <c r="L41" s="86">
        <f>AE21</f>
        <v>5.8831423254513529E-2</v>
      </c>
      <c r="M41" s="85">
        <v>2</v>
      </c>
      <c r="N41" s="71">
        <f>(($C$24)^M27)*((1-($C$24))^($B$21-M27))*HLOOKUP($B$21,$AV$24:$BF$34,M27+1)</f>
        <v>4.9227917041388722E-2</v>
      </c>
      <c r="O41" s="72">
        <v>2</v>
      </c>
      <c r="P41" s="71">
        <f t="shared" si="36"/>
        <v>4.9227917041388722E-2</v>
      </c>
      <c r="Q41" s="28">
        <v>2</v>
      </c>
      <c r="R41" s="37">
        <f>P41*N39+P40*N40+P39*N41</f>
        <v>6.5542525926272235E-5</v>
      </c>
      <c r="S41" s="72">
        <v>2</v>
      </c>
      <c r="T41" s="135">
        <f t="shared" si="37"/>
        <v>0</v>
      </c>
      <c r="U41" s="93">
        <v>2</v>
      </c>
      <c r="V41" s="86">
        <f>R41*T39+T40*R40+R39*T41</f>
        <v>6.523266684463725E-5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4.7748243407846941E-6</v>
      </c>
      <c r="AD41" s="28">
        <v>2</v>
      </c>
      <c r="AE41" s="79">
        <f>((($W$39)^M41)*((1-($W$39))^($U$28-M41))*HLOOKUP($U$28,$AV$24:$BF$34,M41+1))*V42</f>
        <v>1.1367926992777076E-4</v>
      </c>
      <c r="AF41" s="28">
        <v>2</v>
      </c>
      <c r="AG41" s="79">
        <f>((($W$39)^M41)*((1-($W$39))^($U$29-M41))*HLOOKUP($U$29,$AV$24:$BF$34,M41+1))*V43</f>
        <v>1.1841494919443015E-3</v>
      </c>
      <c r="AH41" s="28">
        <v>2</v>
      </c>
      <c r="AI41" s="79">
        <f>((($W$39)^M41)*((1-($W$39))^($U$30-M41))*HLOOKUP($U$30,$AV$24:$BF$34,M41+1))*V44</f>
        <v>7.0490195175022235E-3</v>
      </c>
      <c r="AJ41" s="28">
        <v>2</v>
      </c>
      <c r="AK41" s="79">
        <f>((($W$39)^M41)*((1-($W$39))^($U$31-M41))*HLOOKUP($U$31,$AV$24:$BF$34,M41+1))*V45</f>
        <v>2.6229308223990704E-2</v>
      </c>
      <c r="AL41" s="28">
        <v>2</v>
      </c>
      <c r="AM41" s="79">
        <f>((($W$39)^Q41)*((1-($W$39))^($U$32-Q41))*HLOOKUP($U$32,$AV$24:$BF$34,Q41+1))*V46</f>
        <v>6.2477369193839206E-2</v>
      </c>
      <c r="AN41" s="28">
        <v>2</v>
      </c>
      <c r="AO41" s="79">
        <f>((($W$39)^Q41)*((1-($W$39))^($U$33-Q41))*HLOOKUP($U$33,$AV$24:$BF$34,Q41+1))*V47</f>
        <v>9.3053781808002223E-2</v>
      </c>
      <c r="AP41" s="28">
        <v>2</v>
      </c>
      <c r="AQ41" s="79">
        <f>((($W$39)^Q41)*((1-($W$39))^($U$34-Q41))*HLOOKUP($U$34,$AV$24:$BF$34,Q41+1))*V48</f>
        <v>7.9285676141679265E-2</v>
      </c>
      <c r="AR41" s="28">
        <v>2</v>
      </c>
      <c r="AS41" s="79">
        <f>((($W$39)^Q41)*((1-($W$39))^($U$35-Q41))*HLOOKUP($U$35,$AV$24:$BF$34,Q41+1))*V49</f>
        <v>2.9834861431548051E-2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7.8612353544138158E-6</v>
      </c>
      <c r="BP41">
        <f t="shared" si="34"/>
        <v>9</v>
      </c>
      <c r="BQ41">
        <v>2</v>
      </c>
      <c r="BR41" s="107">
        <f t="shared" si="35"/>
        <v>5.0326075049200886E-9</v>
      </c>
    </row>
    <row r="42" spans="1:70" ht="15" customHeight="1" x14ac:dyDescent="0.25">
      <c r="G42" s="91">
        <v>3</v>
      </c>
      <c r="H42" s="132">
        <f>J42*L39+J41*L40+L42*J39+L41*J40</f>
        <v>0.24627462924091664</v>
      </c>
      <c r="I42" s="93">
        <v>3</v>
      </c>
      <c r="J42" s="86">
        <f t="shared" si="33"/>
        <v>0.22166301463912091</v>
      </c>
      <c r="K42" s="95">
        <v>3</v>
      </c>
      <c r="L42" s="86">
        <f>AF21</f>
        <v>5.253306220527873E-3</v>
      </c>
      <c r="M42" s="85">
        <v>3</v>
      </c>
      <c r="N42" s="71">
        <f>(($C$24)^M28)*((1-($C$24))^($B$21-M28))*HLOOKUP($B$21,$AV$24:$BF$34,M28+1)</f>
        <v>0.200801794543919</v>
      </c>
      <c r="O42" s="72">
        <v>3</v>
      </c>
      <c r="P42" s="71">
        <f t="shared" si="36"/>
        <v>0.200801794543919</v>
      </c>
      <c r="Q42" s="28">
        <v>3</v>
      </c>
      <c r="R42" s="37">
        <f>P42*N39+P41*N40+P40*N41+P39*N42</f>
        <v>7.129318817949876E-4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7.0969493501564398E-4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1.4054328612910173E-5</v>
      </c>
      <c r="AF42" s="28">
        <v>3</v>
      </c>
      <c r="AG42" s="79">
        <f>((($W$39)^M42)*((1-($W$39))^($U$29-M42))*HLOOKUP($U$29,$AV$24:$BF$34,M42+1))*V43</f>
        <v>2.9279614651237759E-4</v>
      </c>
      <c r="AH42" s="28">
        <v>3</v>
      </c>
      <c r="AI42" s="79">
        <f>((($W$39)^M42)*((1-($W$39))^($U$30-M42))*HLOOKUP($U$30,$AV$24:$BF$34,M42+1))*V44</f>
        <v>2.614440700421636E-3</v>
      </c>
      <c r="AJ42" s="28">
        <v>3</v>
      </c>
      <c r="AK42" s="79">
        <f>((($W$39)^M42)*((1-($W$39))^($U$31-M42))*HLOOKUP($U$31,$AV$24:$BF$34,M42+1))*V45</f>
        <v>1.2971065606015776E-2</v>
      </c>
      <c r="AL42" s="28">
        <v>3</v>
      </c>
      <c r="AM42" s="79">
        <f>((($W$39)^Q42)*((1-($W$39))^($U$32-Q42))*HLOOKUP($U$32,$AV$24:$BF$34,Q42+1))*V46</f>
        <v>3.8620826738165963E-2</v>
      </c>
      <c r="AN42" s="28">
        <v>3</v>
      </c>
      <c r="AO42" s="79">
        <f>((($W$39)^Q42)*((1-($W$39))^($U$33-Q42))*HLOOKUP($U$33,$AV$24:$BF$34,Q42+1))*V47</f>
        <v>6.9026222408077972E-2</v>
      </c>
      <c r="AP42" s="28">
        <v>3</v>
      </c>
      <c r="AQ42" s="79">
        <f>((($W$39)^Q42)*((1-($W$39))^($U$34-Q42))*HLOOKUP($U$34,$AV$24:$BF$34,Q42+1))*V48</f>
        <v>6.861540043756055E-2</v>
      </c>
      <c r="AR42" s="28">
        <v>3</v>
      </c>
      <c r="AS42" s="79">
        <f>((($W$39)^Q42)*((1-($W$39))^($U$35-Q42))*HLOOKUP($U$35,$AV$24:$BF$34,Q42+1))*V49</f>
        <v>2.9508208273753719E-2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1.1342096303405785E-6</v>
      </c>
      <c r="BP42">
        <f t="shared" si="34"/>
        <v>9</v>
      </c>
      <c r="BQ42">
        <v>3</v>
      </c>
      <c r="BR42" s="107">
        <f t="shared" si="35"/>
        <v>4.6524030904089718E-9</v>
      </c>
    </row>
    <row r="43" spans="1:70" ht="15" customHeight="1" x14ac:dyDescent="0.25">
      <c r="G43" s="91">
        <v>4</v>
      </c>
      <c r="H43" s="132">
        <f>J43*L39+J42*L40+J41*L41+J40*L42</f>
        <v>0.15537603019003884</v>
      </c>
      <c r="I43" s="93">
        <v>4</v>
      </c>
      <c r="J43" s="86">
        <f t="shared" si="33"/>
        <v>0.10777251383958461</v>
      </c>
      <c r="K43" s="95">
        <v>4</v>
      </c>
      <c r="L43" s="86"/>
      <c r="M43" s="85">
        <v>4</v>
      </c>
      <c r="N43" s="71">
        <f>(($C$24)^M29)*((1-($C$24))^($B$21-M29))*HLOOKUP($B$21,$AV$24:$BF$34,M29+1)</f>
        <v>0.40953754612609106</v>
      </c>
      <c r="O43" s="72">
        <v>4</v>
      </c>
      <c r="P43" s="71">
        <f t="shared" si="36"/>
        <v>0.40953754612609106</v>
      </c>
      <c r="Q43" s="28">
        <v>4</v>
      </c>
      <c r="R43" s="37">
        <f>P43*N39+P42*N40+P41*N41+P40*N42+P39*N43</f>
        <v>5.0891144140910857E-3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5.0672335014296053E-3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2.7149100682296939E-5</v>
      </c>
      <c r="AH43" s="28">
        <v>4</v>
      </c>
      <c r="AI43" s="79">
        <f>((($W$39)^M43)*((1-($W$39))^($U$30-M43))*HLOOKUP($U$30,$AV$24:$BF$34,M43+1))*V44</f>
        <v>4.848404915782686E-4</v>
      </c>
      <c r="AJ43" s="28">
        <v>4</v>
      </c>
      <c r="AK43" s="79">
        <f>((($W$39)^M43)*((1-($W$39))^($U$31-M43))*HLOOKUP($U$31,$AV$24:$BF$34,M43+1))*V45</f>
        <v>3.6081700898974887E-3</v>
      </c>
      <c r="AL43" s="28">
        <v>4</v>
      </c>
      <c r="AM43" s="79">
        <f>((($W$39)^Q43)*((1-($W$39))^($U$32-Q43))*HLOOKUP($U$32,$AV$24:$BF$34,Q43+1))*V46</f>
        <v>1.4324241982517881E-2</v>
      </c>
      <c r="AN43" s="28">
        <v>4</v>
      </c>
      <c r="AO43" s="79">
        <f>((($W$39)^Q43)*((1-($W$39))^($U$33-Q43))*HLOOKUP($U$33,$AV$24:$BF$34,Q43+1))*V47</f>
        <v>3.200178493121509E-2</v>
      </c>
      <c r="AP43" s="28">
        <v>4</v>
      </c>
      <c r="AQ43" s="79">
        <f>((($W$39)^Q43)*((1-($W$39))^($U$34-Q43))*HLOOKUP($U$34,$AV$24:$BF$34,Q43+1))*V48</f>
        <v>3.8173584666833113E-2</v>
      </c>
      <c r="AR43" s="28">
        <v>4</v>
      </c>
      <c r="AS43" s="79">
        <f>((($W$39)^Q43)*((1-($W$39))^($U$35-Q43))*HLOOKUP($U$35,$AV$24:$BF$34,Q43+1))*V49</f>
        <v>1.9152742576860476E-2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1.1927389947414601E-7</v>
      </c>
      <c r="BP43">
        <f t="shared" si="34"/>
        <v>9</v>
      </c>
      <c r="BQ43">
        <v>4</v>
      </c>
      <c r="BR43" s="107">
        <f t="shared" si="35"/>
        <v>2.9352269263776638E-9</v>
      </c>
    </row>
    <row r="44" spans="1:70" ht="15" customHeight="1" thickBot="1" x14ac:dyDescent="0.3">
      <c r="G44" s="91">
        <v>5</v>
      </c>
      <c r="H44" s="132">
        <f>J44*L39+J43*L40+J42*L41+J41*L42</f>
        <v>7.0731535123877559E-2</v>
      </c>
      <c r="I44" s="93">
        <v>5</v>
      </c>
      <c r="J44" s="86">
        <f t="shared" si="33"/>
        <v>3.593708663413063E-2</v>
      </c>
      <c r="K44" s="95">
        <v>5</v>
      </c>
      <c r="L44" s="86"/>
      <c r="M44" s="85">
        <v>5</v>
      </c>
      <c r="N44" s="71">
        <f>(($C$24)^M30)*((1-($C$24))^($B$21-M30))*HLOOKUP($B$21,$AV$24:$BF$34,M30+1)</f>
        <v>0.33410259518432062</v>
      </c>
      <c r="O44" s="72">
        <v>5</v>
      </c>
      <c r="P44" s="71">
        <f t="shared" si="36"/>
        <v>0.33410259518432062</v>
      </c>
      <c r="Q44" s="28">
        <v>5</v>
      </c>
      <c r="R44" s="37">
        <f>P44*N39+P43*N40+P42*N41+P41*N42+P40*N43+P39*N44</f>
        <v>2.4910336290596465E-2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2.481123018121394E-2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3.59649086301245E-5</v>
      </c>
      <c r="AJ44" s="28">
        <v>5</v>
      </c>
      <c r="AK44" s="79">
        <f>((($W$39)^M44)*((1-($W$39))^($U$31-M44))*HLOOKUP($U$31,$AV$24:$BF$34,M44+1))*V45</f>
        <v>5.3529979388762647E-4</v>
      </c>
      <c r="AL44" s="28">
        <v>5</v>
      </c>
      <c r="AM44" s="79">
        <f>((($W$39)^Q44)*((1-($W$39))^($U$32-Q44))*HLOOKUP($U$32,$AV$24:$BF$34,Q44+1))*V46</f>
        <v>3.1876672619899214E-3</v>
      </c>
      <c r="AN44" s="28">
        <v>5</v>
      </c>
      <c r="AO44" s="79">
        <f>((($W$39)^Q44)*((1-($W$39))^($U$33-Q44))*HLOOKUP($U$33,$AV$24:$BF$34,Q44+1))*V47</f>
        <v>9.4954220288446991E-3</v>
      </c>
      <c r="AP44" s="28">
        <v>5</v>
      </c>
      <c r="AQ44" s="79">
        <f>((($W$39)^Q44)*((1-($W$39))^($U$34-Q44))*HLOOKUP($U$34,$AV$24:$BF$34,Q44+1))*V48</f>
        <v>1.4158362476675937E-2</v>
      </c>
      <c r="AR44" s="28">
        <v>5</v>
      </c>
      <c r="AS44" s="79">
        <f>((($W$39)^Q44)*((1-($W$39))^($U$35-Q44))*HLOOKUP($U$35,$AV$24:$BF$34,Q44+1))*V49</f>
        <v>8.5243701641023184E-3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2.0797963928705685E-5</v>
      </c>
      <c r="BP44">
        <f t="shared" si="34"/>
        <v>9</v>
      </c>
      <c r="BQ44">
        <v>5</v>
      </c>
      <c r="BR44" s="107">
        <f t="shared" si="35"/>
        <v>1.3361977789347779E-9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2.3938195368422576E-2</v>
      </c>
      <c r="I45" s="93">
        <v>6</v>
      </c>
      <c r="J45" s="86">
        <f t="shared" si="33"/>
        <v>8.3236208517077758E-3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8.467485745332233E-2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8.4376034847508691E-2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3.3089934578661111E-5</v>
      </c>
      <c r="AL45" s="28">
        <v>6</v>
      </c>
      <c r="AM45" s="79">
        <f>((($W$39)^Q45)*((1-($W$39))^($U$32-Q45))*HLOOKUP($U$32,$AV$24:$BF$34,Q45+1))*V46</f>
        <v>3.9409580336931445E-4</v>
      </c>
      <c r="AN45" s="28">
        <v>6</v>
      </c>
      <c r="AO45" s="79">
        <f>((($W$39)^Q45)*((1-($W$39))^($U$33-Q45))*HLOOKUP($U$33,$AV$24:$BF$34,Q45+1))*V47</f>
        <v>1.7608986440066227E-3</v>
      </c>
      <c r="AP45" s="28">
        <v>6</v>
      </c>
      <c r="AQ45" s="79">
        <f>((($W$39)^Q45)*((1-($W$39))^($U$34-Q45))*HLOOKUP($U$34,$AV$24:$BF$34,Q45+1))*V48</f>
        <v>3.5008366783905588E-3</v>
      </c>
      <c r="AR45" s="28">
        <v>6</v>
      </c>
      <c r="AS45" s="79">
        <f>((($W$39)^Q45)*((1-($W$39))^($U$35-Q45))*HLOOKUP($U$35,$AV$24:$BF$34,Q45+1))*V49</f>
        <v>2.634699791362619E-3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5.3079868460987884E-6</v>
      </c>
      <c r="BP45">
        <f t="shared" si="34"/>
        <v>9</v>
      </c>
      <c r="BQ45">
        <v>6</v>
      </c>
      <c r="BR45" s="107">
        <f t="shared" si="35"/>
        <v>4.5221927428795677E-10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6.1094262193403795E-3</v>
      </c>
      <c r="I46" s="93">
        <v>7</v>
      </c>
      <c r="J46" s="86">
        <f t="shared" si="33"/>
        <v>1.3223546354590621E-3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0.19736609806855701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0.19680264186548083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2.0881123064315854E-5</v>
      </c>
      <c r="AN46" s="28">
        <v>7</v>
      </c>
      <c r="AO46" s="79">
        <f>((($W$39)^Q46)*((1-($W$39))^($U$33-Q46))*HLOOKUP($U$33,$AV$24:$BF$34,Q46+1))*V47</f>
        <v>1.8660204435027583E-4</v>
      </c>
      <c r="AP46" s="28">
        <v>7</v>
      </c>
      <c r="AQ46" s="79">
        <f>((($W$39)^Q46)*((1-($W$39))^($U$34-Q46))*HLOOKUP($U$34,$AV$24:$BF$34,Q46+1))*V48</f>
        <v>5.564743462216418E-4</v>
      </c>
      <c r="AR46" s="28">
        <v>7</v>
      </c>
      <c r="AS46" s="79">
        <f>((($W$39)^Q46)*((1-($W$39))^($U$35-Q46))*HLOOKUP($U$35,$AV$24:$BF$34,Q46+1))*V49</f>
        <v>5.5839712182282871E-4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1.0237204039862617E-6</v>
      </c>
      <c r="BP46">
        <f t="shared" si="34"/>
        <v>9</v>
      </c>
      <c r="BQ46">
        <v>7</v>
      </c>
      <c r="BR46" s="107">
        <f t="shared" si="35"/>
        <v>1.1541389184543104E-10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1.1782893324206614E-3</v>
      </c>
      <c r="I47" s="93">
        <v>8</v>
      </c>
      <c r="J47" s="86">
        <f t="shared" si="33"/>
        <v>1.3791433698866293E-4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0.30189780303656433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0.30137514451172426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8.6512028077082567E-6</v>
      </c>
      <c r="AP47" s="28">
        <v>8</v>
      </c>
      <c r="AQ47" s="79">
        <f>((($W$39)^Q47)*((1-($W$39))^($U$34-Q47))*HLOOKUP($U$34,$AV$24:$BF$34,Q47+1))*V48</f>
        <v>5.159828171457188E-5</v>
      </c>
      <c r="AR47" s="28">
        <v>8</v>
      </c>
      <c r="AS47" s="79">
        <f>((($W$39)^Q47)*((1-($W$39))^($U$35-Q47))*HLOOKUP($U$35,$AV$24:$BF$34,Q47+1))*V49</f>
        <v>7.7664852466382796E-5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1.477011549241354E-7</v>
      </c>
      <c r="BP47">
        <f>BL12+1</f>
        <v>9</v>
      </c>
      <c r="BQ47">
        <v>8</v>
      </c>
      <c r="BR47" s="107">
        <f t="shared" si="35"/>
        <v>2.2259202860020133E-11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1.7000217496461633E-4</v>
      </c>
      <c r="I48" s="93">
        <v>9</v>
      </c>
      <c r="J48" s="86">
        <f t="shared" si="33"/>
        <v>8.5275996975156368E-6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0.27365511397229086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0.27379632741761223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2.1263894684840654E-6</v>
      </c>
      <c r="AR48" s="28">
        <v>9</v>
      </c>
      <c r="AS48" s="79">
        <f>((($W$39)^Q48)*((1-($W$39))^($U$35-Q48))*HLOOKUP($U$35,$AV$24:$BF$34,Q48+1))*V49</f>
        <v>6.4012102290315718E-6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1.5532307461846026E-8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1.7877490884138536E-5</v>
      </c>
      <c r="I49" s="94">
        <v>10</v>
      </c>
      <c r="J49" s="89">
        <f t="shared" si="33"/>
        <v>2.3741719700423804E-7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0.11162454410889802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0.11299281967875974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2.3741719700423804E-7</v>
      </c>
      <c r="BH49">
        <f>BP14+1</f>
        <v>6</v>
      </c>
      <c r="BI49">
        <v>0</v>
      </c>
      <c r="BJ49" s="107">
        <f>$H$31*H39</f>
        <v>4.6548758636857091E-6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5.2963879827113864E-7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1.0214833989866245E-7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1.4737840251954238E-8</v>
      </c>
    </row>
    <row r="53" spans="1:62" x14ac:dyDescent="0.25">
      <c r="BH53">
        <f>BH48+1</f>
        <v>6</v>
      </c>
      <c r="BI53">
        <v>10</v>
      </c>
      <c r="BJ53" s="107">
        <f>$H$31*H49</f>
        <v>1.5498366700957842E-9</v>
      </c>
    </row>
    <row r="54" spans="1:62" x14ac:dyDescent="0.25">
      <c r="BH54">
        <f>BH51+1</f>
        <v>7</v>
      </c>
      <c r="BI54">
        <v>8</v>
      </c>
      <c r="BJ54" s="107">
        <f>$H$32*H47</f>
        <v>7.9437227340180748E-9</v>
      </c>
    </row>
    <row r="55" spans="1:62" x14ac:dyDescent="0.25">
      <c r="BH55">
        <f>BH52+1</f>
        <v>7</v>
      </c>
      <c r="BI55">
        <v>9</v>
      </c>
      <c r="BJ55" s="107">
        <f>$H$32*H48</f>
        <v>1.146110810767161E-9</v>
      </c>
    </row>
    <row r="56" spans="1:62" x14ac:dyDescent="0.25">
      <c r="BH56">
        <f>BH53+1</f>
        <v>7</v>
      </c>
      <c r="BI56">
        <v>10</v>
      </c>
      <c r="BJ56" s="107">
        <f>$H$32*H49</f>
        <v>1.2052543195972157E-10</v>
      </c>
    </row>
    <row r="57" spans="1:62" x14ac:dyDescent="0.25">
      <c r="BH57">
        <f>BH55+1</f>
        <v>8</v>
      </c>
      <c r="BI57">
        <v>9</v>
      </c>
      <c r="BJ57" s="107">
        <f>$H$33*H48</f>
        <v>6.947963925807776E-11</v>
      </c>
    </row>
    <row r="58" spans="1:62" x14ac:dyDescent="0.25">
      <c r="BH58">
        <f>BH56+1</f>
        <v>8</v>
      </c>
      <c r="BI58">
        <v>10</v>
      </c>
      <c r="BJ58" s="107">
        <f>$H$33*H49</f>
        <v>7.3065042710662385E-12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3.3772579049042271E-13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C6" sqref="C6"/>
    </sheetView>
  </sheetViews>
  <sheetFormatPr baseColWidth="10" defaultRowHeight="15" x14ac:dyDescent="0.25"/>
  <cols>
    <col min="1" max="1" width="10.85546875" bestFit="1" customWidth="1"/>
    <col min="2" max="2" width="22" bestFit="1" customWidth="1"/>
    <col min="3" max="3" width="16" customWidth="1"/>
    <col min="4" max="4" width="5.28515625" bestFit="1" customWidth="1"/>
    <col min="5" max="5" width="5.5703125" bestFit="1" customWidth="1"/>
    <col min="6" max="6" width="7.42578125" bestFit="1" customWidth="1"/>
    <col min="7" max="7" width="3.5703125" bestFit="1" customWidth="1"/>
    <col min="8" max="8" width="4.140625" bestFit="1" customWidth="1"/>
    <col min="9" max="9" width="3.140625" bestFit="1" customWidth="1"/>
    <col min="10" max="10" width="4.140625" bestFit="1" customWidth="1"/>
    <col min="11" max="11" width="3" bestFit="1" customWidth="1"/>
    <col min="12" max="12" width="10.7109375" bestFit="1" customWidth="1"/>
    <col min="13" max="13" width="4.5703125" bestFit="1" customWidth="1"/>
    <col min="14" max="14" width="4.140625" bestFit="1" customWidth="1"/>
    <col min="15" max="15" width="6.42578125" bestFit="1" customWidth="1"/>
    <col min="16" max="16" width="3.140625" bestFit="1" customWidth="1"/>
    <col min="17" max="17" width="4" bestFit="1" customWidth="1"/>
    <col min="18" max="18" width="3.42578125" bestFit="1" customWidth="1"/>
  </cols>
  <sheetData>
    <row r="1" spans="1:18" s="14" customFormat="1" x14ac:dyDescent="0.25">
      <c r="A1" s="14" t="s">
        <v>154</v>
      </c>
      <c r="B1" s="14" t="s">
        <v>155</v>
      </c>
      <c r="C1" s="14" t="s">
        <v>156</v>
      </c>
      <c r="D1" s="14" t="s">
        <v>157</v>
      </c>
      <c r="E1" s="14" t="s">
        <v>158</v>
      </c>
      <c r="F1" s="14" t="s">
        <v>213</v>
      </c>
      <c r="G1" s="14" t="s">
        <v>214</v>
      </c>
      <c r="H1" s="14" t="s">
        <v>127</v>
      </c>
      <c r="I1" s="14" t="s">
        <v>215</v>
      </c>
      <c r="J1" s="14" t="s">
        <v>216</v>
      </c>
      <c r="K1" s="14" t="s">
        <v>217</v>
      </c>
      <c r="L1" s="14" t="s">
        <v>218</v>
      </c>
      <c r="M1" s="14" t="s">
        <v>219</v>
      </c>
      <c r="N1" s="14" t="s">
        <v>220</v>
      </c>
      <c r="O1" s="14" t="s">
        <v>221</v>
      </c>
      <c r="P1" s="14" t="s">
        <v>222</v>
      </c>
      <c r="Q1" s="14" t="s">
        <v>103</v>
      </c>
      <c r="R1" s="14" t="s">
        <v>223</v>
      </c>
    </row>
    <row r="2" spans="1:18" x14ac:dyDescent="0.25">
      <c r="A2" t="s">
        <v>159</v>
      </c>
      <c r="B2" t="s">
        <v>160</v>
      </c>
      <c r="C2" t="s">
        <v>161</v>
      </c>
      <c r="E2" t="s">
        <v>162</v>
      </c>
      <c r="F2" t="s">
        <v>224</v>
      </c>
      <c r="G2">
        <v>4</v>
      </c>
      <c r="H2">
        <v>9</v>
      </c>
      <c r="I2">
        <v>6</v>
      </c>
      <c r="J2">
        <v>7</v>
      </c>
      <c r="K2">
        <v>15</v>
      </c>
      <c r="L2" s="200">
        <v>43075</v>
      </c>
      <c r="M2">
        <v>9</v>
      </c>
      <c r="N2" t="s">
        <v>22</v>
      </c>
      <c r="O2" t="s">
        <v>225</v>
      </c>
      <c r="P2">
        <v>5</v>
      </c>
      <c r="Q2">
        <v>26</v>
      </c>
      <c r="R2" t="s">
        <v>223</v>
      </c>
    </row>
    <row r="3" spans="1:18" x14ac:dyDescent="0.25">
      <c r="A3" t="s">
        <v>163</v>
      </c>
      <c r="B3" t="s">
        <v>164</v>
      </c>
      <c r="C3" t="s">
        <v>165</v>
      </c>
      <c r="E3" t="s">
        <v>166</v>
      </c>
      <c r="F3" t="s">
        <v>226</v>
      </c>
      <c r="G3">
        <v>2</v>
      </c>
      <c r="H3">
        <v>22</v>
      </c>
      <c r="I3">
        <v>7</v>
      </c>
      <c r="J3">
        <v>7</v>
      </c>
      <c r="K3">
        <v>20</v>
      </c>
      <c r="L3" s="200">
        <v>43071</v>
      </c>
      <c r="M3" t="s">
        <v>227</v>
      </c>
      <c r="N3" t="s">
        <v>228</v>
      </c>
      <c r="O3" t="s">
        <v>229</v>
      </c>
      <c r="P3">
        <v>3</v>
      </c>
      <c r="Q3">
        <v>41</v>
      </c>
      <c r="R3" t="s">
        <v>223</v>
      </c>
    </row>
    <row r="4" spans="1:18" x14ac:dyDescent="0.25">
      <c r="A4" t="s">
        <v>167</v>
      </c>
      <c r="B4" t="s">
        <v>168</v>
      </c>
      <c r="C4" t="s">
        <v>169</v>
      </c>
      <c r="D4" t="s">
        <v>170</v>
      </c>
      <c r="E4" t="s">
        <v>171</v>
      </c>
      <c r="F4" t="s">
        <v>230</v>
      </c>
      <c r="G4">
        <v>7</v>
      </c>
      <c r="H4">
        <v>12</v>
      </c>
      <c r="I4">
        <v>6</v>
      </c>
      <c r="J4">
        <v>7</v>
      </c>
      <c r="K4">
        <v>19</v>
      </c>
      <c r="L4" s="200">
        <v>43071</v>
      </c>
      <c r="M4" t="s">
        <v>231</v>
      </c>
      <c r="N4" t="s">
        <v>20</v>
      </c>
      <c r="O4" t="s">
        <v>232</v>
      </c>
      <c r="P4">
        <v>4</v>
      </c>
      <c r="Q4">
        <v>52</v>
      </c>
      <c r="R4" t="s">
        <v>223</v>
      </c>
    </row>
    <row r="5" spans="1:18" x14ac:dyDescent="0.25">
      <c r="A5" t="s">
        <v>159</v>
      </c>
      <c r="B5" t="s">
        <v>172</v>
      </c>
      <c r="C5" t="s">
        <v>169</v>
      </c>
      <c r="D5" t="s">
        <v>170</v>
      </c>
      <c r="E5" t="s">
        <v>173</v>
      </c>
      <c r="F5" t="s">
        <v>233</v>
      </c>
      <c r="G5">
        <v>7</v>
      </c>
      <c r="H5">
        <v>8</v>
      </c>
      <c r="I5">
        <v>5</v>
      </c>
      <c r="J5">
        <v>7</v>
      </c>
      <c r="K5">
        <v>7</v>
      </c>
      <c r="L5" s="200">
        <v>43075</v>
      </c>
      <c r="M5" t="s">
        <v>234</v>
      </c>
      <c r="N5" t="s">
        <v>17</v>
      </c>
      <c r="O5" t="s">
        <v>235</v>
      </c>
      <c r="P5">
        <v>9</v>
      </c>
      <c r="Q5">
        <v>55</v>
      </c>
      <c r="R5" t="s">
        <v>223</v>
      </c>
    </row>
    <row r="6" spans="1:18" x14ac:dyDescent="0.25">
      <c r="A6" t="s">
        <v>159</v>
      </c>
      <c r="B6" t="s">
        <v>174</v>
      </c>
      <c r="C6" t="s">
        <v>175</v>
      </c>
      <c r="E6" t="s">
        <v>176</v>
      </c>
      <c r="F6" t="s">
        <v>236</v>
      </c>
      <c r="G6">
        <v>4</v>
      </c>
      <c r="H6">
        <v>8</v>
      </c>
      <c r="I6">
        <v>8</v>
      </c>
      <c r="J6">
        <v>7</v>
      </c>
      <c r="K6">
        <v>20</v>
      </c>
      <c r="L6" s="200">
        <v>43075</v>
      </c>
      <c r="M6">
        <v>4</v>
      </c>
      <c r="N6" t="s">
        <v>17</v>
      </c>
      <c r="O6" t="s">
        <v>237</v>
      </c>
      <c r="P6">
        <v>9</v>
      </c>
      <c r="Q6">
        <v>127</v>
      </c>
      <c r="R6" t="s">
        <v>223</v>
      </c>
    </row>
    <row r="7" spans="1:18" x14ac:dyDescent="0.25">
      <c r="A7" t="s">
        <v>177</v>
      </c>
      <c r="B7" t="s">
        <v>178</v>
      </c>
      <c r="C7" t="s">
        <v>161</v>
      </c>
      <c r="D7" t="s">
        <v>179</v>
      </c>
      <c r="E7" t="s">
        <v>180</v>
      </c>
      <c r="F7" t="s">
        <v>238</v>
      </c>
      <c r="G7">
        <v>7</v>
      </c>
      <c r="H7">
        <v>10</v>
      </c>
      <c r="I7">
        <v>4</v>
      </c>
      <c r="J7">
        <v>7</v>
      </c>
      <c r="K7">
        <v>18</v>
      </c>
      <c r="L7" s="200">
        <v>43075</v>
      </c>
      <c r="M7">
        <v>8</v>
      </c>
      <c r="N7" t="s">
        <v>22</v>
      </c>
      <c r="O7" t="s">
        <v>239</v>
      </c>
      <c r="P7">
        <v>8</v>
      </c>
      <c r="Q7">
        <v>104</v>
      </c>
      <c r="R7" t="s">
        <v>223</v>
      </c>
    </row>
    <row r="8" spans="1:18" x14ac:dyDescent="0.25">
      <c r="A8" t="s">
        <v>163</v>
      </c>
      <c r="B8" t="s">
        <v>181</v>
      </c>
      <c r="C8" t="s">
        <v>161</v>
      </c>
      <c r="D8" t="s">
        <v>179</v>
      </c>
      <c r="E8" t="s">
        <v>182</v>
      </c>
      <c r="F8" t="s">
        <v>240</v>
      </c>
      <c r="G8">
        <v>3</v>
      </c>
      <c r="H8">
        <v>17</v>
      </c>
      <c r="I8">
        <v>6</v>
      </c>
      <c r="J8">
        <v>7</v>
      </c>
      <c r="K8">
        <v>20</v>
      </c>
      <c r="L8" s="200">
        <v>43071</v>
      </c>
      <c r="M8" t="s">
        <v>231</v>
      </c>
      <c r="N8" t="s">
        <v>228</v>
      </c>
      <c r="O8" t="s">
        <v>241</v>
      </c>
      <c r="P8">
        <v>2</v>
      </c>
      <c r="Q8">
        <v>62</v>
      </c>
      <c r="R8" t="s">
        <v>223</v>
      </c>
    </row>
    <row r="9" spans="1:18" x14ac:dyDescent="0.25">
      <c r="A9" t="s">
        <v>183</v>
      </c>
      <c r="B9" t="s">
        <v>184</v>
      </c>
      <c r="C9" t="s">
        <v>161</v>
      </c>
      <c r="D9" t="s">
        <v>179</v>
      </c>
      <c r="E9" t="s">
        <v>185</v>
      </c>
      <c r="F9" t="s">
        <v>242</v>
      </c>
      <c r="G9">
        <v>7</v>
      </c>
      <c r="H9">
        <v>17</v>
      </c>
      <c r="I9">
        <v>5</v>
      </c>
      <c r="J9">
        <v>8</v>
      </c>
      <c r="K9">
        <v>20</v>
      </c>
      <c r="L9" s="200">
        <v>43071</v>
      </c>
      <c r="M9">
        <v>9</v>
      </c>
      <c r="N9" t="s">
        <v>228</v>
      </c>
      <c r="O9" t="s">
        <v>243</v>
      </c>
      <c r="P9">
        <v>3</v>
      </c>
      <c r="Q9">
        <v>48</v>
      </c>
      <c r="R9" t="s">
        <v>223</v>
      </c>
    </row>
    <row r="10" spans="1:18" x14ac:dyDescent="0.25">
      <c r="A10" t="s">
        <v>186</v>
      </c>
      <c r="B10" t="s">
        <v>187</v>
      </c>
      <c r="C10" t="s">
        <v>169</v>
      </c>
      <c r="D10" t="s">
        <v>170</v>
      </c>
      <c r="E10" t="s">
        <v>188</v>
      </c>
      <c r="F10" t="s">
        <v>244</v>
      </c>
      <c r="G10">
        <v>3</v>
      </c>
      <c r="H10">
        <v>9</v>
      </c>
      <c r="I10">
        <v>7</v>
      </c>
      <c r="J10">
        <v>7</v>
      </c>
      <c r="K10">
        <v>19</v>
      </c>
      <c r="L10" s="200">
        <v>43071</v>
      </c>
      <c r="M10" t="s">
        <v>231</v>
      </c>
      <c r="N10" t="s">
        <v>20</v>
      </c>
      <c r="O10" t="s">
        <v>245</v>
      </c>
      <c r="P10">
        <v>4</v>
      </c>
      <c r="Q10">
        <v>67</v>
      </c>
      <c r="R10" t="s">
        <v>223</v>
      </c>
    </row>
    <row r="11" spans="1:18" x14ac:dyDescent="0.25">
      <c r="A11" t="s">
        <v>159</v>
      </c>
      <c r="B11" t="s">
        <v>189</v>
      </c>
      <c r="C11" t="s">
        <v>161</v>
      </c>
      <c r="D11" t="s">
        <v>170</v>
      </c>
      <c r="E11" t="s">
        <v>190</v>
      </c>
      <c r="F11" t="s">
        <v>246</v>
      </c>
      <c r="G11">
        <v>6</v>
      </c>
      <c r="H11">
        <v>7</v>
      </c>
      <c r="I11">
        <v>4</v>
      </c>
      <c r="J11">
        <v>7</v>
      </c>
      <c r="K11">
        <v>19</v>
      </c>
      <c r="L11" s="200">
        <v>43075</v>
      </c>
      <c r="M11">
        <v>6</v>
      </c>
      <c r="N11" t="s">
        <v>20</v>
      </c>
      <c r="O11" t="s">
        <v>247</v>
      </c>
      <c r="P11">
        <v>3</v>
      </c>
      <c r="Q11">
        <v>31</v>
      </c>
      <c r="R11" t="s">
        <v>223</v>
      </c>
    </row>
    <row r="12" spans="1:18" x14ac:dyDescent="0.25">
      <c r="A12" t="s">
        <v>191</v>
      </c>
      <c r="B12" t="s">
        <v>192</v>
      </c>
      <c r="C12" t="s">
        <v>161</v>
      </c>
      <c r="D12" t="s">
        <v>170</v>
      </c>
      <c r="E12" t="s">
        <v>193</v>
      </c>
      <c r="F12" t="s">
        <v>248</v>
      </c>
      <c r="G12">
        <v>4</v>
      </c>
      <c r="H12">
        <v>17</v>
      </c>
      <c r="I12">
        <v>3</v>
      </c>
      <c r="J12">
        <v>8</v>
      </c>
      <c r="K12">
        <v>14</v>
      </c>
      <c r="L12" s="200">
        <v>43075</v>
      </c>
      <c r="M12" t="s">
        <v>249</v>
      </c>
      <c r="N12" t="s">
        <v>228</v>
      </c>
      <c r="O12" t="s">
        <v>250</v>
      </c>
      <c r="P12">
        <v>6</v>
      </c>
      <c r="Q12">
        <v>42</v>
      </c>
      <c r="R12" t="s">
        <v>223</v>
      </c>
    </row>
    <row r="13" spans="1:18" x14ac:dyDescent="0.25">
      <c r="A13" t="s">
        <v>194</v>
      </c>
      <c r="B13" t="s">
        <v>195</v>
      </c>
      <c r="D13" t="s">
        <v>196</v>
      </c>
      <c r="E13" t="s">
        <v>197</v>
      </c>
      <c r="F13" t="s">
        <v>251</v>
      </c>
      <c r="G13">
        <v>3</v>
      </c>
      <c r="H13">
        <v>8</v>
      </c>
      <c r="I13">
        <v>4</v>
      </c>
      <c r="J13">
        <v>7</v>
      </c>
      <c r="K13">
        <v>11</v>
      </c>
      <c r="L13" s="200">
        <v>43071</v>
      </c>
      <c r="M13">
        <v>7</v>
      </c>
      <c r="N13" t="s">
        <v>252</v>
      </c>
      <c r="O13" t="s">
        <v>253</v>
      </c>
      <c r="P13">
        <v>0</v>
      </c>
      <c r="Q13">
        <v>0</v>
      </c>
      <c r="R13" t="s">
        <v>223</v>
      </c>
    </row>
    <row r="14" spans="1:18" x14ac:dyDescent="0.25">
      <c r="A14" t="s">
        <v>159</v>
      </c>
      <c r="B14" t="s">
        <v>198</v>
      </c>
      <c r="C14" t="s">
        <v>161</v>
      </c>
      <c r="E14" t="s">
        <v>199</v>
      </c>
      <c r="F14" t="s">
        <v>254</v>
      </c>
      <c r="G14">
        <v>4</v>
      </c>
      <c r="H14">
        <v>7</v>
      </c>
      <c r="I14">
        <v>6</v>
      </c>
      <c r="J14">
        <v>7</v>
      </c>
      <c r="K14">
        <v>20</v>
      </c>
      <c r="L14" s="200">
        <v>43075</v>
      </c>
      <c r="M14">
        <v>6</v>
      </c>
      <c r="N14" t="s">
        <v>228</v>
      </c>
      <c r="O14" t="s">
        <v>255</v>
      </c>
      <c r="P14">
        <v>0</v>
      </c>
      <c r="Q14">
        <v>25</v>
      </c>
      <c r="R14" t="s">
        <v>223</v>
      </c>
    </row>
    <row r="15" spans="1:18" x14ac:dyDescent="0.25">
      <c r="A15" t="s">
        <v>200</v>
      </c>
      <c r="B15" t="s">
        <v>201</v>
      </c>
      <c r="C15" t="s">
        <v>169</v>
      </c>
      <c r="E15" t="s">
        <v>202</v>
      </c>
      <c r="F15">
        <v>0</v>
      </c>
      <c r="G15">
        <v>7</v>
      </c>
      <c r="H15">
        <v>7</v>
      </c>
      <c r="I15">
        <v>4</v>
      </c>
      <c r="J15">
        <v>2</v>
      </c>
      <c r="K15">
        <v>20</v>
      </c>
      <c r="L15" s="200">
        <v>43075</v>
      </c>
      <c r="M15" t="s">
        <v>256</v>
      </c>
      <c r="N15" t="s">
        <v>18</v>
      </c>
      <c r="O15">
        <v>300</v>
      </c>
      <c r="P15">
        <v>0</v>
      </c>
      <c r="Q15">
        <v>6</v>
      </c>
      <c r="R15" t="s">
        <v>223</v>
      </c>
    </row>
    <row r="16" spans="1:18" x14ac:dyDescent="0.25">
      <c r="A16" t="s">
        <v>203</v>
      </c>
      <c r="B16" t="s">
        <v>204</v>
      </c>
      <c r="E16" t="s">
        <v>205</v>
      </c>
      <c r="F16">
        <v>0</v>
      </c>
      <c r="G16">
        <v>7</v>
      </c>
      <c r="H16">
        <v>7</v>
      </c>
      <c r="I16">
        <v>4</v>
      </c>
      <c r="J16">
        <v>3</v>
      </c>
      <c r="K16">
        <v>20</v>
      </c>
      <c r="L16" s="200">
        <v>43075</v>
      </c>
      <c r="M16" t="s">
        <v>256</v>
      </c>
      <c r="N16" t="s">
        <v>252</v>
      </c>
      <c r="O16">
        <v>300</v>
      </c>
      <c r="P16">
        <v>0</v>
      </c>
      <c r="Q16">
        <v>39</v>
      </c>
      <c r="R16" t="s">
        <v>223</v>
      </c>
    </row>
    <row r="17" spans="1:18" x14ac:dyDescent="0.25">
      <c r="A17" t="s">
        <v>200</v>
      </c>
      <c r="B17" t="s">
        <v>206</v>
      </c>
      <c r="E17" t="s">
        <v>207</v>
      </c>
      <c r="F17">
        <v>0</v>
      </c>
      <c r="G17">
        <v>7</v>
      </c>
      <c r="H17">
        <v>7</v>
      </c>
      <c r="I17">
        <v>3</v>
      </c>
      <c r="J17">
        <v>2</v>
      </c>
      <c r="K17">
        <v>20</v>
      </c>
      <c r="L17" s="200">
        <v>43075</v>
      </c>
      <c r="M17">
        <v>0</v>
      </c>
      <c r="N17" t="s">
        <v>18</v>
      </c>
      <c r="O17">
        <v>300</v>
      </c>
      <c r="P17">
        <v>0</v>
      </c>
      <c r="Q17">
        <v>4</v>
      </c>
      <c r="R17" t="s">
        <v>223</v>
      </c>
    </row>
    <row r="18" spans="1:18" x14ac:dyDescent="0.25">
      <c r="A18" t="s">
        <v>159</v>
      </c>
      <c r="B18" t="s">
        <v>208</v>
      </c>
      <c r="D18" t="s">
        <v>209</v>
      </c>
      <c r="E18" t="s">
        <v>210</v>
      </c>
      <c r="F18">
        <v>0</v>
      </c>
      <c r="G18">
        <v>7</v>
      </c>
      <c r="H18">
        <v>13</v>
      </c>
      <c r="I18">
        <v>3</v>
      </c>
      <c r="J18">
        <v>1</v>
      </c>
      <c r="K18">
        <v>20</v>
      </c>
      <c r="L18" s="200">
        <v>43061</v>
      </c>
      <c r="M18" t="s">
        <v>256</v>
      </c>
      <c r="N18" t="s">
        <v>18</v>
      </c>
      <c r="O18">
        <v>250</v>
      </c>
      <c r="P18">
        <v>0</v>
      </c>
      <c r="Q18">
        <v>46</v>
      </c>
      <c r="R18" t="s">
        <v>223</v>
      </c>
    </row>
    <row r="19" spans="1:18" x14ac:dyDescent="0.25">
      <c r="A19" t="s">
        <v>177</v>
      </c>
      <c r="B19" t="s">
        <v>211</v>
      </c>
      <c r="E19" t="s">
        <v>212</v>
      </c>
      <c r="F19">
        <v>0</v>
      </c>
      <c r="G19">
        <v>5</v>
      </c>
      <c r="H19">
        <v>7</v>
      </c>
      <c r="I19">
        <v>4</v>
      </c>
      <c r="J19">
        <v>2</v>
      </c>
      <c r="K19">
        <v>20</v>
      </c>
      <c r="L19" s="200">
        <v>43075</v>
      </c>
      <c r="M19" t="s">
        <v>256</v>
      </c>
      <c r="N19" t="s">
        <v>18</v>
      </c>
      <c r="O19">
        <v>300</v>
      </c>
      <c r="P19">
        <v>0</v>
      </c>
      <c r="Q19">
        <v>0</v>
      </c>
      <c r="R19" t="s">
        <v>223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Y5" sqref="Y5:Y19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7" t="s">
        <v>135</v>
      </c>
      <c r="Q1" s="197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198" t="s">
        <v>23</v>
      </c>
      <c r="C3" s="198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0</v>
      </c>
      <c r="Z10" s="146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</v>
      </c>
      <c r="Z17" s="146" t="str">
        <f>Z3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AH13" sqref="AH13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7" t="s">
        <v>135</v>
      </c>
      <c r="Q1" s="197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2</v>
      </c>
    </row>
    <row r="2" spans="1:70" x14ac:dyDescent="0.25">
      <c r="A2" s="193" t="s">
        <v>143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198" t="s">
        <v>23</v>
      </c>
      <c r="C3" s="198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2.7875104828975823E-2</v>
      </c>
      <c r="BL4">
        <v>0</v>
      </c>
      <c r="BM4">
        <v>0</v>
      </c>
      <c r="BN4" s="107">
        <f>H25*H39</f>
        <v>8.7694361109492951E-3</v>
      </c>
      <c r="BP4">
        <v>1</v>
      </c>
      <c r="BQ4">
        <v>0</v>
      </c>
      <c r="BR4" s="107">
        <f>$H$26*H39</f>
        <v>1.8212022839668579E-2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147</v>
      </c>
      <c r="G5" s="167">
        <v>12</v>
      </c>
      <c r="H5" s="10"/>
      <c r="I5" s="10"/>
      <c r="J5" s="166" t="s">
        <v>147</v>
      </c>
      <c r="K5" s="166">
        <v>12</v>
      </c>
      <c r="L5" s="10"/>
      <c r="M5" s="10"/>
      <c r="O5" s="67">
        <f>COUNTIF(F5:F10,"IMP")/(COUNTIF(J5:J10,"IMP")+COUNTIF(F5:F10,"IMP"))*AI5</f>
        <v>8.5000000000000006E-3</v>
      </c>
      <c r="P5" s="16" t="str">
        <f>P3</f>
        <v>0,6</v>
      </c>
      <c r="Q5" s="16">
        <f>P5*O5</f>
        <v>5.1000000000000004E-3</v>
      </c>
      <c r="R5" s="157">
        <f>IF($M$2="SI",Q5*$B$22/0.5*$S$1,Q5*$B$22/0.5*$S$2)</f>
        <v>5.1889213093234384E-3</v>
      </c>
      <c r="S5" s="176">
        <f>(1-R5)</f>
        <v>0.99481107869067653</v>
      </c>
      <c r="T5" s="177">
        <f>R5*PRODUCT(S6:S19)</f>
        <v>4.3557113599224902E-3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7.7788081849321851E-4</v>
      </c>
      <c r="V5" s="18"/>
      <c r="W5" s="186" t="s">
        <v>36</v>
      </c>
      <c r="X5" s="15" t="s">
        <v>37</v>
      </c>
      <c r="Y5" s="69">
        <f>COUNTIF(J5:J10,"IMP")/(COUNTIF(J5:J10,"IMP")+COUNTIF(F5:F10,"IMP"))*AI5</f>
        <v>8.5000000000000006E-3</v>
      </c>
      <c r="Z5" s="146" t="str">
        <f>Z3</f>
        <v>0,6</v>
      </c>
      <c r="AA5" s="19">
        <f>Z5*Y5</f>
        <v>5.1000000000000004E-3</v>
      </c>
      <c r="AB5" s="157">
        <f>IF($M$2="SI",AA5*$C$22/0.5*$S$1,AA5*$C$22/0.5*$S$2)</f>
        <v>5.7654681214704892E-3</v>
      </c>
      <c r="AC5" s="176">
        <f>(1-AB5)</f>
        <v>0.9942345318785295</v>
      </c>
      <c r="AD5" s="177">
        <f>AB5*PRODUCT(AC6:AC19)</f>
        <v>4.3341402357483516E-3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1.2758487309103717E-3</v>
      </c>
      <c r="AF5" s="18"/>
      <c r="AI5" s="194">
        <v>1.7000000000000001E-2</v>
      </c>
      <c r="BH5">
        <v>0</v>
      </c>
      <c r="BI5">
        <v>2</v>
      </c>
      <c r="BJ5" s="107">
        <f t="shared" si="0"/>
        <v>4.0595710445274158E-2</v>
      </c>
      <c r="BL5">
        <v>1</v>
      </c>
      <c r="BM5">
        <v>1</v>
      </c>
      <c r="BN5" s="107">
        <f>$H$26*H40</f>
        <v>5.7889930365033357E-2</v>
      </c>
      <c r="BP5">
        <f>BP4+1</f>
        <v>2</v>
      </c>
      <c r="BQ5">
        <v>0</v>
      </c>
      <c r="BR5" s="107">
        <f>$H$27*H39</f>
        <v>1.73168669618609E-2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144</v>
      </c>
      <c r="K6" s="166"/>
      <c r="L6" s="10"/>
      <c r="M6" s="10"/>
      <c r="O6" s="67">
        <f>COUNTIF(F11:F18,"IMP")/(COUNTIF(J11:J18,"IMP")+COUNTIF(F11:F18,"IMP"))*AI6</f>
        <v>5.6666666666666671E-3</v>
      </c>
      <c r="P6" s="16" t="str">
        <f>P3</f>
        <v>0,6</v>
      </c>
      <c r="Q6" s="16">
        <f t="shared" ref="Q6:Q19" si="1">P6*O6</f>
        <v>3.4000000000000002E-3</v>
      </c>
      <c r="R6" s="157">
        <f>IF($M$2="SI",Q6*$B$22/0.5*$S$1,Q6*$B$22/0.5*$S$2)</f>
        <v>3.4592808728822924E-3</v>
      </c>
      <c r="S6" s="176">
        <f t="shared" ref="S6:S19" si="2">(1-R6)</f>
        <v>0.99654071912711772</v>
      </c>
      <c r="T6" s="177">
        <f>R6*S5*PRODUCT(S7:S19)</f>
        <v>2.8987675955848215E-3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5.0762466910210719E-4</v>
      </c>
      <c r="V6" s="18"/>
      <c r="W6" s="186" t="s">
        <v>38</v>
      </c>
      <c r="X6" s="15" t="s">
        <v>39</v>
      </c>
      <c r="Y6" s="69">
        <f>COUNTIF(J11:J18,"IMP")/(COUNTIF(J11:J18,"IMP")+COUNTIF(F11:F18,"IMP"))*AI6</f>
        <v>1.1333333333333334E-2</v>
      </c>
      <c r="Z6" s="146" t="str">
        <f>Z3</f>
        <v>0,6</v>
      </c>
      <c r="AA6" s="19">
        <f t="shared" ref="AA6:AA19" si="3">Z6*Y6</f>
        <v>6.8000000000000005E-3</v>
      </c>
      <c r="AB6" s="157">
        <f t="shared" ref="AB6:AB19" si="4">IF($M$2="SI",AA6*$C$22/0.5*$S$1,AA6*$C$22/0.5*$S$2)</f>
        <v>7.6872908286273181E-3</v>
      </c>
      <c r="AC6" s="176">
        <f t="shared" ref="AC6:AC19" si="5">(1-AB6)</f>
        <v>0.99231270917137271</v>
      </c>
      <c r="AD6" s="177">
        <f>AB6*AC5*PRODUCT(AC7:AC19)</f>
        <v>5.7900456157394236E-3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1.6595716664577894E-3</v>
      </c>
      <c r="AF6" s="18"/>
      <c r="AI6" s="194">
        <v>1.7000000000000001E-2</v>
      </c>
      <c r="BH6">
        <v>0</v>
      </c>
      <c r="BI6">
        <v>3</v>
      </c>
      <c r="BJ6" s="107">
        <f t="shared" si="0"/>
        <v>3.5857782353040449E-2</v>
      </c>
      <c r="BL6">
        <f>BH14+1</f>
        <v>2</v>
      </c>
      <c r="BM6">
        <v>2</v>
      </c>
      <c r="BN6" s="107">
        <f>$H$27*H41</f>
        <v>8.0163708145989401E-2</v>
      </c>
      <c r="BP6">
        <f>BL5+1</f>
        <v>2</v>
      </c>
      <c r="BQ6">
        <v>1</v>
      </c>
      <c r="BR6" s="107">
        <f>$H$27*H40</f>
        <v>5.5044529176579766E-2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2.1432561757742281E-2</v>
      </c>
      <c r="BL7">
        <f>BH23+1</f>
        <v>3</v>
      </c>
      <c r="BM7">
        <v>3</v>
      </c>
      <c r="BN7" s="107">
        <f>$H$28*H42</f>
        <v>4.0800099536000126E-2</v>
      </c>
      <c r="BP7">
        <f>BP5+1</f>
        <v>3</v>
      </c>
      <c r="BQ7">
        <v>0</v>
      </c>
      <c r="BR7" s="107">
        <f>$H$28*H39</f>
        <v>9.9781370381090244E-3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144</v>
      </c>
      <c r="K8" s="166"/>
      <c r="L8" s="10"/>
      <c r="M8" s="10"/>
      <c r="O8" s="67">
        <f>COUNTIF(F6:F18,"IMP")/(COUNTIF(F6:F18,"IMP")+COUNTIF(J6:J18,"IMP"))*AI8</f>
        <v>5.6666666666666671E-3</v>
      </c>
      <c r="P8" s="16" t="str">
        <f>P3</f>
        <v>0,6</v>
      </c>
      <c r="Q8" s="16">
        <f t="shared" si="1"/>
        <v>3.4000000000000002E-3</v>
      </c>
      <c r="R8" s="157">
        <f t="shared" si="6"/>
        <v>3.4592808728822924E-3</v>
      </c>
      <c r="S8" s="176">
        <f t="shared" si="2"/>
        <v>0.99654071912711772</v>
      </c>
      <c r="T8" s="177">
        <f>R8*PRODUCT(S5:S7)*PRODUCT(S9:S19)</f>
        <v>2.8987675955848219E-3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4.9756220892775444E-4</v>
      </c>
      <c r="W8" s="186" t="s">
        <v>42</v>
      </c>
      <c r="X8" s="15" t="s">
        <v>43</v>
      </c>
      <c r="Y8" s="69">
        <f>COUNTIF(J6:J18,"IMP")/(COUNTIF(F6:F18,"IMP")+COUNTIF(J6:J18,"IMP"))*AI8</f>
        <v>1.1333333333333334E-2</v>
      </c>
      <c r="Z8" s="146" t="str">
        <f>Z3</f>
        <v>0,6</v>
      </c>
      <c r="AA8" s="19">
        <f t="shared" si="3"/>
        <v>6.8000000000000005E-3</v>
      </c>
      <c r="AB8" s="157">
        <f t="shared" si="4"/>
        <v>7.6872908286273181E-3</v>
      </c>
      <c r="AC8" s="176">
        <f t="shared" si="5"/>
        <v>0.99231270917137271</v>
      </c>
      <c r="AD8" s="177">
        <f>AB8*PRODUCT(AC5:AC7)*PRODUCT(AC9:AC19)</f>
        <v>5.7900456157394236E-3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1.6147170917377143E-3</v>
      </c>
      <c r="AI8" s="194">
        <v>1.7000000000000001E-2</v>
      </c>
      <c r="BH8">
        <v>0</v>
      </c>
      <c r="BI8">
        <v>5</v>
      </c>
      <c r="BJ8" s="107">
        <f t="shared" si="0"/>
        <v>9.1573791367313365E-3</v>
      </c>
      <c r="BL8">
        <f>BH31+1</f>
        <v>4</v>
      </c>
      <c r="BM8">
        <v>4</v>
      </c>
      <c r="BN8" s="107">
        <f>$H$29*H43</f>
        <v>9.498333455123702E-3</v>
      </c>
      <c r="BP8">
        <f>BP6+1</f>
        <v>3</v>
      </c>
      <c r="BQ8">
        <v>1</v>
      </c>
      <c r="BR8" s="107">
        <f>$H$28*H40</f>
        <v>3.1717160877413185E-2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COUNTIF(J6:J13,"IMP")/(COUNTIF(J6:J13,"IMP")+COUNTIF(F6:F13,"IMP"))*AI9</f>
        <v>1.2500000000000001E-2</v>
      </c>
      <c r="P9" s="144">
        <v>0.5</v>
      </c>
      <c r="Q9" s="16">
        <f t="shared" si="1"/>
        <v>6.2500000000000003E-3</v>
      </c>
      <c r="R9" s="157">
        <f t="shared" si="6"/>
        <v>6.358972192798332E-3</v>
      </c>
      <c r="S9" s="176">
        <f t="shared" si="2"/>
        <v>0.99364102780720165</v>
      </c>
      <c r="T9" s="177">
        <f>R9*PRODUCT(S5:S8)*PRODUCT(S10:S19)</f>
        <v>5.3441671312964411E-3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8.8310465699495877E-4</v>
      </c>
      <c r="W9" s="187" t="s">
        <v>44</v>
      </c>
      <c r="X9" s="15" t="s">
        <v>45</v>
      </c>
      <c r="Y9" s="69">
        <f>COUNTIF(F6:F13,"IMP")/(COUNTIF(J6:J13,"IMP")+COUNTIF(F6:F13,"IMP"))*AI9</f>
        <v>1.2500000000000001E-2</v>
      </c>
      <c r="Z9" s="146">
        <v>0.5</v>
      </c>
      <c r="AA9" s="19">
        <f t="shared" si="3"/>
        <v>6.2500000000000003E-3</v>
      </c>
      <c r="AB9" s="157">
        <f t="shared" si="4"/>
        <v>7.0655246586648138E-3</v>
      </c>
      <c r="AC9" s="176">
        <f t="shared" si="5"/>
        <v>0.99293447534133517</v>
      </c>
      <c r="AD9" s="177">
        <f>AB9*PRODUCT(AC5:AC8)*PRODUCT(AC10:AC19)</f>
        <v>5.3184006838049589E-3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1.4453409515524825E-3</v>
      </c>
      <c r="AI9" s="194">
        <v>2.5000000000000001E-2</v>
      </c>
      <c r="BH9">
        <v>0</v>
      </c>
      <c r="BI9">
        <v>6</v>
      </c>
      <c r="BJ9" s="107">
        <f t="shared" si="0"/>
        <v>2.8801751262564207E-3</v>
      </c>
      <c r="BL9">
        <f>BH38+1</f>
        <v>5</v>
      </c>
      <c r="BM9">
        <v>5</v>
      </c>
      <c r="BN9" s="107">
        <f>$H$30*H44</f>
        <v>1.1283449718393884E-3</v>
      </c>
      <c r="BP9">
        <f>BL6+1</f>
        <v>3</v>
      </c>
      <c r="BQ9">
        <v>2</v>
      </c>
      <c r="BR9" s="107">
        <f>$H$28*H41</f>
        <v>4.6191061415748268E-2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16</v>
      </c>
      <c r="K10" s="166"/>
      <c r="L10" s="10"/>
      <c r="M10" s="10"/>
      <c r="O10" s="67">
        <f>COUNTIF(F11:F18,"RAP")/(COUNTIF(F11:F18,"RAP")+COUNTIF(J11:J18,"RAP"))*AI10</f>
        <v>5.6666666666666671E-2</v>
      </c>
      <c r="P10" s="16" t="str">
        <f>R3</f>
        <v>0,72</v>
      </c>
      <c r="Q10" s="16">
        <f t="shared" si="1"/>
        <v>4.0800000000000003E-2</v>
      </c>
      <c r="R10" s="157">
        <f t="shared" si="6"/>
        <v>4.1511370474587507E-2</v>
      </c>
      <c r="S10" s="176">
        <f t="shared" si="2"/>
        <v>0.95848862952541247</v>
      </c>
      <c r="T10" s="177">
        <f>R10*PRODUCT(S5:S9)*PRODUCT(S11:S19)</f>
        <v>3.6166187332448405E-2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4.4100056954886075E-3</v>
      </c>
      <c r="W10" s="186" t="s">
        <v>46</v>
      </c>
      <c r="X10" s="15" t="s">
        <v>47</v>
      </c>
      <c r="Y10" s="69">
        <f>COUNTIF(J11:J18,"RAP")/(COUNTIF(F11:F18,"RAP")+COUNTIF(J11:J18,"RAP"))*AI10</f>
        <v>2.8333333333333335E-2</v>
      </c>
      <c r="Z10" s="146" t="str">
        <f>AB3</f>
        <v>0,72</v>
      </c>
      <c r="AA10" s="19">
        <f t="shared" si="3"/>
        <v>2.0400000000000001E-2</v>
      </c>
      <c r="AB10" s="157">
        <f t="shared" si="4"/>
        <v>2.3061872485881957E-2</v>
      </c>
      <c r="AC10" s="176">
        <f t="shared" si="5"/>
        <v>0.97693812751411802</v>
      </c>
      <c r="AD10" s="177">
        <f>AB10*PRODUCT(AC5:AC9)*PRODUCT(AC11:AC19)</f>
        <v>1.7643499693681019E-2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4.3783412035393139E-3</v>
      </c>
      <c r="AI10" s="194">
        <v>8.5000000000000006E-2</v>
      </c>
      <c r="BH10">
        <v>0</v>
      </c>
      <c r="BI10">
        <v>7</v>
      </c>
      <c r="BJ10" s="107">
        <f t="shared" si="0"/>
        <v>6.764301732067301E-4</v>
      </c>
      <c r="BL10">
        <f>BH44+1</f>
        <v>6</v>
      </c>
      <c r="BM10">
        <v>6</v>
      </c>
      <c r="BN10" s="107">
        <f>$H$31*H45</f>
        <v>7.2504427151036204E-5</v>
      </c>
      <c r="BP10">
        <f>BP7+1</f>
        <v>4</v>
      </c>
      <c r="BQ10">
        <v>0</v>
      </c>
      <c r="BR10" s="107">
        <f>$H$29*H39</f>
        <v>3.8863776218962783E-3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147</v>
      </c>
      <c r="G11" s="167"/>
      <c r="H11" s="10"/>
      <c r="I11" s="10"/>
      <c r="J11" s="166" t="s">
        <v>147</v>
      </c>
      <c r="K11" s="166"/>
      <c r="L11" s="10"/>
      <c r="M11" s="10"/>
      <c r="O11" s="67">
        <f>COUNTIF(F11:F18,"RAP")/(COUNTIF(F11:F18,"RAP")+COUNTIF(J11:J18,"RAP"))*AI11</f>
        <v>5.6666666666666671E-2</v>
      </c>
      <c r="P11" s="16" t="str">
        <f>R3</f>
        <v>0,72</v>
      </c>
      <c r="Q11" s="16">
        <f t="shared" si="1"/>
        <v>4.0800000000000003E-2</v>
      </c>
      <c r="R11" s="157">
        <f t="shared" si="6"/>
        <v>4.1511370474587507E-2</v>
      </c>
      <c r="S11" s="176">
        <f t="shared" si="2"/>
        <v>0.95848862952541247</v>
      </c>
      <c r="T11" s="177">
        <f>R11*PRODUCT(S5:S10)*PRODUCT(S12:S19)</f>
        <v>3.6166187332448405E-2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2.8436772542696862E-3</v>
      </c>
      <c r="W11" s="186" t="s">
        <v>48</v>
      </c>
      <c r="X11" s="15" t="s">
        <v>49</v>
      </c>
      <c r="Y11" s="69">
        <f>COUNTIF(J11:J18,"RAP")/(COUNTIF(F11:F18,"RAP")+COUNTIF(J11:J18,"RAP"))*AI11</f>
        <v>2.8333333333333335E-2</v>
      </c>
      <c r="Z11" s="146" t="str">
        <f>AB3</f>
        <v>0,72</v>
      </c>
      <c r="AA11" s="19">
        <f t="shared" si="3"/>
        <v>2.0400000000000001E-2</v>
      </c>
      <c r="AB11" s="157">
        <f t="shared" si="4"/>
        <v>2.3061872485881957E-2</v>
      </c>
      <c r="AC11" s="176">
        <f t="shared" si="5"/>
        <v>0.97693812751411802</v>
      </c>
      <c r="AD11" s="177">
        <f>AB11*PRODUCT(AC5:AC10)*PRODUCT(AC12:AC19)</f>
        <v>1.7643499693681019E-2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3.961843854648108E-3</v>
      </c>
      <c r="AI11" s="194">
        <v>8.5000000000000006E-2</v>
      </c>
      <c r="BH11">
        <v>0</v>
      </c>
      <c r="BI11">
        <v>8</v>
      </c>
      <c r="BJ11" s="107">
        <f t="shared" si="0"/>
        <v>1.1901206582912899E-4</v>
      </c>
      <c r="BL11">
        <f>BH50+1</f>
        <v>7</v>
      </c>
      <c r="BM11">
        <v>7</v>
      </c>
      <c r="BN11" s="107">
        <f>$H$32*H46</f>
        <v>2.5919366992506315E-6</v>
      </c>
      <c r="BP11">
        <f>BP8+1</f>
        <v>4</v>
      </c>
      <c r="BQ11">
        <v>1</v>
      </c>
      <c r="BR11" s="107">
        <f>$H$29*H40</f>
        <v>1.2353494825064346E-2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 t="s">
        <v>131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1.5572741090141039E-5</v>
      </c>
      <c r="BL12">
        <f>BH54+1</f>
        <v>8</v>
      </c>
      <c r="BM12">
        <v>8</v>
      </c>
      <c r="BN12" s="107">
        <f>$H$33*H47</f>
        <v>5.1857756378439711E-8</v>
      </c>
      <c r="BP12">
        <f>BP9+1</f>
        <v>4</v>
      </c>
      <c r="BQ12">
        <v>2</v>
      </c>
      <c r="BR12" s="107">
        <f>$H$29*H41</f>
        <v>1.799092423086435E-2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16</v>
      </c>
      <c r="K13" s="166"/>
      <c r="L13" s="10"/>
      <c r="M13" s="10"/>
      <c r="O13" s="67">
        <f>AI13</f>
        <v>0.125</v>
      </c>
      <c r="P13" s="16" t="str">
        <f>P2</f>
        <v>0,4</v>
      </c>
      <c r="Q13" s="16">
        <f t="shared" si="1"/>
        <v>0.05</v>
      </c>
      <c r="R13" s="157">
        <f t="shared" si="6"/>
        <v>5.0871777542386656E-2</v>
      </c>
      <c r="S13" s="176">
        <f t="shared" si="2"/>
        <v>0.9491282224576133</v>
      </c>
      <c r="T13" s="177">
        <f>R13*PRODUCT(S5:S12)*PRODUCT(S14:S19)</f>
        <v>4.4758409626593998E-2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1.1202868025658767E-3</v>
      </c>
      <c r="W13" s="186" t="s">
        <v>52</v>
      </c>
      <c r="X13" s="15" t="s">
        <v>53</v>
      </c>
      <c r="Y13" s="69">
        <f>AI13</f>
        <v>0.125</v>
      </c>
      <c r="Z13" s="19" t="str">
        <f>Z2</f>
        <v>0,4</v>
      </c>
      <c r="AA13" s="19">
        <f t="shared" si="3"/>
        <v>0.05</v>
      </c>
      <c r="AB13" s="157">
        <f t="shared" si="4"/>
        <v>5.652419726931851E-2</v>
      </c>
      <c r="AC13" s="176">
        <f t="shared" si="5"/>
        <v>0.94347580273068155</v>
      </c>
      <c r="AD13" s="177">
        <f>AB13*PRODUCT(AC5:AC12)*PRODUCT(AC14:AC19)</f>
        <v>4.4777605338427985E-2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7.3721481180665438E-3</v>
      </c>
      <c r="AI13" s="194">
        <v>0.125</v>
      </c>
      <c r="BH13">
        <v>0</v>
      </c>
      <c r="BI13">
        <v>10</v>
      </c>
      <c r="BJ13" s="107">
        <f t="shared" si="0"/>
        <v>1.4841842985286412E-6</v>
      </c>
      <c r="BL13">
        <f>BH57+1</f>
        <v>9</v>
      </c>
      <c r="BM13">
        <v>9</v>
      </c>
      <c r="BN13" s="107">
        <f>$H$34*H48</f>
        <v>5.7200612492715432E-10</v>
      </c>
      <c r="BP13">
        <f>BL7+1</f>
        <v>4</v>
      </c>
      <c r="BQ13">
        <v>3</v>
      </c>
      <c r="BR13" s="107">
        <f>$H$29*H42</f>
        <v>1.5891202255717014E-2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144</v>
      </c>
      <c r="K14" s="166"/>
      <c r="L14" s="10"/>
      <c r="M14" s="10"/>
      <c r="O14" s="67">
        <f>IF(COUNTIF(F6:F18,"CAB")&gt;0,AI14,0)</f>
        <v>0</v>
      </c>
      <c r="P14" s="144">
        <v>0.95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9.5000000000000001E-2</v>
      </c>
      <c r="Z14" s="146">
        <v>0.95</v>
      </c>
      <c r="AA14" s="19">
        <f t="shared" si="3"/>
        <v>9.0249999999999997E-2</v>
      </c>
      <c r="AB14" s="157">
        <f t="shared" si="4"/>
        <v>0.10202617607111991</v>
      </c>
      <c r="AC14" s="176">
        <f t="shared" si="5"/>
        <v>0.89797382392888014</v>
      </c>
      <c r="AD14" s="177">
        <f>AB14*PRODUCT(AC5:AC13)*PRODUCT(AC15:AC19)</f>
        <v>8.4919056388441425E-2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4.3326526549414546E-3</v>
      </c>
      <c r="AI14" s="194">
        <v>9.5000000000000001E-2</v>
      </c>
      <c r="BH14">
        <v>1</v>
      </c>
      <c r="BI14">
        <v>2</v>
      </c>
      <c r="BJ14" s="107">
        <f t="shared" ref="BJ14:BJ22" si="7">$H$26*H41</f>
        <v>8.4307587907368031E-2</v>
      </c>
      <c r="BL14">
        <f>BP39+1</f>
        <v>10</v>
      </c>
      <c r="BM14">
        <v>10</v>
      </c>
      <c r="BN14" s="107">
        <f>$H$35*H49</f>
        <v>3.3350589403888591E-12</v>
      </c>
      <c r="BP14">
        <f>BP10+1</f>
        <v>5</v>
      </c>
      <c r="BQ14">
        <v>0</v>
      </c>
      <c r="BR14" s="107">
        <f>$H$30*H39</f>
        <v>1.0805437881201817E-3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123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7.4468043661104391E-2</v>
      </c>
      <c r="BP15">
        <f>BP11+1</f>
        <v>5</v>
      </c>
      <c r="BQ15">
        <v>1</v>
      </c>
      <c r="BR15" s="107">
        <f>$H$30*H40</f>
        <v>3.434687360176021E-3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21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4.4510308223496074E-2</v>
      </c>
      <c r="BP16">
        <f>BP12+1</f>
        <v>5</v>
      </c>
      <c r="BQ16">
        <v>2</v>
      </c>
      <c r="BR16" s="107">
        <f>$H$30*H41</f>
        <v>5.0020824818140007E-3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2.4418453220345592E-2</v>
      </c>
      <c r="S17" s="176">
        <f t="shared" si="2"/>
        <v>0.97558154677965436</v>
      </c>
      <c r="T17" s="177">
        <f>R17*PRODUCT(S5:S16)*PRODUCT(S18:S19)</f>
        <v>2.0901487483430861E-2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2.7131614689272884E-2</v>
      </c>
      <c r="AC17" s="176">
        <f t="shared" si="5"/>
        <v>0.97286838531072717</v>
      </c>
      <c r="AD17" s="177">
        <f>AB17*PRODUCT(AC5:AC16)*PRODUCT(AC18:AC19)</f>
        <v>2.084389022593032E-2</v>
      </c>
      <c r="AE17" s="177">
        <f>AB17*AB18*PRODUCT(AC5:AC16)*AC19+AB17*AB19*PRODUCT(AC5:AC16)*AC18</f>
        <v>4.8217549839201906E-4</v>
      </c>
      <c r="AI17" s="194">
        <v>0.02</v>
      </c>
      <c r="BH17">
        <v>1</v>
      </c>
      <c r="BI17">
        <v>5</v>
      </c>
      <c r="BJ17" s="107">
        <f t="shared" si="7"/>
        <v>1.9017687782846765E-2</v>
      </c>
      <c r="BP17">
        <f>BP13+1</f>
        <v>5</v>
      </c>
      <c r="BQ17">
        <v>3</v>
      </c>
      <c r="BR17" s="107">
        <f>$H$30*H42</f>
        <v>4.4182890994514659E-3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147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44">
        <f>P14</f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0.04</v>
      </c>
      <c r="Z18" s="146">
        <v>0.5</v>
      </c>
      <c r="AA18" s="19">
        <f t="shared" si="3"/>
        <v>0.02</v>
      </c>
      <c r="AB18" s="157">
        <f t="shared" si="4"/>
        <v>2.2609678907727405E-2</v>
      </c>
      <c r="AC18" s="176">
        <f t="shared" si="5"/>
        <v>0.97739032109227264</v>
      </c>
      <c r="AD18" s="177">
        <f>AB18*PRODUCT(AC5:AC17)*PRODUCT(AC19:AC19)</f>
        <v>1.7289545938543264E-2</v>
      </c>
      <c r="AE18" s="177">
        <f>AB18*AB19*PRODUCT(AC5:AC17)</f>
        <v>0</v>
      </c>
      <c r="AI18" s="194">
        <v>0.02</v>
      </c>
      <c r="BH18">
        <v>1</v>
      </c>
      <c r="BI18">
        <v>6</v>
      </c>
      <c r="BJ18" s="107">
        <f t="shared" si="7"/>
        <v>5.9814353531961731E-3</v>
      </c>
      <c r="BP18">
        <f>BL8+1</f>
        <v>5</v>
      </c>
      <c r="BQ18">
        <v>4</v>
      </c>
      <c r="BR18" s="107">
        <f>$H$30*H43</f>
        <v>2.6408563991834172E-3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46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1.4047837977290867E-3</v>
      </c>
      <c r="BP19">
        <f>BP15+1</f>
        <v>6</v>
      </c>
      <c r="BQ19">
        <v>1</v>
      </c>
      <c r="BR19" s="107">
        <f>$H$31*H40</f>
        <v>7.0171722857245461E-4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0.83506949867287583</v>
      </c>
      <c r="T20" s="181">
        <f>SUM(T5:T19)</f>
        <v>0.15348968545731023</v>
      </c>
      <c r="U20" s="181">
        <f>SUM(U5:U19)</f>
        <v>1.1040142105842209E-2</v>
      </c>
      <c r="V20" s="181">
        <f>1-S20-T20-U20</f>
        <v>4.0067376397172685E-4</v>
      </c>
      <c r="W20" s="21"/>
      <c r="X20" s="22"/>
      <c r="Y20" s="22"/>
      <c r="Z20" s="22"/>
      <c r="AA20" s="22"/>
      <c r="AB20" s="23"/>
      <c r="AC20" s="184">
        <f>PRODUCT(AC5:AC19)</f>
        <v>0.74740711380190727</v>
      </c>
      <c r="AD20" s="181">
        <f>SUM(AD5:AD19)</f>
        <v>0.22434972942973719</v>
      </c>
      <c r="AE20" s="181">
        <f>SUM(AE5:AE19)</f>
        <v>2.6522639770245798E-2</v>
      </c>
      <c r="AF20" s="181">
        <f>1-AC20-AD20-AE20</f>
        <v>1.720516998109739E-3</v>
      </c>
      <c r="BH20">
        <v>1</v>
      </c>
      <c r="BI20">
        <v>8</v>
      </c>
      <c r="BJ20" s="107">
        <f t="shared" si="7"/>
        <v>2.4715961592673149E-4</v>
      </c>
      <c r="BP20">
        <f>BP16+1</f>
        <v>6</v>
      </c>
      <c r="BQ20">
        <v>2</v>
      </c>
      <c r="BR20" s="107">
        <f>$H$31*H41</f>
        <v>1.0219408895630791E-3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0.83506949867287583</v>
      </c>
      <c r="T21" s="183">
        <f>T20*V1</f>
        <v>0.15348968545731023</v>
      </c>
      <c r="U21" s="183">
        <f>U20*V1</f>
        <v>1.1040142105842209E-2</v>
      </c>
      <c r="V21" s="183">
        <f>V20*V1</f>
        <v>4.0067376397172685E-4</v>
      </c>
      <c r="W21" s="21"/>
      <c r="X21" s="22"/>
      <c r="Y21" s="22"/>
      <c r="Z21" s="22"/>
      <c r="AA21" s="22"/>
      <c r="AB21" s="23"/>
      <c r="AC21" s="185">
        <f>1-AD21-AE21-AF21</f>
        <v>0.74740711380190727</v>
      </c>
      <c r="AD21" s="183">
        <f>AD20*V1</f>
        <v>0.22434972942973719</v>
      </c>
      <c r="AE21" s="183">
        <f>AE20*V1</f>
        <v>2.6522639770245798E-2</v>
      </c>
      <c r="AF21" s="183">
        <f>AF20*V1</f>
        <v>1.720516998109739E-3</v>
      </c>
      <c r="BH21" s="18">
        <v>1</v>
      </c>
      <c r="BI21">
        <v>9</v>
      </c>
      <c r="BJ21" s="107">
        <f t="shared" si="7"/>
        <v>3.2340861239160444E-5</v>
      </c>
      <c r="BP21">
        <f>BP17+1</f>
        <v>6</v>
      </c>
      <c r="BQ21">
        <v>3</v>
      </c>
      <c r="BR21" s="107">
        <f>$H$31*H42</f>
        <v>9.0267009971471755E-4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3.0822960565653854E-6</v>
      </c>
      <c r="BP22">
        <f>BP18+1</f>
        <v>6</v>
      </c>
      <c r="BQ22">
        <v>4</v>
      </c>
      <c r="BR22" s="107">
        <f>$H$31*H43</f>
        <v>5.3953511314574207E-4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0.99999998555225222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7.0807796384954491E-2</v>
      </c>
      <c r="BP23">
        <f>BL9+1</f>
        <v>6</v>
      </c>
      <c r="BQ23">
        <v>5</v>
      </c>
      <c r="BR23" s="107">
        <f>$H$31*H44</f>
        <v>2.3052436029351528E-4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4.2322541143470872E-2</v>
      </c>
      <c r="BP24">
        <f>BH49+1</f>
        <v>7</v>
      </c>
      <c r="BQ24">
        <v>0</v>
      </c>
      <c r="BR24" s="107">
        <f t="shared" ref="BR24:BR30" si="10">$H$32*H39</f>
        <v>3.3602615891524603E-5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0.14738075169875151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0.83506949867287583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1.8082931926729225E-2</v>
      </c>
      <c r="BP25">
        <f>BP19+1</f>
        <v>7</v>
      </c>
      <c r="BQ25">
        <v>1</v>
      </c>
      <c r="BR25" s="107">
        <f t="shared" si="10"/>
        <v>1.0681147894270499E-4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0.30607459614351773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0.15348968545731023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5.6874363251212855E-3</v>
      </c>
      <c r="BP26">
        <f>BP20+1</f>
        <v>7</v>
      </c>
      <c r="BQ26">
        <v>2</v>
      </c>
      <c r="BR26" s="107">
        <f t="shared" si="10"/>
        <v>1.555541368541237E-4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0.29103044227892333</v>
      </c>
      <c r="I27" s="93">
        <v>2</v>
      </c>
      <c r="J27" s="86">
        <f t="shared" si="11"/>
        <v>0.2847705100733125</v>
      </c>
      <c r="K27" s="93">
        <v>2</v>
      </c>
      <c r="L27" s="86">
        <f>U21</f>
        <v>1.1040142105842209E-2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1.3357359777995423E-3</v>
      </c>
      <c r="BP27">
        <f>BP21+1</f>
        <v>7</v>
      </c>
      <c r="BQ27">
        <v>3</v>
      </c>
      <c r="BR27" s="107">
        <f t="shared" si="10"/>
        <v>1.3739940309579095E-4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0.16769440117062107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4.0067376397172685E-4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2.3501124641823332E-4</v>
      </c>
      <c r="BP28">
        <f>BP22+1</f>
        <v>7</v>
      </c>
      <c r="BQ28">
        <v>4</v>
      </c>
      <c r="BR28" s="107">
        <f t="shared" si="10"/>
        <v>8.212502277285335E-5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6.531517512113745E-2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3.0751245835838019E-5</v>
      </c>
      <c r="BP29">
        <f>BP23+1</f>
        <v>7</v>
      </c>
      <c r="BQ29">
        <v>5</v>
      </c>
      <c r="BR29" s="107">
        <f t="shared" si="10"/>
        <v>3.5089131138140463E-5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1.8159817087638242E-2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2.9307952893816262E-6</v>
      </c>
      <c r="BP30">
        <f>BL10+1</f>
        <v>7</v>
      </c>
      <c r="BQ30">
        <v>6</v>
      </c>
      <c r="BR30" s="107">
        <f t="shared" si="10"/>
        <v>1.1036219118704688E-5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3.7101066798310152E-3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2.438663508015879E-2</v>
      </c>
      <c r="BP31">
        <f t="shared" ref="BP31:BP37" si="17">BP24+1</f>
        <v>8</v>
      </c>
      <c r="BQ31">
        <v>0</v>
      </c>
      <c r="BR31" s="107">
        <f t="shared" ref="BR31:BR38" si="18">$H$33*H39</f>
        <v>3.8211527398476095E-6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5.6473172578951742E-4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1.0419550673519256E-2</v>
      </c>
      <c r="BP32">
        <f t="shared" si="17"/>
        <v>8</v>
      </c>
      <c r="BQ32">
        <v>1</v>
      </c>
      <c r="BR32" s="107">
        <f t="shared" si="18"/>
        <v>1.214616673674016E-5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6.4218993790413949E-5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3.2771527997857261E-3</v>
      </c>
      <c r="BP33">
        <f t="shared" si="17"/>
        <v>8</v>
      </c>
      <c r="BQ33">
        <v>2</v>
      </c>
      <c r="BR33" s="107">
        <f t="shared" si="18"/>
        <v>1.7688983445621743E-5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5.4134780884159974E-6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7.696632804635303E-4</v>
      </c>
      <c r="BP34">
        <f t="shared" si="17"/>
        <v>8</v>
      </c>
      <c r="BQ34">
        <v>3</v>
      </c>
      <c r="BR34" s="107">
        <f t="shared" si="18"/>
        <v>1.5624500999796612E-5</v>
      </c>
    </row>
    <row r="35" spans="1:70" ht="15.75" thickBot="1" x14ac:dyDescent="0.3">
      <c r="G35" s="88">
        <v>10</v>
      </c>
      <c r="H35" s="129">
        <f>J35*L25+J34*L26+J33*L27+J32*L28</f>
        <v>3.3117416353307858E-7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1.3541562844032764E-4</v>
      </c>
      <c r="BP35">
        <f t="shared" si="17"/>
        <v>8</v>
      </c>
      <c r="BQ35">
        <v>4</v>
      </c>
      <c r="BR35" s="107">
        <f t="shared" si="18"/>
        <v>9.338923397856267E-6</v>
      </c>
    </row>
    <row r="36" spans="1:70" x14ac:dyDescent="0.25">
      <c r="A36" s="1"/>
      <c r="B36" s="108">
        <f>SUM(B37:B39)</f>
        <v>0.99999895703580399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1.7719148949885894E-5</v>
      </c>
      <c r="BP36">
        <f t="shared" si="17"/>
        <v>8</v>
      </c>
      <c r="BQ36">
        <v>5</v>
      </c>
      <c r="BR36" s="107">
        <f t="shared" si="18"/>
        <v>3.9901932046069057E-6</v>
      </c>
    </row>
    <row r="37" spans="1:70" ht="15.75" thickBot="1" x14ac:dyDescent="0.3">
      <c r="A37" s="109" t="s">
        <v>104</v>
      </c>
      <c r="B37" s="107">
        <f>SUM(BN4:BN14)</f>
        <v>0.19832500138188314</v>
      </c>
      <c r="G37" s="13"/>
      <c r="H37" s="59">
        <f>SUM(H39:H49)</f>
        <v>0.99999930265413906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1.6887510363451836E-6</v>
      </c>
      <c r="BP37">
        <f t="shared" si="17"/>
        <v>8</v>
      </c>
      <c r="BQ37">
        <v>6</v>
      </c>
      <c r="BR37" s="107">
        <f t="shared" si="18"/>
        <v>1.2549939284231011E-6</v>
      </c>
    </row>
    <row r="38" spans="1:70" ht="15.75" thickBot="1" x14ac:dyDescent="0.3">
      <c r="A38" s="110" t="s">
        <v>105</v>
      </c>
      <c r="B38" s="107">
        <f>SUM(BJ4:BJ59)</f>
        <v>0.55248814107641242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4.0583035102766717E-3</v>
      </c>
      <c r="BP38">
        <f>BL11+1</f>
        <v>8</v>
      </c>
      <c r="BQ38">
        <v>7</v>
      </c>
      <c r="BR38" s="107">
        <f t="shared" si="18"/>
        <v>2.947444940544405E-7</v>
      </c>
    </row>
    <row r="39" spans="1:70" x14ac:dyDescent="0.25">
      <c r="A39" s="111" t="s">
        <v>0</v>
      </c>
      <c r="B39" s="107">
        <f>SUM(BR4:BR47)</f>
        <v>0.24918581457750841</v>
      </c>
      <c r="G39" s="130">
        <v>0</v>
      </c>
      <c r="H39" s="131">
        <f>L39*J39</f>
        <v>5.9501909237606246E-2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0.74740711380190727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1.276415953797689E-3</v>
      </c>
      <c r="BP39">
        <f t="shared" ref="BP39:BP46" si="34">BP31+1</f>
        <v>9</v>
      </c>
      <c r="BQ39">
        <v>0</v>
      </c>
      <c r="BR39" s="107">
        <f t="shared" ref="BR39:BR47" si="35">$H$34*H39</f>
        <v>3.2211228187669883E-7</v>
      </c>
    </row>
    <row r="40" spans="1:70" x14ac:dyDescent="0.25">
      <c r="G40" s="91">
        <v>1</v>
      </c>
      <c r="H40" s="132">
        <f>L39*J40+L40*J39</f>
        <v>0.18913667156449956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0.22434972942973719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2.9977561323968457E-4</v>
      </c>
      <c r="BP40">
        <f t="shared" si="34"/>
        <v>9</v>
      </c>
      <c r="BQ40">
        <v>1</v>
      </c>
      <c r="BR40" s="107">
        <f t="shared" si="35"/>
        <v>1.0238872272303514E-6</v>
      </c>
    </row>
    <row r="41" spans="1:70" x14ac:dyDescent="0.25">
      <c r="G41" s="91">
        <v>2</v>
      </c>
      <c r="H41" s="132">
        <f>L39*J41+J40*L40+J39*L41</f>
        <v>0.27544784496860492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2.6522639770245798E-2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5.2742938487969098E-5</v>
      </c>
      <c r="BP41">
        <f t="shared" si="34"/>
        <v>9</v>
      </c>
      <c r="BQ41">
        <v>2</v>
      </c>
      <c r="BR41" s="107">
        <f t="shared" si="35"/>
        <v>1.4911308732389493E-6</v>
      </c>
    </row>
    <row r="42" spans="1:70" ht="15" customHeight="1" x14ac:dyDescent="0.25">
      <c r="G42" s="91">
        <v>3</v>
      </c>
      <c r="H42" s="132">
        <f>J42*L39+J41*L40+L42*J39+L41*J40</f>
        <v>0.24330030848488476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1.720516998109739E-3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6.9014189417199946E-6</v>
      </c>
      <c r="BP42">
        <f t="shared" si="34"/>
        <v>9</v>
      </c>
      <c r="BQ42">
        <v>3</v>
      </c>
      <c r="BR42" s="107">
        <f t="shared" si="35"/>
        <v>1.3171008888877764E-6</v>
      </c>
    </row>
    <row r="43" spans="1:70" ht="15" customHeight="1" x14ac:dyDescent="0.25">
      <c r="G43" s="91">
        <v>4</v>
      </c>
      <c r="H43" s="132">
        <f>J43*L39+J42*L40+J41*L41+J40*L42</f>
        <v>0.1454230726245091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6.577504609868396E-7</v>
      </c>
      <c r="BP43">
        <f t="shared" si="34"/>
        <v>9</v>
      </c>
      <c r="BQ43">
        <v>4</v>
      </c>
      <c r="BR43" s="107">
        <f t="shared" si="35"/>
        <v>7.8724461720290824E-7</v>
      </c>
    </row>
    <row r="44" spans="1:70" ht="15" customHeight="1" thickBot="1" x14ac:dyDescent="0.3">
      <c r="G44" s="91">
        <v>5</v>
      </c>
      <c r="H44" s="132">
        <f>J44*L39+J43*L40+J42*L41+J41*L42</f>
        <v>6.2134159523416999E-2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3.5488659726808173E-4</v>
      </c>
      <c r="BP44">
        <f t="shared" si="34"/>
        <v>9</v>
      </c>
      <c r="BQ44">
        <v>5</v>
      </c>
      <c r="BR44" s="107">
        <f t="shared" si="35"/>
        <v>3.3636191112216208E-7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1.9542410342318937E-2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8.3347710446626347E-5</v>
      </c>
      <c r="BP45">
        <f t="shared" si="34"/>
        <v>9</v>
      </c>
      <c r="BQ45">
        <v>6</v>
      </c>
      <c r="BR45" s="107">
        <f t="shared" si="35"/>
        <v>1.0579241018297774E-7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4.5896778609825772E-3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1.4664312142311134E-5</v>
      </c>
      <c r="BP46">
        <f t="shared" si="34"/>
        <v>9</v>
      </c>
      <c r="BQ46">
        <v>7</v>
      </c>
      <c r="BR46" s="107">
        <f t="shared" si="35"/>
        <v>2.4846120533317187E-8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8.0751430873681157E-4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1.9188267564827806E-6</v>
      </c>
      <c r="BP47">
        <f>BL12+1</f>
        <v>9</v>
      </c>
      <c r="BQ47">
        <v>8</v>
      </c>
      <c r="BR47" s="107">
        <f t="shared" si="35"/>
        <v>4.3714610164291201E-9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1.0566333059538167E-4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1.8287676697915169E-7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1.0070407983549551E-5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2.2075843092514172E-4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1.7028194490303986E-5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2.9959642309035693E-6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3.9202222865511844E-7</v>
      </c>
    </row>
    <row r="53" spans="1:62" x14ac:dyDescent="0.25">
      <c r="BH53">
        <f>BH48+1</f>
        <v>6</v>
      </c>
      <c r="BI53">
        <v>10</v>
      </c>
      <c r="BJ53" s="107">
        <f>$H$31*H49</f>
        <v>3.7362287928390769E-8</v>
      </c>
    </row>
    <row r="54" spans="1:62" x14ac:dyDescent="0.25">
      <c r="BH54">
        <f>BH51+1</f>
        <v>7</v>
      </c>
      <c r="BI54">
        <v>8</v>
      </c>
      <c r="BJ54" s="107">
        <f>$H$32*H47</f>
        <v>4.5602894917266877E-7</v>
      </c>
    </row>
    <row r="55" spans="1:62" x14ac:dyDescent="0.25">
      <c r="BH55">
        <f>BH52+1</f>
        <v>7</v>
      </c>
      <c r="BI55">
        <v>9</v>
      </c>
      <c r="BJ55" s="107">
        <f>$H$32*H48</f>
        <v>5.9671435039798209E-8</v>
      </c>
    </row>
    <row r="56" spans="1:62" x14ac:dyDescent="0.25">
      <c r="BH56">
        <f>BH53+1</f>
        <v>7</v>
      </c>
      <c r="BI56">
        <v>10</v>
      </c>
      <c r="BJ56" s="107">
        <f>$H$32*H49</f>
        <v>5.6870788799544717E-9</v>
      </c>
    </row>
    <row r="57" spans="1:62" x14ac:dyDescent="0.25">
      <c r="BH57">
        <f>BH55+1</f>
        <v>8</v>
      </c>
      <c r="BI57">
        <v>9</v>
      </c>
      <c r="BJ57" s="107">
        <f>$H$33*H48</f>
        <v>6.7855927713792716E-9</v>
      </c>
    </row>
    <row r="58" spans="1:62" x14ac:dyDescent="0.25">
      <c r="BH58">
        <f>BH56+1</f>
        <v>8</v>
      </c>
      <c r="BI58">
        <v>10</v>
      </c>
      <c r="BJ58" s="107">
        <f>$H$33*H49</f>
        <v>6.467114677625036E-10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5.4515932960355024E-11</v>
      </c>
    </row>
  </sheetData>
  <mergeCells count="2">
    <mergeCell ref="P1:Q1"/>
    <mergeCell ref="B3:C3"/>
  </mergeCells>
  <conditionalFormatting sqref="V25:V35 V39:V49">
    <cfRule type="cellIs" dxfId="27" priority="14" operator="greaterThan">
      <formula>0.15</formula>
    </cfRule>
  </conditionalFormatting>
  <conditionalFormatting sqref="V35">
    <cfRule type="cellIs" dxfId="26" priority="13" operator="greaterThan">
      <formula>0.15</formula>
    </cfRule>
  </conditionalFormatting>
  <conditionalFormatting sqref="V49">
    <cfRule type="cellIs" dxfId="25" priority="12" operator="greaterThan">
      <formula>0.15</formula>
    </cfRule>
  </conditionalFormatting>
  <conditionalFormatting sqref="V25:V35 V39:V49">
    <cfRule type="cellIs" dxfId="24" priority="11" operator="greaterThan">
      <formula>0.15</formula>
    </cfRule>
  </conditionalFormatting>
  <conditionalFormatting sqref="V35">
    <cfRule type="cellIs" dxfId="23" priority="10" operator="greaterThan">
      <formula>0.15</formula>
    </cfRule>
  </conditionalFormatting>
  <conditionalFormatting sqref="V49">
    <cfRule type="cellIs" dxfId="22" priority="9" operator="greaterThan">
      <formula>0.15</formula>
    </cfRule>
  </conditionalFormatting>
  <conditionalFormatting sqref="H25:H35">
    <cfRule type="cellIs" dxfId="21" priority="8" operator="greaterThan">
      <formula>0.15</formula>
    </cfRule>
  </conditionalFormatting>
  <conditionalFormatting sqref="H35">
    <cfRule type="cellIs" dxfId="20" priority="7" operator="greaterThan">
      <formula>0.15</formula>
    </cfRule>
  </conditionalFormatting>
  <conditionalFormatting sqref="H25:H35">
    <cfRule type="cellIs" dxfId="19" priority="6" operator="greaterThan">
      <formula>0.15</formula>
    </cfRule>
  </conditionalFormatting>
  <conditionalFormatting sqref="H35">
    <cfRule type="cellIs" dxfId="18" priority="5" operator="greaterThan">
      <formula>0.15</formula>
    </cfRule>
  </conditionalFormatting>
  <conditionalFormatting sqref="H39:H49">
    <cfRule type="cellIs" dxfId="17" priority="4" operator="greaterThan">
      <formula>0.15</formula>
    </cfRule>
  </conditionalFormatting>
  <conditionalFormatting sqref="H49">
    <cfRule type="cellIs" dxfId="16" priority="3" operator="greaterThan">
      <formula>0.15</formula>
    </cfRule>
  </conditionalFormatting>
  <conditionalFormatting sqref="H39:H49">
    <cfRule type="cellIs" dxfId="15" priority="2" operator="greaterThan">
      <formula>0.15</formula>
    </cfRule>
  </conditionalFormatting>
  <conditionalFormatting sqref="H49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7" t="s">
        <v>135</v>
      </c>
      <c r="Q1" s="197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199" t="s">
        <v>130</v>
      </c>
      <c r="C3" s="199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13" priority="14" operator="greaterThan">
      <formula>0.15</formula>
    </cfRule>
  </conditionalFormatting>
  <conditionalFormatting sqref="V34">
    <cfRule type="cellIs" dxfId="12" priority="13" operator="greaterThan">
      <formula>0.15</formula>
    </cfRule>
  </conditionalFormatting>
  <conditionalFormatting sqref="V48">
    <cfRule type="cellIs" dxfId="11" priority="12" operator="greaterThan">
      <formula>0.15</formula>
    </cfRule>
  </conditionalFormatting>
  <conditionalFormatting sqref="V24:V34 V38:V48">
    <cfRule type="cellIs" dxfId="10" priority="11" operator="greaterThan">
      <formula>0.15</formula>
    </cfRule>
  </conditionalFormatting>
  <conditionalFormatting sqref="V34">
    <cfRule type="cellIs" dxfId="9" priority="10" operator="greaterThan">
      <formula>0.15</formula>
    </cfRule>
  </conditionalFormatting>
  <conditionalFormatting sqref="V48">
    <cfRule type="cellIs" dxfId="8" priority="9" operator="greaterThan">
      <formula>0.15</formula>
    </cfRule>
  </conditionalFormatting>
  <conditionalFormatting sqref="H24:H34">
    <cfRule type="cellIs" dxfId="7" priority="8" operator="greaterThan">
      <formula>0.15</formula>
    </cfRule>
  </conditionalFormatting>
  <conditionalFormatting sqref="H34">
    <cfRule type="cellIs" dxfId="6" priority="7" operator="greaterThan">
      <formula>0.15</formula>
    </cfRule>
  </conditionalFormatting>
  <conditionalFormatting sqref="H24:H34">
    <cfRule type="cellIs" dxfId="5" priority="6" operator="greaterThan">
      <formula>0.15</formula>
    </cfRule>
  </conditionalFormatting>
  <conditionalFormatting sqref="H34">
    <cfRule type="cellIs" dxfId="4" priority="5" operator="greaterThan">
      <formula>0.15</formula>
    </cfRule>
  </conditionalFormatting>
  <conditionalFormatting sqref="H38:H48">
    <cfRule type="cellIs" dxfId="3" priority="4" operator="greaterThan">
      <formula>0.15</formula>
    </cfRule>
  </conditionalFormatting>
  <conditionalFormatting sqref="H48">
    <cfRule type="cellIs" dxfId="2" priority="3" operator="greaterThan">
      <formula>0.15</formula>
    </cfRule>
  </conditionalFormatting>
  <conditionalFormatting sqref="H38:H48">
    <cfRule type="cellIs" dxfId="1" priority="2" operator="greaterThan">
      <formula>0.15</formula>
    </cfRule>
  </conditionalFormatting>
  <conditionalFormatting sqref="H48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VADER-SanBlas</vt:lpstr>
      <vt:lpstr>Otters-VADER</vt:lpstr>
      <vt:lpstr>SanBlasUnited</vt:lpstr>
      <vt:lpstr>SIMULADOR</vt:lpstr>
      <vt:lpstr>SIMULADOR&gt;22-12-17</vt:lpstr>
      <vt:lpstr>SIMULADOR_sinJC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2017-12-07T15:32:17Z</dcterms:modified>
</cp:coreProperties>
</file>