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AA60A545-1167-42CA-893F-30970F98A5FC}" xr6:coauthVersionLast="44" xr6:coauthVersionMax="44" xr10:uidLastSave="{00000000-0000-0000-0000-000000000000}"/>
  <bookViews>
    <workbookView xWindow="28680" yWindow="-120" windowWidth="29040" windowHeight="15840" tabRatio="500" activeTab="1" xr2:uid="{00000000-000D-0000-FFFF-FFFF00000000}"/>
  </bookViews>
  <sheets>
    <sheet name="Hall_of_Fame" sheetId="1" r:id="rId1"/>
    <sheet name="Plantilla" sheetId="2" r:id="rId2"/>
    <sheet name="Juveniles" sheetId="3" r:id="rId3"/>
    <sheet name="Planning" sheetId="4" r:id="rId4"/>
    <sheet name="Planning_v2" sheetId="5" r:id="rId5"/>
    <sheet name="Economia" sheetId="6" r:id="rId6"/>
    <sheet name="Evaluacion" sheetId="7" r:id="rId7"/>
    <sheet name="Banderas" sheetId="8" r:id="rId8"/>
    <sheet name="Calculadora_Tactica" sheetId="9" r:id="rId9"/>
    <sheet name="Capitan" sheetId="10" r:id="rId10"/>
    <sheet name="Entrenador" sheetId="11" r:id="rId11"/>
    <sheet name="Entrenamiento" sheetId="12" r:id="rId12"/>
    <sheet name="Resumen_Rend" sheetId="13" r:id="rId13"/>
    <sheet name="352" sheetId="14" r:id="rId14"/>
    <sheet name="541" sheetId="15" r:id="rId15"/>
    <sheet name="DEF" sheetId="16" r:id="rId16"/>
    <sheet name="JUG" sheetId="17" r:id="rId17"/>
    <sheet name="ANO" sheetId="18" r:id="rId18"/>
    <sheet name="XUTS" sheetId="19" r:id="rId19"/>
    <sheet name="BP" sheetId="20" r:id="rId20"/>
    <sheet name="El Desierto de Tattoine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601780" val="976" rev="124" rev64="64" revOS="3" revMin="124" revMax="0"/>
      <pm:docPrefs xmlns:pm="smNativeData" id="1595601780" fixedDigits="0" showNotice="1" showFrameBounds="1" autoChart="1" recalcOnPrint="1" recalcOnCopy="1" finalRounding="1" compatTextArt="1" tab="567" useDefinedPrintRange="1" printArea="currentSheet"/>
      <pm:compatibility xmlns:pm="smNativeData" id="1595601780" overlapCells="1"/>
      <pm:defCurrency xmlns:pm="smNativeData" id="1595601780"/>
    </ext>
  </extLst>
</workbook>
</file>

<file path=xl/calcChain.xml><?xml version="1.0" encoding="utf-8"?>
<calcChain xmlns="http://schemas.openxmlformats.org/spreadsheetml/2006/main">
  <c r="B25" i="21" l="1"/>
  <c r="C23" i="21"/>
  <c r="C27" i="21" s="1"/>
  <c r="B22" i="21"/>
  <c r="B21" i="21"/>
  <c r="C20" i="21"/>
  <c r="B20" i="21"/>
  <c r="C19" i="21"/>
  <c r="B19" i="21"/>
  <c r="B23" i="21" s="1"/>
  <c r="B18" i="21"/>
  <c r="C16" i="21"/>
  <c r="C18" i="21" s="1"/>
  <c r="G13" i="21"/>
  <c r="G12" i="21"/>
  <c r="E12" i="21"/>
  <c r="G11" i="21"/>
  <c r="E11" i="21"/>
  <c r="C11" i="21"/>
  <c r="G10" i="21"/>
  <c r="E10" i="21"/>
  <c r="C10" i="21"/>
  <c r="G9" i="21"/>
  <c r="E9" i="21"/>
  <c r="C9" i="21"/>
  <c r="C8" i="21"/>
  <c r="K7" i="21"/>
  <c r="J7" i="21"/>
  <c r="I7" i="21"/>
  <c r="G7" i="21"/>
  <c r="E7" i="21"/>
  <c r="K6" i="21"/>
  <c r="J6" i="21"/>
  <c r="I6" i="21"/>
  <c r="G6" i="21"/>
  <c r="E6" i="21"/>
  <c r="B12" i="21" s="1"/>
  <c r="K5" i="21"/>
  <c r="J5" i="21"/>
  <c r="I5" i="21"/>
  <c r="G5" i="21"/>
  <c r="E5" i="21"/>
  <c r="K4" i="21"/>
  <c r="J4" i="21"/>
  <c r="I4" i="21"/>
  <c r="G4" i="21"/>
  <c r="B30" i="21" s="1"/>
  <c r="E4" i="21"/>
  <c r="C3" i="21"/>
  <c r="B3" i="21"/>
  <c r="K27" i="20"/>
  <c r="J27" i="20"/>
  <c r="I27" i="20"/>
  <c r="H27" i="20"/>
  <c r="G27" i="20"/>
  <c r="F27" i="20"/>
  <c r="E27" i="20"/>
  <c r="D27" i="20"/>
  <c r="C27" i="20"/>
  <c r="B27" i="20"/>
  <c r="A27" i="20"/>
  <c r="K26" i="20"/>
  <c r="J26" i="20"/>
  <c r="I26" i="20"/>
  <c r="H26" i="20"/>
  <c r="G26" i="20"/>
  <c r="F26" i="20"/>
  <c r="E26" i="20"/>
  <c r="D26" i="20"/>
  <c r="C26" i="20"/>
  <c r="B26" i="20"/>
  <c r="A26" i="20"/>
  <c r="K25" i="20"/>
  <c r="J25" i="20"/>
  <c r="I25" i="20"/>
  <c r="H25" i="20"/>
  <c r="G25" i="20"/>
  <c r="F25" i="20"/>
  <c r="E25" i="20"/>
  <c r="D25" i="20"/>
  <c r="C25" i="20"/>
  <c r="B25" i="20"/>
  <c r="A25" i="20"/>
  <c r="K24" i="20"/>
  <c r="J24" i="20"/>
  <c r="I24" i="20"/>
  <c r="H24" i="20"/>
  <c r="G24" i="20"/>
  <c r="F24" i="20"/>
  <c r="E24" i="20"/>
  <c r="C24" i="20"/>
  <c r="B24" i="20"/>
  <c r="A24" i="20"/>
  <c r="K23" i="20"/>
  <c r="J23" i="20"/>
  <c r="I23" i="20"/>
  <c r="H23" i="20"/>
  <c r="G23" i="20"/>
  <c r="F23" i="20"/>
  <c r="E23" i="20"/>
  <c r="C23" i="20"/>
  <c r="B23" i="20"/>
  <c r="A23" i="20"/>
  <c r="J22" i="20"/>
  <c r="I22" i="20"/>
  <c r="H22" i="20"/>
  <c r="G22" i="20"/>
  <c r="F22" i="20"/>
  <c r="E22" i="20"/>
  <c r="C22" i="20"/>
  <c r="B22" i="20"/>
  <c r="A22" i="20"/>
  <c r="L21" i="20"/>
  <c r="M21" i="20" s="1"/>
  <c r="K21" i="20"/>
  <c r="J21" i="20"/>
  <c r="I21" i="20"/>
  <c r="H21" i="20"/>
  <c r="G21" i="20"/>
  <c r="F21" i="20"/>
  <c r="E21" i="20"/>
  <c r="C21" i="20"/>
  <c r="B21" i="20"/>
  <c r="A21" i="20"/>
  <c r="M20" i="20"/>
  <c r="L20" i="20"/>
  <c r="J20" i="20"/>
  <c r="I20" i="20"/>
  <c r="H20" i="20"/>
  <c r="G20" i="20"/>
  <c r="F20" i="20"/>
  <c r="E20" i="20"/>
  <c r="C20" i="20"/>
  <c r="B20" i="20"/>
  <c r="A20" i="20"/>
  <c r="X19" i="20"/>
  <c r="M19" i="20"/>
  <c r="L19" i="20"/>
  <c r="K19" i="20"/>
  <c r="J19" i="20"/>
  <c r="I19" i="20"/>
  <c r="H19" i="20"/>
  <c r="G19" i="20"/>
  <c r="F19" i="20"/>
  <c r="E19" i="20"/>
  <c r="C19" i="20"/>
  <c r="B19" i="20"/>
  <c r="A19" i="20"/>
  <c r="L18" i="20"/>
  <c r="M18" i="20" s="1"/>
  <c r="J18" i="20"/>
  <c r="I18" i="20"/>
  <c r="H18" i="20"/>
  <c r="G18" i="20"/>
  <c r="F18" i="20"/>
  <c r="E18" i="20"/>
  <c r="C18" i="20"/>
  <c r="B18" i="20"/>
  <c r="A18" i="20"/>
  <c r="L17" i="20"/>
  <c r="M17" i="20" s="1"/>
  <c r="J17" i="20"/>
  <c r="I17" i="20"/>
  <c r="H17" i="20"/>
  <c r="G17" i="20"/>
  <c r="F17" i="20"/>
  <c r="E17" i="20"/>
  <c r="C17" i="20"/>
  <c r="B17" i="20"/>
  <c r="A17" i="20"/>
  <c r="M16" i="20"/>
  <c r="L16" i="20"/>
  <c r="J16" i="20"/>
  <c r="I16" i="20"/>
  <c r="H16" i="20"/>
  <c r="G16" i="20"/>
  <c r="F16" i="20"/>
  <c r="E16" i="20"/>
  <c r="C16" i="20"/>
  <c r="B16" i="20"/>
  <c r="A16" i="20"/>
  <c r="M15" i="20"/>
  <c r="L15" i="20"/>
  <c r="J15" i="20"/>
  <c r="I15" i="20"/>
  <c r="H15" i="20"/>
  <c r="G15" i="20"/>
  <c r="F15" i="20"/>
  <c r="E15" i="20"/>
  <c r="C15" i="20"/>
  <c r="B15" i="20"/>
  <c r="A15" i="20"/>
  <c r="M14" i="20"/>
  <c r="L14" i="20"/>
  <c r="J14" i="20"/>
  <c r="I14" i="20"/>
  <c r="H14" i="20"/>
  <c r="G14" i="20"/>
  <c r="F14" i="20"/>
  <c r="E14" i="20"/>
  <c r="C14" i="20"/>
  <c r="B14" i="20"/>
  <c r="A14" i="20"/>
  <c r="L13" i="20"/>
  <c r="M13" i="20" s="1"/>
  <c r="K13" i="20"/>
  <c r="J13" i="20"/>
  <c r="I13" i="20"/>
  <c r="H13" i="20"/>
  <c r="G13" i="20"/>
  <c r="F13" i="20"/>
  <c r="E13" i="20"/>
  <c r="C13" i="20"/>
  <c r="B13" i="20"/>
  <c r="A13" i="20"/>
  <c r="M12" i="20"/>
  <c r="L12" i="20"/>
  <c r="J12" i="20"/>
  <c r="I12" i="20"/>
  <c r="H12" i="20"/>
  <c r="G12" i="20"/>
  <c r="F12" i="20"/>
  <c r="E12" i="20"/>
  <c r="C12" i="20"/>
  <c r="B12" i="20"/>
  <c r="A12" i="20"/>
  <c r="M11" i="20"/>
  <c r="L11" i="20"/>
  <c r="J11" i="20"/>
  <c r="I11" i="20"/>
  <c r="H11" i="20"/>
  <c r="G11" i="20"/>
  <c r="F11" i="20"/>
  <c r="E11" i="20"/>
  <c r="C11" i="20"/>
  <c r="B11" i="20"/>
  <c r="A11" i="20"/>
  <c r="J10" i="20"/>
  <c r="I10" i="20"/>
  <c r="H10" i="20"/>
  <c r="G10" i="20"/>
  <c r="F10" i="20"/>
  <c r="E10" i="20"/>
  <c r="C10" i="20"/>
  <c r="B10" i="20"/>
  <c r="A10" i="20"/>
  <c r="K9" i="20"/>
  <c r="J9" i="20"/>
  <c r="I9" i="20"/>
  <c r="H9" i="20"/>
  <c r="G9" i="20"/>
  <c r="F9" i="20"/>
  <c r="E9" i="20"/>
  <c r="C9" i="20"/>
  <c r="B9" i="20"/>
  <c r="A9" i="20"/>
  <c r="K8" i="20"/>
  <c r="J8" i="20"/>
  <c r="I8" i="20"/>
  <c r="H8" i="20"/>
  <c r="G8" i="20"/>
  <c r="F8" i="20"/>
  <c r="E8" i="20"/>
  <c r="C8" i="20"/>
  <c r="B8" i="20"/>
  <c r="A8" i="20"/>
  <c r="K7" i="20"/>
  <c r="J7" i="20"/>
  <c r="I7" i="20"/>
  <c r="H7" i="20"/>
  <c r="G7" i="20"/>
  <c r="F7" i="20"/>
  <c r="E7" i="20"/>
  <c r="C7" i="20"/>
  <c r="B7" i="20"/>
  <c r="A7" i="20"/>
  <c r="K6" i="20"/>
  <c r="J6" i="20"/>
  <c r="I6" i="20"/>
  <c r="H6" i="20"/>
  <c r="G6" i="20"/>
  <c r="F6" i="20"/>
  <c r="E6" i="20"/>
  <c r="C6" i="20"/>
  <c r="B6" i="20"/>
  <c r="A6" i="20"/>
  <c r="K5" i="20"/>
  <c r="J5" i="20"/>
  <c r="I5" i="20"/>
  <c r="H5" i="20"/>
  <c r="G5" i="20"/>
  <c r="F5" i="20"/>
  <c r="E5" i="20"/>
  <c r="C5" i="20"/>
  <c r="B5" i="20"/>
  <c r="A5" i="20"/>
  <c r="AD4" i="20"/>
  <c r="K4" i="20"/>
  <c r="J4" i="20"/>
  <c r="I4" i="20"/>
  <c r="H4" i="20"/>
  <c r="G4" i="20"/>
  <c r="F4" i="20"/>
  <c r="E4" i="20"/>
  <c r="C4" i="20"/>
  <c r="B4" i="20"/>
  <c r="A4" i="20"/>
  <c r="K3" i="20"/>
  <c r="J3" i="20"/>
  <c r="I3" i="20"/>
  <c r="H3" i="20"/>
  <c r="G3" i="20"/>
  <c r="F3" i="20"/>
  <c r="E3" i="20"/>
  <c r="D3" i="20"/>
  <c r="C3" i="20"/>
  <c r="B3" i="20"/>
  <c r="K27" i="19"/>
  <c r="J27" i="19"/>
  <c r="I27" i="19"/>
  <c r="H27" i="19"/>
  <c r="G27" i="19"/>
  <c r="F27" i="19"/>
  <c r="E27" i="19"/>
  <c r="D27" i="19"/>
  <c r="C27" i="19"/>
  <c r="B27" i="19"/>
  <c r="A27" i="19"/>
  <c r="K26" i="19"/>
  <c r="J26" i="19"/>
  <c r="I26" i="19"/>
  <c r="H26" i="19"/>
  <c r="G26" i="19"/>
  <c r="F26" i="19"/>
  <c r="E26" i="19"/>
  <c r="D26" i="19"/>
  <c r="C26" i="19"/>
  <c r="B26" i="19"/>
  <c r="A26" i="19"/>
  <c r="K25" i="19"/>
  <c r="J25" i="19"/>
  <c r="I25" i="19"/>
  <c r="H25" i="19"/>
  <c r="G25" i="19"/>
  <c r="F25" i="19"/>
  <c r="E25" i="19"/>
  <c r="D25" i="19"/>
  <c r="C25" i="19"/>
  <c r="B25" i="19"/>
  <c r="A25" i="19"/>
  <c r="K24" i="19"/>
  <c r="J24" i="19"/>
  <c r="I24" i="19"/>
  <c r="H24" i="19"/>
  <c r="G24" i="19"/>
  <c r="F24" i="19"/>
  <c r="E24" i="19"/>
  <c r="C24" i="19"/>
  <c r="B24" i="19"/>
  <c r="A24" i="19"/>
  <c r="K23" i="19"/>
  <c r="J23" i="19"/>
  <c r="I23" i="19"/>
  <c r="H23" i="19"/>
  <c r="G23" i="19"/>
  <c r="F23" i="19"/>
  <c r="E23" i="19"/>
  <c r="C23" i="19"/>
  <c r="B23" i="19"/>
  <c r="A23" i="19"/>
  <c r="J22" i="19"/>
  <c r="I22" i="19"/>
  <c r="H22" i="19"/>
  <c r="G22" i="19"/>
  <c r="F22" i="19"/>
  <c r="E22" i="19"/>
  <c r="C22" i="19"/>
  <c r="B22" i="19"/>
  <c r="A22" i="19"/>
  <c r="W21" i="19"/>
  <c r="V21" i="19"/>
  <c r="U21" i="19"/>
  <c r="T21" i="19"/>
  <c r="S21" i="19"/>
  <c r="X21" i="19" s="1"/>
  <c r="M21" i="19"/>
  <c r="L21" i="19"/>
  <c r="K21" i="19"/>
  <c r="J21" i="19"/>
  <c r="I21" i="19"/>
  <c r="H21" i="19"/>
  <c r="G21" i="19"/>
  <c r="F21" i="19"/>
  <c r="E21" i="19"/>
  <c r="C21" i="19"/>
  <c r="B21" i="19"/>
  <c r="A21" i="19"/>
  <c r="V20" i="19"/>
  <c r="S20" i="19"/>
  <c r="M20" i="19"/>
  <c r="L20" i="19"/>
  <c r="W20" i="19" s="1"/>
  <c r="J20" i="19"/>
  <c r="I20" i="19"/>
  <c r="H20" i="19"/>
  <c r="G20" i="19"/>
  <c r="F20" i="19"/>
  <c r="E20" i="19"/>
  <c r="C20" i="19"/>
  <c r="B20" i="19"/>
  <c r="A20" i="19"/>
  <c r="W19" i="19"/>
  <c r="V19" i="19"/>
  <c r="U19" i="19"/>
  <c r="T19" i="19"/>
  <c r="S19" i="19"/>
  <c r="M19" i="19"/>
  <c r="L19" i="19"/>
  <c r="K19" i="19"/>
  <c r="J19" i="19"/>
  <c r="I19" i="19"/>
  <c r="H19" i="19"/>
  <c r="G19" i="19"/>
  <c r="F19" i="19"/>
  <c r="E19" i="19"/>
  <c r="C19" i="19"/>
  <c r="B19" i="19"/>
  <c r="A19" i="19"/>
  <c r="W18" i="19"/>
  <c r="V18" i="19"/>
  <c r="S18" i="19"/>
  <c r="M18" i="19"/>
  <c r="L18" i="19"/>
  <c r="J18" i="19"/>
  <c r="I18" i="19"/>
  <c r="H18" i="19"/>
  <c r="G18" i="19"/>
  <c r="F18" i="19"/>
  <c r="E18" i="19"/>
  <c r="C18" i="19"/>
  <c r="B18" i="19"/>
  <c r="A18" i="19"/>
  <c r="W17" i="19"/>
  <c r="V17" i="19"/>
  <c r="U17" i="19"/>
  <c r="T17" i="19"/>
  <c r="S17" i="19"/>
  <c r="M17" i="19"/>
  <c r="L17" i="19"/>
  <c r="J17" i="19"/>
  <c r="I17" i="19"/>
  <c r="H17" i="19"/>
  <c r="G17" i="19"/>
  <c r="F17" i="19"/>
  <c r="E17" i="19"/>
  <c r="C17" i="19"/>
  <c r="B17" i="19"/>
  <c r="A17" i="19"/>
  <c r="M16" i="19"/>
  <c r="L16" i="19"/>
  <c r="J16" i="19"/>
  <c r="I16" i="19"/>
  <c r="H16" i="19"/>
  <c r="G16" i="19"/>
  <c r="F16" i="19"/>
  <c r="E16" i="19"/>
  <c r="C16" i="19"/>
  <c r="B16" i="19"/>
  <c r="A16" i="19"/>
  <c r="X15" i="19"/>
  <c r="M15" i="19"/>
  <c r="L15" i="19"/>
  <c r="J15" i="19"/>
  <c r="I15" i="19"/>
  <c r="H15" i="19"/>
  <c r="G15" i="19"/>
  <c r="F15" i="19"/>
  <c r="E15" i="19"/>
  <c r="C15" i="19"/>
  <c r="B15" i="19"/>
  <c r="A15" i="19"/>
  <c r="X14" i="19"/>
  <c r="M14" i="19"/>
  <c r="L14" i="19"/>
  <c r="J14" i="19"/>
  <c r="I14" i="19"/>
  <c r="H14" i="19"/>
  <c r="G14" i="19"/>
  <c r="F14" i="19"/>
  <c r="E14" i="19"/>
  <c r="C14" i="19"/>
  <c r="B14" i="19"/>
  <c r="A14" i="19"/>
  <c r="X13" i="19"/>
  <c r="M13" i="19"/>
  <c r="L13" i="19"/>
  <c r="K13" i="19"/>
  <c r="J13" i="19"/>
  <c r="I13" i="19"/>
  <c r="H13" i="19"/>
  <c r="G13" i="19"/>
  <c r="F13" i="19"/>
  <c r="E13" i="19"/>
  <c r="C13" i="19"/>
  <c r="B13" i="19"/>
  <c r="A13" i="19"/>
  <c r="X12" i="19"/>
  <c r="M12" i="19"/>
  <c r="L12" i="19"/>
  <c r="J12" i="19"/>
  <c r="I12" i="19"/>
  <c r="H12" i="19"/>
  <c r="G12" i="19"/>
  <c r="F12" i="19"/>
  <c r="E12" i="19"/>
  <c r="C12" i="19"/>
  <c r="B12" i="19"/>
  <c r="A12" i="19"/>
  <c r="X11" i="19"/>
  <c r="M11" i="19"/>
  <c r="L11" i="19"/>
  <c r="J11" i="19"/>
  <c r="I11" i="19"/>
  <c r="H11" i="19"/>
  <c r="G11" i="19"/>
  <c r="F11" i="19"/>
  <c r="E11" i="19"/>
  <c r="C11" i="19"/>
  <c r="B11" i="19"/>
  <c r="A11" i="19"/>
  <c r="J10" i="19"/>
  <c r="I10" i="19"/>
  <c r="H10" i="19"/>
  <c r="G10" i="19"/>
  <c r="F10" i="19"/>
  <c r="E10" i="19"/>
  <c r="C10" i="19"/>
  <c r="B10" i="19"/>
  <c r="A10" i="19"/>
  <c r="K9" i="19"/>
  <c r="J9" i="19"/>
  <c r="I9" i="19"/>
  <c r="H9" i="19"/>
  <c r="G9" i="19"/>
  <c r="F9" i="19"/>
  <c r="E9" i="19"/>
  <c r="C9" i="19"/>
  <c r="B9" i="19"/>
  <c r="A9" i="19"/>
  <c r="K8" i="19"/>
  <c r="J8" i="19"/>
  <c r="I8" i="19"/>
  <c r="H8" i="19"/>
  <c r="G8" i="19"/>
  <c r="F8" i="19"/>
  <c r="E8" i="19"/>
  <c r="C8" i="19"/>
  <c r="B8" i="19"/>
  <c r="A8" i="19"/>
  <c r="K7" i="19"/>
  <c r="J7" i="19"/>
  <c r="I7" i="19"/>
  <c r="H7" i="19"/>
  <c r="G7" i="19"/>
  <c r="F7" i="19"/>
  <c r="E7" i="19"/>
  <c r="C7" i="19"/>
  <c r="B7" i="19"/>
  <c r="A7" i="19"/>
  <c r="K6" i="19"/>
  <c r="J6" i="19"/>
  <c r="I6" i="19"/>
  <c r="H6" i="19"/>
  <c r="G6" i="19"/>
  <c r="F6" i="19"/>
  <c r="E6" i="19"/>
  <c r="C6" i="19"/>
  <c r="B6" i="19"/>
  <c r="A6" i="19"/>
  <c r="K5" i="19"/>
  <c r="J5" i="19"/>
  <c r="I5" i="19"/>
  <c r="H5" i="19"/>
  <c r="G5" i="19"/>
  <c r="F5" i="19"/>
  <c r="E5" i="19"/>
  <c r="C5" i="19"/>
  <c r="B5" i="19"/>
  <c r="A5" i="19"/>
  <c r="AE4" i="19"/>
  <c r="K4" i="19"/>
  <c r="J4" i="19"/>
  <c r="I4" i="19"/>
  <c r="H4" i="19"/>
  <c r="G4" i="19"/>
  <c r="F4" i="19"/>
  <c r="E4" i="19"/>
  <c r="C4" i="19"/>
  <c r="B4" i="19"/>
  <c r="A4" i="19"/>
  <c r="K3" i="19"/>
  <c r="J3" i="19"/>
  <c r="I3" i="19"/>
  <c r="H3" i="19"/>
  <c r="G3" i="19"/>
  <c r="F3" i="19"/>
  <c r="E3" i="19"/>
  <c r="D3" i="19"/>
  <c r="C3" i="19"/>
  <c r="B3" i="19"/>
  <c r="K27" i="18"/>
  <c r="J27" i="18"/>
  <c r="I27" i="18"/>
  <c r="H27" i="18"/>
  <c r="G27" i="18"/>
  <c r="F27" i="18"/>
  <c r="E27" i="18"/>
  <c r="D27" i="18"/>
  <c r="C27" i="18"/>
  <c r="B27" i="18"/>
  <c r="A27" i="18"/>
  <c r="K26" i="18"/>
  <c r="J26" i="18"/>
  <c r="I26" i="18"/>
  <c r="H26" i="18"/>
  <c r="G26" i="18"/>
  <c r="F26" i="18"/>
  <c r="E26" i="18"/>
  <c r="D26" i="18"/>
  <c r="C26" i="18"/>
  <c r="B26" i="18"/>
  <c r="A26" i="18"/>
  <c r="K25" i="18"/>
  <c r="J25" i="18"/>
  <c r="I25" i="18"/>
  <c r="H25" i="18"/>
  <c r="G25" i="18"/>
  <c r="F25" i="18"/>
  <c r="E25" i="18"/>
  <c r="D25" i="18"/>
  <c r="C25" i="18"/>
  <c r="B25" i="18"/>
  <c r="A25" i="18"/>
  <c r="K24" i="18"/>
  <c r="J24" i="18"/>
  <c r="I24" i="18"/>
  <c r="H24" i="18"/>
  <c r="G24" i="18"/>
  <c r="F24" i="18"/>
  <c r="E24" i="18"/>
  <c r="C24" i="18"/>
  <c r="B24" i="18"/>
  <c r="A24" i="18"/>
  <c r="K23" i="18"/>
  <c r="J23" i="18"/>
  <c r="I23" i="18"/>
  <c r="H23" i="18"/>
  <c r="G23" i="18"/>
  <c r="F23" i="18"/>
  <c r="E23" i="18"/>
  <c r="C23" i="18"/>
  <c r="B23" i="18"/>
  <c r="A23" i="18"/>
  <c r="J22" i="18"/>
  <c r="I22" i="18"/>
  <c r="H22" i="18"/>
  <c r="G22" i="18"/>
  <c r="F22" i="18"/>
  <c r="E22" i="18"/>
  <c r="C22" i="18"/>
  <c r="B22" i="18"/>
  <c r="A22" i="18"/>
  <c r="W21" i="18"/>
  <c r="V21" i="18"/>
  <c r="U21" i="18"/>
  <c r="T21" i="18"/>
  <c r="S21" i="18"/>
  <c r="M21" i="18"/>
  <c r="L21" i="18"/>
  <c r="K21" i="18"/>
  <c r="J21" i="18"/>
  <c r="I21" i="18"/>
  <c r="H21" i="18"/>
  <c r="G21" i="18"/>
  <c r="F21" i="18"/>
  <c r="E21" i="18"/>
  <c r="C21" i="18"/>
  <c r="B21" i="18"/>
  <c r="A21" i="18"/>
  <c r="M20" i="18"/>
  <c r="L20" i="18"/>
  <c r="J20" i="18"/>
  <c r="I20" i="18"/>
  <c r="H20" i="18"/>
  <c r="G20" i="18"/>
  <c r="F20" i="18"/>
  <c r="E20" i="18"/>
  <c r="C20" i="18"/>
  <c r="B20" i="18"/>
  <c r="A20" i="18"/>
  <c r="W19" i="18"/>
  <c r="V19" i="18"/>
  <c r="L19" i="18"/>
  <c r="U19" i="18" s="1"/>
  <c r="K19" i="18"/>
  <c r="J19" i="18"/>
  <c r="I19" i="18"/>
  <c r="H19" i="18"/>
  <c r="G19" i="18"/>
  <c r="F19" i="18"/>
  <c r="E19" i="18"/>
  <c r="C19" i="18"/>
  <c r="B19" i="18"/>
  <c r="A19" i="18"/>
  <c r="V18" i="18"/>
  <c r="U18" i="18"/>
  <c r="T18" i="18"/>
  <c r="S18" i="18"/>
  <c r="L18" i="18"/>
  <c r="M18" i="18" s="1"/>
  <c r="J18" i="18"/>
  <c r="I18" i="18"/>
  <c r="H18" i="18"/>
  <c r="G18" i="18"/>
  <c r="F18" i="18"/>
  <c r="E18" i="18"/>
  <c r="C18" i="18"/>
  <c r="B18" i="18"/>
  <c r="A18" i="18"/>
  <c r="L17" i="18"/>
  <c r="J17" i="18"/>
  <c r="I17" i="18"/>
  <c r="H17" i="18"/>
  <c r="G17" i="18"/>
  <c r="F17" i="18"/>
  <c r="E17" i="18"/>
  <c r="C17" i="18"/>
  <c r="B17" i="18"/>
  <c r="A17" i="18"/>
  <c r="W16" i="18"/>
  <c r="V16" i="18"/>
  <c r="U16" i="18"/>
  <c r="S16" i="18"/>
  <c r="M16" i="18"/>
  <c r="L16" i="18"/>
  <c r="T16" i="18" s="1"/>
  <c r="J16" i="18"/>
  <c r="I16" i="18"/>
  <c r="H16" i="18"/>
  <c r="G16" i="18"/>
  <c r="F16" i="18"/>
  <c r="E16" i="18"/>
  <c r="C16" i="18"/>
  <c r="B16" i="18"/>
  <c r="A16" i="18"/>
  <c r="X15" i="18"/>
  <c r="M15" i="18"/>
  <c r="L15" i="18"/>
  <c r="J15" i="18"/>
  <c r="I15" i="18"/>
  <c r="H15" i="18"/>
  <c r="G15" i="18"/>
  <c r="F15" i="18"/>
  <c r="E15" i="18"/>
  <c r="C15" i="18"/>
  <c r="B15" i="18"/>
  <c r="A15" i="18"/>
  <c r="X14" i="18"/>
  <c r="M14" i="18"/>
  <c r="L14" i="18"/>
  <c r="J14" i="18"/>
  <c r="I14" i="18"/>
  <c r="H14" i="18"/>
  <c r="G14" i="18"/>
  <c r="F14" i="18"/>
  <c r="E14" i="18"/>
  <c r="C14" i="18"/>
  <c r="B14" i="18"/>
  <c r="A14" i="18"/>
  <c r="X13" i="18"/>
  <c r="M13" i="18"/>
  <c r="L13" i="18"/>
  <c r="K13" i="18"/>
  <c r="Z13" i="18" s="1"/>
  <c r="J13" i="18"/>
  <c r="I13" i="18"/>
  <c r="H13" i="18"/>
  <c r="G13" i="18"/>
  <c r="F13" i="18"/>
  <c r="E13" i="18"/>
  <c r="C13" i="18"/>
  <c r="B13" i="18"/>
  <c r="A13" i="18"/>
  <c r="X12" i="18"/>
  <c r="M12" i="18"/>
  <c r="L12" i="18"/>
  <c r="J12" i="18"/>
  <c r="I12" i="18"/>
  <c r="H12" i="18"/>
  <c r="G12" i="18"/>
  <c r="F12" i="18"/>
  <c r="E12" i="18"/>
  <c r="C12" i="18"/>
  <c r="B12" i="18"/>
  <c r="A12" i="18"/>
  <c r="X11" i="18"/>
  <c r="M11" i="18"/>
  <c r="L11" i="18"/>
  <c r="J11" i="18"/>
  <c r="I11" i="18"/>
  <c r="H11" i="18"/>
  <c r="G11" i="18"/>
  <c r="F11" i="18"/>
  <c r="E11" i="18"/>
  <c r="C11" i="18"/>
  <c r="B11" i="18"/>
  <c r="A11" i="18"/>
  <c r="J10" i="18"/>
  <c r="I10" i="18"/>
  <c r="H10" i="18"/>
  <c r="G10" i="18"/>
  <c r="F10" i="18"/>
  <c r="E10" i="18"/>
  <c r="C10" i="18"/>
  <c r="B10" i="18"/>
  <c r="A10" i="18"/>
  <c r="K9" i="18"/>
  <c r="J9" i="18"/>
  <c r="I9" i="18"/>
  <c r="H9" i="18"/>
  <c r="G9" i="18"/>
  <c r="F9" i="18"/>
  <c r="E9" i="18"/>
  <c r="C9" i="18"/>
  <c r="B9" i="18"/>
  <c r="A9" i="18"/>
  <c r="K8" i="18"/>
  <c r="J8" i="18"/>
  <c r="I8" i="18"/>
  <c r="H8" i="18"/>
  <c r="G8" i="18"/>
  <c r="F8" i="18"/>
  <c r="E8" i="18"/>
  <c r="C8" i="18"/>
  <c r="B8" i="18"/>
  <c r="A8" i="18"/>
  <c r="K7" i="18"/>
  <c r="J7" i="18"/>
  <c r="I7" i="18"/>
  <c r="H7" i="18"/>
  <c r="G7" i="18"/>
  <c r="F7" i="18"/>
  <c r="E7" i="18"/>
  <c r="C7" i="18"/>
  <c r="B7" i="18"/>
  <c r="A7" i="18"/>
  <c r="K6" i="18"/>
  <c r="J6" i="18"/>
  <c r="I6" i="18"/>
  <c r="H6" i="18"/>
  <c r="G6" i="18"/>
  <c r="F6" i="18"/>
  <c r="E6" i="18"/>
  <c r="C6" i="18"/>
  <c r="B6" i="18"/>
  <c r="A6" i="18"/>
  <c r="K5" i="18"/>
  <c r="J5" i="18"/>
  <c r="I5" i="18"/>
  <c r="H5" i="18"/>
  <c r="G5" i="18"/>
  <c r="F5" i="18"/>
  <c r="E5" i="18"/>
  <c r="C5" i="18"/>
  <c r="B5" i="18"/>
  <c r="A5" i="18"/>
  <c r="AF4" i="18"/>
  <c r="K4" i="18"/>
  <c r="J4" i="18"/>
  <c r="I4" i="18"/>
  <c r="H4" i="18"/>
  <c r="G4" i="18"/>
  <c r="F4" i="18"/>
  <c r="E4" i="18"/>
  <c r="C4" i="18"/>
  <c r="B4" i="18"/>
  <c r="A4" i="18"/>
  <c r="K3" i="18"/>
  <c r="J3" i="18"/>
  <c r="I3" i="18"/>
  <c r="H3" i="18"/>
  <c r="G3" i="18"/>
  <c r="F3" i="18"/>
  <c r="E3" i="18"/>
  <c r="D3" i="18"/>
  <c r="C3" i="18"/>
  <c r="B3" i="18"/>
  <c r="Y24" i="17"/>
  <c r="K24" i="17"/>
  <c r="J24" i="17"/>
  <c r="I24" i="17"/>
  <c r="H24" i="17"/>
  <c r="G24" i="17"/>
  <c r="F24" i="17"/>
  <c r="E24" i="17"/>
  <c r="C24" i="17"/>
  <c r="B24" i="17"/>
  <c r="A24" i="17"/>
  <c r="Y23" i="17"/>
  <c r="K23" i="17"/>
  <c r="J23" i="17"/>
  <c r="I23" i="17"/>
  <c r="H23" i="17"/>
  <c r="G23" i="17"/>
  <c r="F23" i="17"/>
  <c r="E23" i="17"/>
  <c r="C23" i="17"/>
  <c r="B23" i="17"/>
  <c r="A23" i="17"/>
  <c r="Y22" i="17"/>
  <c r="K22" i="17"/>
  <c r="J22" i="17"/>
  <c r="I22" i="17"/>
  <c r="H22" i="17"/>
  <c r="G22" i="17"/>
  <c r="F22" i="17"/>
  <c r="E22" i="17"/>
  <c r="C22" i="17"/>
  <c r="B22" i="17"/>
  <c r="A22" i="17"/>
  <c r="Y21" i="17"/>
  <c r="J21" i="17"/>
  <c r="I21" i="17"/>
  <c r="H21" i="17"/>
  <c r="G21" i="17"/>
  <c r="F21" i="17"/>
  <c r="E21" i="17"/>
  <c r="C21" i="17"/>
  <c r="B21" i="17"/>
  <c r="A21" i="17"/>
  <c r="R20" i="17"/>
  <c r="Q20" i="17"/>
  <c r="P20" i="17"/>
  <c r="N20" i="17"/>
  <c r="L20" i="17"/>
  <c r="M20" i="17" s="1"/>
  <c r="J20" i="17"/>
  <c r="I20" i="17"/>
  <c r="H20" i="17"/>
  <c r="G20" i="17"/>
  <c r="F20" i="17"/>
  <c r="E20" i="17"/>
  <c r="C20" i="17"/>
  <c r="B20" i="17"/>
  <c r="A20" i="17"/>
  <c r="S19" i="17"/>
  <c r="R19" i="17"/>
  <c r="L19" i="17"/>
  <c r="Q19" i="17" s="1"/>
  <c r="J19" i="17"/>
  <c r="I19" i="17"/>
  <c r="H19" i="17"/>
  <c r="G19" i="17"/>
  <c r="F19" i="17"/>
  <c r="E19" i="17"/>
  <c r="C19" i="17"/>
  <c r="B19" i="17"/>
  <c r="A19" i="17"/>
  <c r="M18" i="17"/>
  <c r="L18" i="17"/>
  <c r="K18" i="17"/>
  <c r="J18" i="17"/>
  <c r="I18" i="17"/>
  <c r="H18" i="17"/>
  <c r="G18" i="17"/>
  <c r="F18" i="17"/>
  <c r="E18" i="17"/>
  <c r="C18" i="17"/>
  <c r="B18" i="17"/>
  <c r="A18" i="17"/>
  <c r="U17" i="17"/>
  <c r="T17" i="17"/>
  <c r="N17" i="17"/>
  <c r="M17" i="17"/>
  <c r="L17" i="17"/>
  <c r="V17" i="17" s="1"/>
  <c r="J17" i="17"/>
  <c r="I17" i="17"/>
  <c r="H17" i="17"/>
  <c r="G17" i="17"/>
  <c r="F17" i="17"/>
  <c r="E17" i="17"/>
  <c r="C17" i="17"/>
  <c r="B17" i="17"/>
  <c r="A17" i="17"/>
  <c r="V16" i="17"/>
  <c r="U16" i="17"/>
  <c r="T16" i="17"/>
  <c r="Y16" i="17" s="1"/>
  <c r="M16" i="17"/>
  <c r="L16" i="17"/>
  <c r="N16" i="17" s="1"/>
  <c r="K16" i="17"/>
  <c r="J16" i="17"/>
  <c r="I16" i="17"/>
  <c r="H16" i="17"/>
  <c r="G16" i="17"/>
  <c r="F16" i="17"/>
  <c r="E16" i="17"/>
  <c r="C16" i="17"/>
  <c r="B16" i="17"/>
  <c r="A16" i="17"/>
  <c r="V15" i="17"/>
  <c r="L15" i="17"/>
  <c r="U15" i="17" s="1"/>
  <c r="J15" i="17"/>
  <c r="I15" i="17"/>
  <c r="H15" i="17"/>
  <c r="G15" i="17"/>
  <c r="F15" i="17"/>
  <c r="E15" i="17"/>
  <c r="C15" i="17"/>
  <c r="B15" i="17"/>
  <c r="A15" i="17"/>
  <c r="L14" i="17"/>
  <c r="J14" i="17"/>
  <c r="I14" i="17"/>
  <c r="H14" i="17"/>
  <c r="G14" i="17"/>
  <c r="F14" i="17"/>
  <c r="E14" i="17"/>
  <c r="C14" i="17"/>
  <c r="B14" i="17"/>
  <c r="A14" i="17"/>
  <c r="U13" i="17"/>
  <c r="T13" i="17"/>
  <c r="Y13" i="17" s="1"/>
  <c r="N13" i="17"/>
  <c r="M13" i="17"/>
  <c r="L13" i="17"/>
  <c r="V13" i="17" s="1"/>
  <c r="J13" i="17"/>
  <c r="I13" i="17"/>
  <c r="H13" i="17"/>
  <c r="G13" i="17"/>
  <c r="F13" i="17"/>
  <c r="E13" i="17"/>
  <c r="C13" i="17"/>
  <c r="B13" i="17"/>
  <c r="A13" i="17"/>
  <c r="Y12" i="17"/>
  <c r="J12" i="17"/>
  <c r="I12" i="17"/>
  <c r="H12" i="17"/>
  <c r="G12" i="17"/>
  <c r="F12" i="17"/>
  <c r="E12" i="17"/>
  <c r="C12" i="17"/>
  <c r="B12" i="17"/>
  <c r="A12" i="17"/>
  <c r="N11" i="17"/>
  <c r="M11" i="17"/>
  <c r="L11" i="17"/>
  <c r="K11" i="17"/>
  <c r="J11" i="17"/>
  <c r="I11" i="17"/>
  <c r="H11" i="17"/>
  <c r="G11" i="17"/>
  <c r="F11" i="17"/>
  <c r="E11" i="17"/>
  <c r="C11" i="17"/>
  <c r="B11" i="17"/>
  <c r="A11" i="17"/>
  <c r="S10" i="17"/>
  <c r="R10" i="17"/>
  <c r="Q10" i="17"/>
  <c r="P10" i="17"/>
  <c r="M10" i="17"/>
  <c r="L10" i="17"/>
  <c r="N10" i="17" s="1"/>
  <c r="J10" i="17"/>
  <c r="I10" i="17"/>
  <c r="H10" i="17"/>
  <c r="G10" i="17"/>
  <c r="F10" i="17"/>
  <c r="E10" i="17"/>
  <c r="C10" i="17"/>
  <c r="B10" i="17"/>
  <c r="A10" i="17"/>
  <c r="Y9" i="17"/>
  <c r="K9" i="17"/>
  <c r="J9" i="17"/>
  <c r="I9" i="17"/>
  <c r="H9" i="17"/>
  <c r="G9" i="17"/>
  <c r="F9" i="17"/>
  <c r="E9" i="17"/>
  <c r="C9" i="17"/>
  <c r="B9" i="17"/>
  <c r="A9" i="17"/>
  <c r="Y8" i="17"/>
  <c r="K8" i="17"/>
  <c r="J8" i="17"/>
  <c r="I8" i="17"/>
  <c r="H8" i="17"/>
  <c r="G8" i="17"/>
  <c r="F8" i="17"/>
  <c r="E8" i="17"/>
  <c r="C8" i="17"/>
  <c r="B8" i="17"/>
  <c r="A8" i="17"/>
  <c r="Y7" i="17"/>
  <c r="K7" i="17"/>
  <c r="J7" i="17"/>
  <c r="I7" i="17"/>
  <c r="H7" i="17"/>
  <c r="G7" i="17"/>
  <c r="F7" i="17"/>
  <c r="E7" i="17"/>
  <c r="C7" i="17"/>
  <c r="B7" i="17"/>
  <c r="A7" i="17"/>
  <c r="R6" i="17"/>
  <c r="Q6" i="17"/>
  <c r="P6" i="17"/>
  <c r="N6" i="17"/>
  <c r="L6" i="17"/>
  <c r="M6" i="17" s="1"/>
  <c r="J6" i="17"/>
  <c r="I6" i="17"/>
  <c r="H6" i="17"/>
  <c r="G6" i="17"/>
  <c r="F6" i="17"/>
  <c r="E6" i="17"/>
  <c r="C6" i="17"/>
  <c r="B6" i="17"/>
  <c r="A6" i="17"/>
  <c r="Y5" i="17"/>
  <c r="K5" i="17"/>
  <c r="J5" i="17"/>
  <c r="I5" i="17"/>
  <c r="H5" i="17"/>
  <c r="G5" i="17"/>
  <c r="F5" i="17"/>
  <c r="E5" i="17"/>
  <c r="C5" i="17"/>
  <c r="B5" i="17"/>
  <c r="A5" i="17"/>
  <c r="AF4" i="17"/>
  <c r="Y4" i="17"/>
  <c r="K4" i="17"/>
  <c r="J4" i="17"/>
  <c r="I4" i="17"/>
  <c r="H4" i="17"/>
  <c r="G4" i="17"/>
  <c r="F4" i="17"/>
  <c r="E4" i="17"/>
  <c r="C4" i="17"/>
  <c r="B4" i="17"/>
  <c r="A4" i="17"/>
  <c r="K3" i="17"/>
  <c r="J3" i="17"/>
  <c r="I3" i="17"/>
  <c r="H3" i="17"/>
  <c r="G3" i="17"/>
  <c r="F3" i="17"/>
  <c r="E3" i="17"/>
  <c r="D3" i="17"/>
  <c r="C3" i="17"/>
  <c r="B3" i="17"/>
  <c r="Y24" i="16"/>
  <c r="K24" i="16"/>
  <c r="J24" i="16"/>
  <c r="I24" i="16"/>
  <c r="H24" i="16"/>
  <c r="G24" i="16"/>
  <c r="F24" i="16"/>
  <c r="E24" i="16"/>
  <c r="C24" i="16"/>
  <c r="B24" i="16"/>
  <c r="A24" i="16"/>
  <c r="Y23" i="16"/>
  <c r="K23" i="16"/>
  <c r="J23" i="16"/>
  <c r="I23" i="16"/>
  <c r="H23" i="16"/>
  <c r="G23" i="16"/>
  <c r="F23" i="16"/>
  <c r="E23" i="16"/>
  <c r="C23" i="16"/>
  <c r="B23" i="16"/>
  <c r="A23" i="16"/>
  <c r="Y22" i="16"/>
  <c r="K22" i="16"/>
  <c r="J22" i="16"/>
  <c r="I22" i="16"/>
  <c r="H22" i="16"/>
  <c r="G22" i="16"/>
  <c r="F22" i="16"/>
  <c r="E22" i="16"/>
  <c r="C22" i="16"/>
  <c r="B22" i="16"/>
  <c r="A22" i="16"/>
  <c r="Y21" i="16"/>
  <c r="J21" i="16"/>
  <c r="I21" i="16"/>
  <c r="H21" i="16"/>
  <c r="G21" i="16"/>
  <c r="F21" i="16"/>
  <c r="E21" i="16"/>
  <c r="C21" i="16"/>
  <c r="B21" i="16"/>
  <c r="A21" i="16"/>
  <c r="L20" i="16"/>
  <c r="J20" i="16"/>
  <c r="I20" i="16"/>
  <c r="H20" i="16"/>
  <c r="G20" i="16"/>
  <c r="F20" i="16"/>
  <c r="E20" i="16"/>
  <c r="C20" i="16"/>
  <c r="B20" i="16"/>
  <c r="A20" i="16"/>
  <c r="R19" i="16"/>
  <c r="Q19" i="16"/>
  <c r="P19" i="16"/>
  <c r="Y19" i="16" s="1"/>
  <c r="N19" i="16"/>
  <c r="L19" i="16"/>
  <c r="S19" i="16" s="1"/>
  <c r="J19" i="16"/>
  <c r="I19" i="16"/>
  <c r="H19" i="16"/>
  <c r="G19" i="16"/>
  <c r="F19" i="16"/>
  <c r="E19" i="16"/>
  <c r="C19" i="16"/>
  <c r="B19" i="16"/>
  <c r="A19" i="16"/>
  <c r="V18" i="16"/>
  <c r="U18" i="16"/>
  <c r="T18" i="16"/>
  <c r="L18" i="16"/>
  <c r="N18" i="16" s="1"/>
  <c r="K18" i="16"/>
  <c r="J18" i="16"/>
  <c r="I18" i="16"/>
  <c r="H18" i="16"/>
  <c r="G18" i="16"/>
  <c r="F18" i="16"/>
  <c r="E18" i="16"/>
  <c r="C18" i="16"/>
  <c r="B18" i="16"/>
  <c r="A18" i="16"/>
  <c r="V17" i="16"/>
  <c r="U17" i="16"/>
  <c r="L17" i="16"/>
  <c r="T17" i="16" s="1"/>
  <c r="Y17" i="16" s="1"/>
  <c r="J17" i="16"/>
  <c r="I17" i="16"/>
  <c r="H17" i="16"/>
  <c r="G17" i="16"/>
  <c r="F17" i="16"/>
  <c r="E17" i="16"/>
  <c r="C17" i="16"/>
  <c r="B17" i="16"/>
  <c r="A17" i="16"/>
  <c r="V16" i="16"/>
  <c r="Y16" i="16" s="1"/>
  <c r="U16" i="16"/>
  <c r="T16" i="16"/>
  <c r="N16" i="16"/>
  <c r="L16" i="16"/>
  <c r="K16" i="16"/>
  <c r="J16" i="16"/>
  <c r="I16" i="16"/>
  <c r="H16" i="16"/>
  <c r="G16" i="16"/>
  <c r="F16" i="16"/>
  <c r="E16" i="16"/>
  <c r="C16" i="16"/>
  <c r="B16" i="16"/>
  <c r="A16" i="16"/>
  <c r="L15" i="16"/>
  <c r="V15" i="16" s="1"/>
  <c r="J15" i="16"/>
  <c r="I15" i="16"/>
  <c r="H15" i="16"/>
  <c r="G15" i="16"/>
  <c r="F15" i="16"/>
  <c r="E15" i="16"/>
  <c r="C15" i="16"/>
  <c r="B15" i="16"/>
  <c r="A15" i="16"/>
  <c r="L14" i="16"/>
  <c r="J14" i="16"/>
  <c r="I14" i="16"/>
  <c r="H14" i="16"/>
  <c r="G14" i="16"/>
  <c r="F14" i="16"/>
  <c r="E14" i="16"/>
  <c r="C14" i="16"/>
  <c r="B14" i="16"/>
  <c r="A14" i="16"/>
  <c r="L13" i="16"/>
  <c r="J13" i="16"/>
  <c r="I13" i="16"/>
  <c r="H13" i="16"/>
  <c r="G13" i="16"/>
  <c r="F13" i="16"/>
  <c r="E13" i="16"/>
  <c r="C13" i="16"/>
  <c r="B13" i="16"/>
  <c r="A13" i="16"/>
  <c r="S12" i="16"/>
  <c r="R12" i="16"/>
  <c r="Q12" i="16"/>
  <c r="P12" i="16"/>
  <c r="Y12" i="16" s="1"/>
  <c r="N12" i="16"/>
  <c r="J12" i="16"/>
  <c r="I12" i="16"/>
  <c r="H12" i="16"/>
  <c r="G12" i="16"/>
  <c r="F12" i="16"/>
  <c r="E12" i="16"/>
  <c r="C12" i="16"/>
  <c r="B12" i="16"/>
  <c r="A12" i="16"/>
  <c r="S11" i="16"/>
  <c r="R11" i="16"/>
  <c r="Q11" i="16"/>
  <c r="P11" i="16"/>
  <c r="L11" i="16"/>
  <c r="N11" i="16" s="1"/>
  <c r="K11" i="16"/>
  <c r="J11" i="16"/>
  <c r="I11" i="16"/>
  <c r="H11" i="16"/>
  <c r="G11" i="16"/>
  <c r="F11" i="16"/>
  <c r="E11" i="16"/>
  <c r="C11" i="16"/>
  <c r="B11" i="16"/>
  <c r="A11" i="16"/>
  <c r="Y10" i="16"/>
  <c r="S10" i="16"/>
  <c r="R10" i="16"/>
  <c r="P10" i="16"/>
  <c r="N10" i="16"/>
  <c r="L10" i="16"/>
  <c r="Q10" i="16" s="1"/>
  <c r="J10" i="16"/>
  <c r="I10" i="16"/>
  <c r="H10" i="16"/>
  <c r="G10" i="16"/>
  <c r="F10" i="16"/>
  <c r="E10" i="16"/>
  <c r="C10" i="16"/>
  <c r="B10" i="16"/>
  <c r="A10" i="16"/>
  <c r="Y9" i="16"/>
  <c r="K9" i="16"/>
  <c r="J9" i="16"/>
  <c r="I9" i="16"/>
  <c r="H9" i="16"/>
  <c r="G9" i="16"/>
  <c r="F9" i="16"/>
  <c r="E9" i="16"/>
  <c r="C9" i="16"/>
  <c r="B9" i="16"/>
  <c r="A9" i="16"/>
  <c r="Y8" i="16"/>
  <c r="K8" i="16"/>
  <c r="J8" i="16"/>
  <c r="I8" i="16"/>
  <c r="H8" i="16"/>
  <c r="G8" i="16"/>
  <c r="F8" i="16"/>
  <c r="E8" i="16"/>
  <c r="C8" i="16"/>
  <c r="B8" i="16"/>
  <c r="A8" i="16"/>
  <c r="Y7" i="16"/>
  <c r="K7" i="16"/>
  <c r="J7" i="16"/>
  <c r="I7" i="16"/>
  <c r="H7" i="16"/>
  <c r="G7" i="16"/>
  <c r="F7" i="16"/>
  <c r="E7" i="16"/>
  <c r="C7" i="16"/>
  <c r="B7" i="16"/>
  <c r="A7" i="16"/>
  <c r="S6" i="16"/>
  <c r="R6" i="16"/>
  <c r="Q6" i="16"/>
  <c r="P6" i="16"/>
  <c r="L6" i="16"/>
  <c r="N6" i="16" s="1"/>
  <c r="J6" i="16"/>
  <c r="I6" i="16"/>
  <c r="H6" i="16"/>
  <c r="G6" i="16"/>
  <c r="F6" i="16"/>
  <c r="E6" i="16"/>
  <c r="C6" i="16"/>
  <c r="B6" i="16"/>
  <c r="A6" i="16"/>
  <c r="Y5" i="16"/>
  <c r="O5" i="16"/>
  <c r="N5" i="16"/>
  <c r="L5" i="16"/>
  <c r="K5" i="16"/>
  <c r="J5" i="16"/>
  <c r="I5" i="16"/>
  <c r="H5" i="16"/>
  <c r="G5" i="16"/>
  <c r="F5" i="16"/>
  <c r="E5" i="16"/>
  <c r="C5" i="16"/>
  <c r="B5" i="16"/>
  <c r="A5" i="16"/>
  <c r="AF4" i="16"/>
  <c r="Y4" i="16"/>
  <c r="K4" i="16"/>
  <c r="J4" i="16"/>
  <c r="I4" i="16"/>
  <c r="H4" i="16"/>
  <c r="G4" i="16"/>
  <c r="F4" i="16"/>
  <c r="E4" i="16"/>
  <c r="C4" i="16"/>
  <c r="B4" i="16"/>
  <c r="A4" i="16"/>
  <c r="K3" i="16"/>
  <c r="J3" i="16"/>
  <c r="I3" i="16"/>
  <c r="H3" i="16"/>
  <c r="G3" i="16"/>
  <c r="F3" i="16"/>
  <c r="E3" i="16"/>
  <c r="D3" i="16"/>
  <c r="C3" i="16"/>
  <c r="B3" i="16"/>
  <c r="L12" i="15"/>
  <c r="L11" i="15"/>
  <c r="L10" i="15"/>
  <c r="M9" i="15"/>
  <c r="L9" i="15"/>
  <c r="M8" i="15"/>
  <c r="L8" i="15"/>
  <c r="W7" i="15"/>
  <c r="V7" i="15"/>
  <c r="U7" i="15"/>
  <c r="T7" i="15"/>
  <c r="Q7" i="15"/>
  <c r="P7" i="15"/>
  <c r="O7" i="15"/>
  <c r="L7" i="15"/>
  <c r="J7" i="15"/>
  <c r="I7" i="15"/>
  <c r="H7" i="15"/>
  <c r="G7" i="15"/>
  <c r="F7" i="15"/>
  <c r="E7" i="15"/>
  <c r="D7" i="15"/>
  <c r="C7" i="15"/>
  <c r="B7" i="15"/>
  <c r="L6" i="15"/>
  <c r="S5" i="15"/>
  <c r="L5" i="15"/>
  <c r="L4" i="15"/>
  <c r="L3" i="15"/>
  <c r="L2" i="15"/>
  <c r="N13" i="14"/>
  <c r="X10" i="14"/>
  <c r="W10" i="14"/>
  <c r="T10" i="14"/>
  <c r="S10" i="14"/>
  <c r="R10" i="14"/>
  <c r="P10" i="14"/>
  <c r="O10" i="14"/>
  <c r="K10" i="14"/>
  <c r="J10" i="14"/>
  <c r="I10" i="14"/>
  <c r="H10" i="14"/>
  <c r="G10" i="14"/>
  <c r="F10" i="14"/>
  <c r="E10" i="14"/>
  <c r="D10" i="14"/>
  <c r="C10" i="14"/>
  <c r="T6" i="14"/>
  <c r="AG27" i="13"/>
  <c r="AF27" i="13"/>
  <c r="AE27" i="13"/>
  <c r="AC25" i="13"/>
  <c r="AA25" i="13"/>
  <c r="Y25" i="13"/>
  <c r="M25" i="13"/>
  <c r="AA24" i="13"/>
  <c r="Y24" i="13"/>
  <c r="W23" i="13"/>
  <c r="V23" i="13"/>
  <c r="U22" i="13"/>
  <c r="T22" i="13"/>
  <c r="S22" i="13"/>
  <c r="Q22" i="13"/>
  <c r="AG21" i="13"/>
  <c r="AE21" i="13"/>
  <c r="AD21" i="13"/>
  <c r="AC19" i="13"/>
  <c r="AB19" i="13"/>
  <c r="AA19" i="13"/>
  <c r="Y19" i="13"/>
  <c r="M19" i="13"/>
  <c r="AA18" i="13"/>
  <c r="Z18" i="13"/>
  <c r="Y18" i="13"/>
  <c r="W17" i="13"/>
  <c r="AF16" i="13"/>
  <c r="U16" i="13"/>
  <c r="S16" i="13"/>
  <c r="Q16" i="13"/>
  <c r="P16" i="13"/>
  <c r="AG15" i="13"/>
  <c r="AF15" i="13"/>
  <c r="AE15" i="13"/>
  <c r="AC13" i="13"/>
  <c r="AA13" i="13"/>
  <c r="Z13" i="13"/>
  <c r="Y13" i="13"/>
  <c r="AA12" i="13"/>
  <c r="Z12" i="13"/>
  <c r="Y12" i="13"/>
  <c r="W11" i="13"/>
  <c r="V11" i="13"/>
  <c r="AF10" i="13"/>
  <c r="U10" i="13"/>
  <c r="S10" i="13"/>
  <c r="Q10" i="13"/>
  <c r="P10" i="13"/>
  <c r="AG9" i="13"/>
  <c r="AF9" i="13"/>
  <c r="AE9" i="13"/>
  <c r="AC7" i="13"/>
  <c r="AA7" i="13"/>
  <c r="Z7" i="13"/>
  <c r="Y7" i="13"/>
  <c r="X7" i="13"/>
  <c r="AA6" i="13"/>
  <c r="Z6" i="13"/>
  <c r="Y6" i="13"/>
  <c r="W5" i="13"/>
  <c r="V5" i="13"/>
  <c r="AF4" i="13"/>
  <c r="U4" i="13"/>
  <c r="S4" i="13"/>
  <c r="Q4" i="13"/>
  <c r="P4" i="13"/>
  <c r="U3" i="13"/>
  <c r="T3" i="13"/>
  <c r="S3" i="13"/>
  <c r="R3" i="13"/>
  <c r="Q3" i="13"/>
  <c r="P3" i="13"/>
  <c r="L1" i="13"/>
  <c r="K1" i="13"/>
  <c r="AF22" i="13" s="1"/>
  <c r="J1" i="13"/>
  <c r="I1" i="13"/>
  <c r="AB12" i="13" s="1"/>
  <c r="H1" i="13"/>
  <c r="Z24" i="13" s="1"/>
  <c r="G1" i="13"/>
  <c r="F1" i="13"/>
  <c r="V17" i="13" s="1"/>
  <c r="E1" i="13"/>
  <c r="T16" i="13" s="1"/>
  <c r="D1" i="13"/>
  <c r="C1" i="13"/>
  <c r="P22" i="13" s="1"/>
  <c r="AT28" i="12"/>
  <c r="AS28" i="12"/>
  <c r="AJ28" i="12"/>
  <c r="AT27" i="12"/>
  <c r="AS27" i="12"/>
  <c r="AK27" i="12"/>
  <c r="U27" i="12"/>
  <c r="AB27" i="12" s="1"/>
  <c r="O27" i="12"/>
  <c r="Y27" i="12" s="1"/>
  <c r="AF27" i="12" s="1"/>
  <c r="N27" i="12"/>
  <c r="X27" i="12" s="1"/>
  <c r="AE27" i="12" s="1"/>
  <c r="M27" i="12"/>
  <c r="W27" i="12" s="1"/>
  <c r="AD27" i="12" s="1"/>
  <c r="L27" i="12"/>
  <c r="V27" i="12" s="1"/>
  <c r="AC27" i="12" s="1"/>
  <c r="K27" i="12"/>
  <c r="J27" i="12"/>
  <c r="T27" i="12" s="1"/>
  <c r="AA27" i="12" s="1"/>
  <c r="I27" i="12"/>
  <c r="S27" i="12" s="1"/>
  <c r="Z27" i="12" s="1"/>
  <c r="H27" i="12"/>
  <c r="R27" i="12" s="1"/>
  <c r="G27" i="12"/>
  <c r="D27" i="12"/>
  <c r="P27" i="12" s="1"/>
  <c r="C27" i="12"/>
  <c r="B27" i="12"/>
  <c r="A27" i="12"/>
  <c r="AT26" i="12"/>
  <c r="AS26" i="12"/>
  <c r="AN26" i="12"/>
  <c r="AJ26" i="12"/>
  <c r="AF26" i="12"/>
  <c r="U26" i="12"/>
  <c r="AB26" i="12" s="1"/>
  <c r="P26" i="12"/>
  <c r="O26" i="12"/>
  <c r="Y26" i="12" s="1"/>
  <c r="N26" i="12"/>
  <c r="X26" i="12" s="1"/>
  <c r="AE26" i="12" s="1"/>
  <c r="M26" i="12"/>
  <c r="W26" i="12" s="1"/>
  <c r="AD26" i="12" s="1"/>
  <c r="L26" i="12"/>
  <c r="V26" i="12" s="1"/>
  <c r="AC26" i="12" s="1"/>
  <c r="K26" i="12"/>
  <c r="J26" i="12"/>
  <c r="T26" i="12" s="1"/>
  <c r="AA26" i="12" s="1"/>
  <c r="I26" i="12"/>
  <c r="S26" i="12" s="1"/>
  <c r="Z26" i="12" s="1"/>
  <c r="H26" i="12"/>
  <c r="R26" i="12" s="1"/>
  <c r="G26" i="12"/>
  <c r="F26" i="12"/>
  <c r="E26" i="12"/>
  <c r="Q26" i="12" s="1"/>
  <c r="D26" i="12"/>
  <c r="C26" i="12"/>
  <c r="B26" i="12"/>
  <c r="A26" i="12"/>
  <c r="AT25" i="12"/>
  <c r="AS25" i="12"/>
  <c r="AN25" i="12"/>
  <c r="T25" i="12"/>
  <c r="AA25" i="12" s="1"/>
  <c r="O25" i="12"/>
  <c r="Y25" i="12" s="1"/>
  <c r="AF25" i="12" s="1"/>
  <c r="N25" i="12"/>
  <c r="X25" i="12" s="1"/>
  <c r="AE25" i="12" s="1"/>
  <c r="M25" i="12"/>
  <c r="W25" i="12" s="1"/>
  <c r="AD25" i="12" s="1"/>
  <c r="L25" i="12"/>
  <c r="V25" i="12" s="1"/>
  <c r="AC25" i="12" s="1"/>
  <c r="K25" i="12"/>
  <c r="U25" i="12" s="1"/>
  <c r="AB25" i="12" s="1"/>
  <c r="J25" i="12"/>
  <c r="I25" i="12"/>
  <c r="S25" i="12" s="1"/>
  <c r="Z25" i="12" s="1"/>
  <c r="H25" i="12"/>
  <c r="R25" i="12" s="1"/>
  <c r="G25" i="12"/>
  <c r="D25" i="12"/>
  <c r="P25" i="12" s="1"/>
  <c r="C25" i="12"/>
  <c r="B25" i="12"/>
  <c r="A25" i="12"/>
  <c r="AT24" i="12"/>
  <c r="AS24" i="12"/>
  <c r="AK24" i="12"/>
  <c r="O24" i="12"/>
  <c r="Y24" i="12" s="1"/>
  <c r="AF24" i="12" s="1"/>
  <c r="N24" i="12"/>
  <c r="X24" i="12" s="1"/>
  <c r="AE24" i="12" s="1"/>
  <c r="M24" i="12"/>
  <c r="W24" i="12" s="1"/>
  <c r="AD24" i="12" s="1"/>
  <c r="L24" i="12"/>
  <c r="V24" i="12" s="1"/>
  <c r="AC24" i="12" s="1"/>
  <c r="K24" i="12"/>
  <c r="U24" i="12" s="1"/>
  <c r="AB24" i="12" s="1"/>
  <c r="J24" i="12"/>
  <c r="T24" i="12" s="1"/>
  <c r="AA24" i="12" s="1"/>
  <c r="I24" i="12"/>
  <c r="S24" i="12" s="1"/>
  <c r="Z24" i="12" s="1"/>
  <c r="H24" i="12"/>
  <c r="R24" i="12" s="1"/>
  <c r="G24" i="12"/>
  <c r="F24" i="12"/>
  <c r="D24" i="12"/>
  <c r="P24" i="12" s="1"/>
  <c r="C24" i="12"/>
  <c r="B24" i="12"/>
  <c r="A24" i="12"/>
  <c r="AT23" i="12"/>
  <c r="AS23" i="12"/>
  <c r="AO23" i="12"/>
  <c r="AA23" i="12"/>
  <c r="V23" i="12"/>
  <c r="AC23" i="12" s="1"/>
  <c r="P23" i="12"/>
  <c r="N23" i="12"/>
  <c r="X23" i="12" s="1"/>
  <c r="AE23" i="12" s="1"/>
  <c r="M23" i="12"/>
  <c r="W23" i="12" s="1"/>
  <c r="AD23" i="12" s="1"/>
  <c r="L23" i="12"/>
  <c r="K23" i="12"/>
  <c r="U23" i="12" s="1"/>
  <c r="AB23" i="12" s="1"/>
  <c r="J23" i="12"/>
  <c r="T23" i="12" s="1"/>
  <c r="I23" i="12"/>
  <c r="S23" i="12" s="1"/>
  <c r="Z23" i="12" s="1"/>
  <c r="H23" i="12"/>
  <c r="R23" i="12" s="1"/>
  <c r="G23" i="12"/>
  <c r="F23" i="12"/>
  <c r="D23" i="12"/>
  <c r="C23" i="12"/>
  <c r="B23" i="12"/>
  <c r="A23" i="12"/>
  <c r="AT22" i="12"/>
  <c r="AS22" i="12"/>
  <c r="AO22" i="12"/>
  <c r="AN22" i="12"/>
  <c r="X22" i="12"/>
  <c r="AE22" i="12" s="1"/>
  <c r="R22" i="12"/>
  <c r="N22" i="12"/>
  <c r="M22" i="12"/>
  <c r="W22" i="12" s="1"/>
  <c r="L22" i="12"/>
  <c r="V22" i="12" s="1"/>
  <c r="AC22" i="12" s="1"/>
  <c r="K22" i="12"/>
  <c r="U22" i="12" s="1"/>
  <c r="AB22" i="12" s="1"/>
  <c r="J22" i="12"/>
  <c r="T22" i="12" s="1"/>
  <c r="AA22" i="12" s="1"/>
  <c r="I22" i="12"/>
  <c r="S22" i="12" s="1"/>
  <c r="Z22" i="12" s="1"/>
  <c r="H22" i="12"/>
  <c r="G22" i="12"/>
  <c r="F22" i="12"/>
  <c r="D22" i="12"/>
  <c r="P22" i="12" s="1"/>
  <c r="C22" i="12"/>
  <c r="B22" i="12"/>
  <c r="A22" i="12"/>
  <c r="T21" i="12"/>
  <c r="AA21" i="12" s="1"/>
  <c r="N21" i="12"/>
  <c r="X21" i="12" s="1"/>
  <c r="AE21" i="12" s="1"/>
  <c r="M21" i="12"/>
  <c r="W21" i="12" s="1"/>
  <c r="AD21" i="12" s="1"/>
  <c r="L21" i="12"/>
  <c r="V21" i="12" s="1"/>
  <c r="AC21" i="12" s="1"/>
  <c r="K21" i="12"/>
  <c r="U21" i="12" s="1"/>
  <c r="AB21" i="12" s="1"/>
  <c r="J21" i="12"/>
  <c r="I21" i="12"/>
  <c r="S21" i="12" s="1"/>
  <c r="Z21" i="12" s="1"/>
  <c r="H21" i="12"/>
  <c r="R21" i="12" s="1"/>
  <c r="G21" i="12"/>
  <c r="F21" i="12"/>
  <c r="D21" i="12"/>
  <c r="P21" i="12" s="1"/>
  <c r="C21" i="12"/>
  <c r="B21" i="12"/>
  <c r="A21" i="12"/>
  <c r="X20" i="12"/>
  <c r="AE20" i="12" s="1"/>
  <c r="V20" i="12"/>
  <c r="AC20" i="12" s="1"/>
  <c r="P20" i="12"/>
  <c r="N20" i="12"/>
  <c r="M20" i="12"/>
  <c r="W20" i="12" s="1"/>
  <c r="AD20" i="12" s="1"/>
  <c r="L20" i="12"/>
  <c r="K20" i="12"/>
  <c r="U20" i="12" s="1"/>
  <c r="AB20" i="12" s="1"/>
  <c r="J20" i="12"/>
  <c r="T20" i="12" s="1"/>
  <c r="AA20" i="12" s="1"/>
  <c r="I20" i="12"/>
  <c r="S20" i="12" s="1"/>
  <c r="Z20" i="12" s="1"/>
  <c r="H20" i="12"/>
  <c r="R20" i="12" s="1"/>
  <c r="G20" i="12"/>
  <c r="D20" i="12"/>
  <c r="C20" i="12"/>
  <c r="B20" i="12"/>
  <c r="A20" i="12"/>
  <c r="W19" i="12"/>
  <c r="AD19" i="12" s="1"/>
  <c r="N19" i="12"/>
  <c r="X19" i="12" s="1"/>
  <c r="AE19" i="12" s="1"/>
  <c r="M19" i="12"/>
  <c r="L19" i="12"/>
  <c r="V19" i="12" s="1"/>
  <c r="AC19" i="12" s="1"/>
  <c r="AN19" i="12" s="1"/>
  <c r="K19" i="12"/>
  <c r="U19" i="12" s="1"/>
  <c r="AB19" i="12" s="1"/>
  <c r="J19" i="12"/>
  <c r="T19" i="12" s="1"/>
  <c r="I19" i="12"/>
  <c r="S19" i="12" s="1"/>
  <c r="Z19" i="12" s="1"/>
  <c r="H19" i="12"/>
  <c r="R19" i="12" s="1"/>
  <c r="G19" i="12"/>
  <c r="F19" i="12"/>
  <c r="D19" i="12"/>
  <c r="P19" i="12" s="1"/>
  <c r="C19" i="12"/>
  <c r="B19" i="12"/>
  <c r="A19" i="12"/>
  <c r="AT18" i="12"/>
  <c r="AS18" i="12"/>
  <c r="AQ18" i="12"/>
  <c r="AP18" i="12"/>
  <c r="AO18" i="12"/>
  <c r="AN18" i="12"/>
  <c r="AF18" i="12"/>
  <c r="AA18" i="12"/>
  <c r="AJ10" i="12" s="1"/>
  <c r="Y18" i="12"/>
  <c r="O18" i="12"/>
  <c r="N18" i="12"/>
  <c r="X18" i="12" s="1"/>
  <c r="AE18" i="12" s="1"/>
  <c r="M18" i="12"/>
  <c r="W18" i="12" s="1"/>
  <c r="AD18" i="12" s="1"/>
  <c r="L18" i="12"/>
  <c r="V18" i="12" s="1"/>
  <c r="AC18" i="12" s="1"/>
  <c r="K18" i="12"/>
  <c r="U18" i="12" s="1"/>
  <c r="AB18" i="12" s="1"/>
  <c r="AM10" i="12" s="1"/>
  <c r="AM25" i="12" s="1"/>
  <c r="J18" i="12"/>
  <c r="T18" i="12" s="1"/>
  <c r="I18" i="12"/>
  <c r="S18" i="12" s="1"/>
  <c r="Z18" i="12" s="1"/>
  <c r="H18" i="12"/>
  <c r="R18" i="12" s="1"/>
  <c r="G18" i="12"/>
  <c r="F18" i="12"/>
  <c r="D18" i="12"/>
  <c r="P18" i="12" s="1"/>
  <c r="C18" i="12"/>
  <c r="B18" i="12"/>
  <c r="A18" i="12"/>
  <c r="P17" i="12"/>
  <c r="N17" i="12"/>
  <c r="X17" i="12" s="1"/>
  <c r="AE17" i="12" s="1"/>
  <c r="M17" i="12"/>
  <c r="W17" i="12" s="1"/>
  <c r="AD17" i="12" s="1"/>
  <c r="L17" i="12"/>
  <c r="V17" i="12" s="1"/>
  <c r="AC17" i="12" s="1"/>
  <c r="K17" i="12"/>
  <c r="U17" i="12" s="1"/>
  <c r="AB17" i="12" s="1"/>
  <c r="J17" i="12"/>
  <c r="T17" i="12" s="1"/>
  <c r="AA17" i="12" s="1"/>
  <c r="I17" i="12"/>
  <c r="S17" i="12" s="1"/>
  <c r="Z17" i="12" s="1"/>
  <c r="H17" i="12"/>
  <c r="R17" i="12" s="1"/>
  <c r="G17" i="12"/>
  <c r="F17" i="12"/>
  <c r="D17" i="12"/>
  <c r="C17" i="12"/>
  <c r="B17" i="12"/>
  <c r="A17" i="12"/>
  <c r="Y16" i="12"/>
  <c r="AF16" i="12" s="1"/>
  <c r="AQ10" i="12" s="1"/>
  <c r="AQ24" i="12" s="1"/>
  <c r="O16" i="12"/>
  <c r="N16" i="12"/>
  <c r="X16" i="12" s="1"/>
  <c r="AE16" i="12" s="1"/>
  <c r="M16" i="12"/>
  <c r="W16" i="12" s="1"/>
  <c r="AD16" i="12" s="1"/>
  <c r="L16" i="12"/>
  <c r="V16" i="12" s="1"/>
  <c r="AC16" i="12" s="1"/>
  <c r="K16" i="12"/>
  <c r="U16" i="12" s="1"/>
  <c r="AB16" i="12" s="1"/>
  <c r="AM13" i="12" s="1"/>
  <c r="AM28" i="12" s="1"/>
  <c r="J16" i="12"/>
  <c r="T16" i="12" s="1"/>
  <c r="AA16" i="12" s="1"/>
  <c r="I16" i="12"/>
  <c r="S16" i="12" s="1"/>
  <c r="Z16" i="12" s="1"/>
  <c r="H16" i="12"/>
  <c r="R16" i="12" s="1"/>
  <c r="G16" i="12"/>
  <c r="F16" i="12"/>
  <c r="D16" i="12"/>
  <c r="P16" i="12" s="1"/>
  <c r="C16" i="12"/>
  <c r="B16" i="12"/>
  <c r="A16" i="12"/>
  <c r="T15" i="12"/>
  <c r="AS6" i="12" s="1"/>
  <c r="S15" i="12"/>
  <c r="Z15" i="12" s="1"/>
  <c r="N15" i="12"/>
  <c r="X15" i="12" s="1"/>
  <c r="AE15" i="12" s="1"/>
  <c r="M15" i="12"/>
  <c r="W15" i="12" s="1"/>
  <c r="AD15" i="12" s="1"/>
  <c r="L15" i="12"/>
  <c r="V15" i="12" s="1"/>
  <c r="AC15" i="12" s="1"/>
  <c r="K15" i="12"/>
  <c r="U15" i="12" s="1"/>
  <c r="AB15" i="12" s="1"/>
  <c r="AM9" i="12" s="1"/>
  <c r="J15" i="12"/>
  <c r="I15" i="12"/>
  <c r="H15" i="12"/>
  <c r="R15" i="12" s="1"/>
  <c r="G15" i="12"/>
  <c r="F15" i="12"/>
  <c r="D15" i="12"/>
  <c r="P15" i="12" s="1"/>
  <c r="C15" i="12"/>
  <c r="B15" i="12"/>
  <c r="A15" i="12"/>
  <c r="V14" i="12"/>
  <c r="AC14" i="12" s="1"/>
  <c r="P14" i="12"/>
  <c r="N14" i="12"/>
  <c r="X14" i="12" s="1"/>
  <c r="AE14" i="12" s="1"/>
  <c r="M14" i="12"/>
  <c r="W14" i="12" s="1"/>
  <c r="AD14" i="12" s="1"/>
  <c r="AP11" i="12" s="1"/>
  <c r="AP25" i="12" s="1"/>
  <c r="L14" i="12"/>
  <c r="K14" i="12"/>
  <c r="U14" i="12" s="1"/>
  <c r="AB14" i="12" s="1"/>
  <c r="J14" i="12"/>
  <c r="T14" i="12" s="1"/>
  <c r="AA14" i="12" s="1"/>
  <c r="AL12" i="12" s="1"/>
  <c r="AL27" i="12" s="1"/>
  <c r="I14" i="12"/>
  <c r="S14" i="12" s="1"/>
  <c r="Z14" i="12" s="1"/>
  <c r="H14" i="12"/>
  <c r="R14" i="12" s="1"/>
  <c r="G14" i="12"/>
  <c r="F14" i="12"/>
  <c r="D14" i="12"/>
  <c r="C14" i="12"/>
  <c r="B14" i="12"/>
  <c r="A14" i="12"/>
  <c r="AI13" i="12"/>
  <c r="AI28" i="12" s="1"/>
  <c r="T13" i="12"/>
  <c r="AA13" i="12" s="1"/>
  <c r="N13" i="12"/>
  <c r="X13" i="12" s="1"/>
  <c r="AE13" i="12" s="1"/>
  <c r="M13" i="12"/>
  <c r="W13" i="12" s="1"/>
  <c r="AD13" i="12" s="1"/>
  <c r="AP9" i="12" s="1"/>
  <c r="AP23" i="12" s="1"/>
  <c r="L13" i="12"/>
  <c r="V13" i="12" s="1"/>
  <c r="AC13" i="12" s="1"/>
  <c r="K13" i="12"/>
  <c r="U13" i="12" s="1"/>
  <c r="AB13" i="12" s="1"/>
  <c r="AM11" i="12" s="1"/>
  <c r="AM26" i="12" s="1"/>
  <c r="J13" i="12"/>
  <c r="I13" i="12"/>
  <c r="S13" i="12" s="1"/>
  <c r="Z13" i="12" s="1"/>
  <c r="H13" i="12"/>
  <c r="R13" i="12" s="1"/>
  <c r="G13" i="12"/>
  <c r="F13" i="12"/>
  <c r="D13" i="12"/>
  <c r="P13" i="12" s="1"/>
  <c r="C13" i="12"/>
  <c r="AI11" i="12" s="1"/>
  <c r="AI26" i="12" s="1"/>
  <c r="B13" i="12"/>
  <c r="A13" i="12"/>
  <c r="AM12" i="12"/>
  <c r="AM27" i="12" s="1"/>
  <c r="AI12" i="12"/>
  <c r="AI27" i="12" s="1"/>
  <c r="R12" i="12"/>
  <c r="O12" i="12"/>
  <c r="Y12" i="12" s="1"/>
  <c r="AF12" i="12" s="1"/>
  <c r="N12" i="12"/>
  <c r="X12" i="12" s="1"/>
  <c r="AE12" i="12" s="1"/>
  <c r="M12" i="12"/>
  <c r="W12" i="12" s="1"/>
  <c r="AD12" i="12" s="1"/>
  <c r="L12" i="12"/>
  <c r="V12" i="12" s="1"/>
  <c r="AC12" i="12" s="1"/>
  <c r="K12" i="12"/>
  <c r="U12" i="12" s="1"/>
  <c r="AB12" i="12" s="1"/>
  <c r="J12" i="12"/>
  <c r="T12" i="12" s="1"/>
  <c r="AA12" i="12" s="1"/>
  <c r="I12" i="12"/>
  <c r="S12" i="12" s="1"/>
  <c r="Z12" i="12" s="1"/>
  <c r="H12" i="12"/>
  <c r="G12" i="12"/>
  <c r="E12" i="12"/>
  <c r="Q12" i="12" s="1"/>
  <c r="D12" i="12"/>
  <c r="P12" i="12" s="1"/>
  <c r="C12" i="12"/>
  <c r="B12" i="12"/>
  <c r="A12" i="12"/>
  <c r="AF11" i="12"/>
  <c r="Y11" i="12"/>
  <c r="O11" i="12"/>
  <c r="N11" i="12"/>
  <c r="X11" i="12" s="1"/>
  <c r="AE11" i="12" s="1"/>
  <c r="M11" i="12"/>
  <c r="W11" i="12" s="1"/>
  <c r="AD11" i="12" s="1"/>
  <c r="AP12" i="12" s="1"/>
  <c r="AP26" i="12" s="1"/>
  <c r="L11" i="12"/>
  <c r="V11" i="12" s="1"/>
  <c r="AC11" i="12" s="1"/>
  <c r="K11" i="12"/>
  <c r="U11" i="12" s="1"/>
  <c r="AB11" i="12" s="1"/>
  <c r="J11" i="12"/>
  <c r="T11" i="12" s="1"/>
  <c r="AA11" i="12" s="1"/>
  <c r="I11" i="12"/>
  <c r="S11" i="12" s="1"/>
  <c r="Z11" i="12" s="1"/>
  <c r="H11" i="12"/>
  <c r="R11" i="12" s="1"/>
  <c r="G11" i="12"/>
  <c r="E11" i="12"/>
  <c r="Q11" i="12" s="1"/>
  <c r="D11" i="12"/>
  <c r="P11" i="12" s="1"/>
  <c r="C11" i="12"/>
  <c r="B11" i="12"/>
  <c r="A11" i="12"/>
  <c r="AL10" i="12"/>
  <c r="AL25" i="12" s="1"/>
  <c r="AI10" i="12"/>
  <c r="AI25" i="12" s="1"/>
  <c r="W10" i="12"/>
  <c r="AD10" i="12" s="1"/>
  <c r="O10" i="12"/>
  <c r="Y10" i="12" s="1"/>
  <c r="AF10" i="12" s="1"/>
  <c r="N10" i="12"/>
  <c r="X10" i="12" s="1"/>
  <c r="AE10" i="12" s="1"/>
  <c r="M10" i="12"/>
  <c r="L10" i="12"/>
  <c r="V10" i="12" s="1"/>
  <c r="AC10" i="12" s="1"/>
  <c r="K10" i="12"/>
  <c r="U10" i="12" s="1"/>
  <c r="AB10" i="12" s="1"/>
  <c r="J10" i="12"/>
  <c r="T10" i="12" s="1"/>
  <c r="AA10" i="12" s="1"/>
  <c r="I10" i="12"/>
  <c r="S10" i="12" s="1"/>
  <c r="Z10" i="12" s="1"/>
  <c r="H10" i="12"/>
  <c r="R10" i="12" s="1"/>
  <c r="G10" i="12"/>
  <c r="F10" i="12"/>
  <c r="D10" i="12"/>
  <c r="P10" i="12" s="1"/>
  <c r="C10" i="12"/>
  <c r="B10" i="12"/>
  <c r="A10" i="12"/>
  <c r="AI9" i="12"/>
  <c r="AI24" i="12" s="1"/>
  <c r="T9" i="12"/>
  <c r="AA9" i="12" s="1"/>
  <c r="O9" i="12"/>
  <c r="Y9" i="12" s="1"/>
  <c r="AF9" i="12" s="1"/>
  <c r="N9" i="12"/>
  <c r="X9" i="12" s="1"/>
  <c r="AE9" i="12" s="1"/>
  <c r="M9" i="12"/>
  <c r="W9" i="12" s="1"/>
  <c r="AD9" i="12" s="1"/>
  <c r="L9" i="12"/>
  <c r="V9" i="12" s="1"/>
  <c r="AC9" i="12" s="1"/>
  <c r="K9" i="12"/>
  <c r="U9" i="12" s="1"/>
  <c r="AB9" i="12" s="1"/>
  <c r="J9" i="12"/>
  <c r="I9" i="12"/>
  <c r="S9" i="12" s="1"/>
  <c r="Z9" i="12" s="1"/>
  <c r="H9" i="12"/>
  <c r="R9" i="12" s="1"/>
  <c r="G9" i="12"/>
  <c r="F9" i="12"/>
  <c r="D9" i="12"/>
  <c r="P9" i="12" s="1"/>
  <c r="C9" i="12"/>
  <c r="B9" i="12"/>
  <c r="A9" i="12"/>
  <c r="AR8" i="12"/>
  <c r="AR22" i="12" s="1"/>
  <c r="AQ8" i="12"/>
  <c r="AQ22" i="12" s="1"/>
  <c r="AP8" i="12"/>
  <c r="AP22" i="12" s="1"/>
  <c r="AN8" i="12"/>
  <c r="U8" i="12"/>
  <c r="AB8" i="12" s="1"/>
  <c r="O8" i="12"/>
  <c r="Y8" i="12" s="1"/>
  <c r="AF8" i="12" s="1"/>
  <c r="AR7" i="12" s="1"/>
  <c r="N8" i="12"/>
  <c r="X8" i="12" s="1"/>
  <c r="AE8" i="12" s="1"/>
  <c r="M8" i="12"/>
  <c r="W8" i="12" s="1"/>
  <c r="L8" i="12"/>
  <c r="V8" i="12" s="1"/>
  <c r="AC8" i="12" s="1"/>
  <c r="K8" i="12"/>
  <c r="J8" i="12"/>
  <c r="T8" i="12" s="1"/>
  <c r="AA8" i="12" s="1"/>
  <c r="I8" i="12"/>
  <c r="S8" i="12" s="1"/>
  <c r="Z8" i="12" s="1"/>
  <c r="H8" i="12"/>
  <c r="R8" i="12" s="1"/>
  <c r="G8" i="12"/>
  <c r="D8" i="12"/>
  <c r="P8" i="12" s="1"/>
  <c r="C8" i="12"/>
  <c r="B8" i="12"/>
  <c r="A8" i="12"/>
  <c r="Y7" i="12"/>
  <c r="AF7" i="12" s="1"/>
  <c r="R7" i="12"/>
  <c r="O7" i="12"/>
  <c r="N7" i="12"/>
  <c r="X7" i="12" s="1"/>
  <c r="AE7" i="12" s="1"/>
  <c r="M7" i="12"/>
  <c r="W7" i="12" s="1"/>
  <c r="AD7" i="12" s="1"/>
  <c r="L7" i="12"/>
  <c r="V7" i="12" s="1"/>
  <c r="AC7" i="12" s="1"/>
  <c r="K7" i="12"/>
  <c r="U7" i="12" s="1"/>
  <c r="AB7" i="12" s="1"/>
  <c r="J7" i="12"/>
  <c r="T7" i="12" s="1"/>
  <c r="AA7" i="12" s="1"/>
  <c r="I7" i="12"/>
  <c r="S7" i="12" s="1"/>
  <c r="Z7" i="12" s="1"/>
  <c r="H7" i="12"/>
  <c r="G7" i="12"/>
  <c r="E7" i="12"/>
  <c r="Q7" i="12" s="1"/>
  <c r="D7" i="12"/>
  <c r="P7" i="12" s="1"/>
  <c r="C7" i="12"/>
  <c r="B7" i="12"/>
  <c r="A7" i="12"/>
  <c r="BA6" i="12"/>
  <c r="AZ6" i="12"/>
  <c r="AA6" i="12"/>
  <c r="T6" i="12"/>
  <c r="S6" i="12"/>
  <c r="Z6" i="12" s="1"/>
  <c r="N6" i="12"/>
  <c r="X6" i="12" s="1"/>
  <c r="AE6" i="12" s="1"/>
  <c r="M6" i="12"/>
  <c r="W6" i="12" s="1"/>
  <c r="AD6" i="12" s="1"/>
  <c r="L6" i="12"/>
  <c r="V6" i="12" s="1"/>
  <c r="AC6" i="12" s="1"/>
  <c r="K6" i="12"/>
  <c r="U6" i="12" s="1"/>
  <c r="AB6" i="12" s="1"/>
  <c r="J6" i="12"/>
  <c r="I6" i="12"/>
  <c r="H6" i="12"/>
  <c r="R6" i="12" s="1"/>
  <c r="G6" i="12"/>
  <c r="D6" i="12"/>
  <c r="P6" i="12" s="1"/>
  <c r="C6" i="12"/>
  <c r="B6" i="12"/>
  <c r="A6" i="12"/>
  <c r="BA5" i="12"/>
  <c r="AZ5" i="12"/>
  <c r="AN5" i="12"/>
  <c r="U5" i="12"/>
  <c r="AB5" i="12" s="1"/>
  <c r="O5" i="12"/>
  <c r="Y5" i="12" s="1"/>
  <c r="AF5" i="12" s="1"/>
  <c r="N5" i="12"/>
  <c r="X5" i="12" s="1"/>
  <c r="AE5" i="12" s="1"/>
  <c r="M5" i="12"/>
  <c r="W5" i="12" s="1"/>
  <c r="AD5" i="12" s="1"/>
  <c r="L5" i="12"/>
  <c r="V5" i="12" s="1"/>
  <c r="AC5" i="12" s="1"/>
  <c r="K5" i="12"/>
  <c r="J5" i="12"/>
  <c r="T5" i="12" s="1"/>
  <c r="AA5" i="12" s="1"/>
  <c r="I5" i="12"/>
  <c r="S5" i="12" s="1"/>
  <c r="Z5" i="12" s="1"/>
  <c r="H5" i="12"/>
  <c r="R5" i="12" s="1"/>
  <c r="G5" i="12"/>
  <c r="F5" i="12"/>
  <c r="D5" i="12"/>
  <c r="P5" i="12" s="1"/>
  <c r="C5" i="12"/>
  <c r="B5" i="12"/>
  <c r="A5" i="12"/>
  <c r="BA4" i="12"/>
  <c r="AZ4" i="12"/>
  <c r="AR4" i="12"/>
  <c r="X4" i="12"/>
  <c r="AE4" i="12" s="1"/>
  <c r="O4" i="12"/>
  <c r="Y4" i="12" s="1"/>
  <c r="AF4" i="12" s="1"/>
  <c r="N4" i="12"/>
  <c r="M4" i="12"/>
  <c r="W4" i="12" s="1"/>
  <c r="AD4" i="12" s="1"/>
  <c r="L4" i="12"/>
  <c r="V4" i="12" s="1"/>
  <c r="AC4" i="12" s="1"/>
  <c r="K4" i="12"/>
  <c r="U4" i="12" s="1"/>
  <c r="AB4" i="12" s="1"/>
  <c r="J4" i="12"/>
  <c r="T4" i="12" s="1"/>
  <c r="AA4" i="12" s="1"/>
  <c r="I4" i="12"/>
  <c r="S4" i="12" s="1"/>
  <c r="Z4" i="12" s="1"/>
  <c r="H4" i="12"/>
  <c r="R4" i="12" s="1"/>
  <c r="G4" i="12"/>
  <c r="D4" i="12"/>
  <c r="P4" i="12" s="1"/>
  <c r="C4" i="12"/>
  <c r="B4" i="12"/>
  <c r="A4" i="12"/>
  <c r="BA3" i="12"/>
  <c r="AZ3" i="12"/>
  <c r="BA2" i="12"/>
  <c r="AZ2" i="12"/>
  <c r="AP2" i="12"/>
  <c r="AN2" i="12"/>
  <c r="C2" i="12"/>
  <c r="C19" i="11"/>
  <c r="A18" i="11"/>
  <c r="A19" i="11" s="1"/>
  <c r="D19" i="11" s="1"/>
  <c r="T13" i="11"/>
  <c r="O13" i="11"/>
  <c r="U13" i="11" s="1"/>
  <c r="N13" i="11"/>
  <c r="R13" i="11" s="1"/>
  <c r="J13" i="11"/>
  <c r="I13" i="11"/>
  <c r="A7" i="11"/>
  <c r="V4" i="11" s="1"/>
  <c r="U4" i="11"/>
  <c r="T4" i="11"/>
  <c r="R4" i="11"/>
  <c r="Q4" i="11"/>
  <c r="J4" i="11"/>
  <c r="I4" i="11"/>
  <c r="V2" i="11"/>
  <c r="R2" i="11"/>
  <c r="T2" i="11" s="1"/>
  <c r="U2" i="11" s="1"/>
  <c r="Q2" i="11"/>
  <c r="J2" i="11"/>
  <c r="I2" i="11"/>
  <c r="G26" i="10"/>
  <c r="H26" i="10" s="1"/>
  <c r="E26" i="10"/>
  <c r="F26" i="10" s="1"/>
  <c r="J26" i="10" s="1"/>
  <c r="D26" i="10"/>
  <c r="C26" i="10"/>
  <c r="B26" i="10"/>
  <c r="A26" i="10"/>
  <c r="D25" i="10"/>
  <c r="E25" i="10" s="1"/>
  <c r="F25" i="10" s="1"/>
  <c r="C25" i="10"/>
  <c r="G25" i="10" s="1"/>
  <c r="B25" i="10"/>
  <c r="A25" i="10"/>
  <c r="D24" i="10"/>
  <c r="E24" i="10" s="1"/>
  <c r="F24" i="10" s="1"/>
  <c r="C24" i="10"/>
  <c r="G24" i="10" s="1"/>
  <c r="H24" i="10" s="1"/>
  <c r="B24" i="10"/>
  <c r="A24" i="10"/>
  <c r="E23" i="10"/>
  <c r="F23" i="10" s="1"/>
  <c r="D23" i="10"/>
  <c r="C23" i="10"/>
  <c r="G23" i="10" s="1"/>
  <c r="B23" i="10"/>
  <c r="A23" i="10"/>
  <c r="G22" i="10"/>
  <c r="D22" i="10"/>
  <c r="E22" i="10" s="1"/>
  <c r="F22" i="10" s="1"/>
  <c r="C22" i="10"/>
  <c r="B22" i="10"/>
  <c r="A22" i="10"/>
  <c r="D21" i="10"/>
  <c r="E21" i="10" s="1"/>
  <c r="F21" i="10" s="1"/>
  <c r="C21" i="10"/>
  <c r="G21" i="10" s="1"/>
  <c r="I21" i="10" s="1"/>
  <c r="B21" i="10"/>
  <c r="A21" i="10"/>
  <c r="E20" i="10"/>
  <c r="D20" i="10"/>
  <c r="C20" i="10"/>
  <c r="G20" i="10" s="1"/>
  <c r="B20" i="10"/>
  <c r="A20" i="10"/>
  <c r="G19" i="10"/>
  <c r="D19" i="10"/>
  <c r="E19" i="10" s="1"/>
  <c r="C19" i="10"/>
  <c r="B19" i="10"/>
  <c r="A19" i="10"/>
  <c r="O13" i="10" s="1"/>
  <c r="V13" i="10" s="1"/>
  <c r="G18" i="10"/>
  <c r="H18" i="10" s="1"/>
  <c r="D18" i="10"/>
  <c r="E18" i="10" s="1"/>
  <c r="F18" i="10" s="1"/>
  <c r="C18" i="10"/>
  <c r="B18" i="10"/>
  <c r="A18" i="10"/>
  <c r="D17" i="10"/>
  <c r="E17" i="10" s="1"/>
  <c r="F17" i="10" s="1"/>
  <c r="C17" i="10"/>
  <c r="G17" i="10" s="1"/>
  <c r="B17" i="10"/>
  <c r="A17" i="10"/>
  <c r="D16" i="10"/>
  <c r="E16" i="10" s="1"/>
  <c r="F16" i="10" s="1"/>
  <c r="C16" i="10"/>
  <c r="G16" i="10" s="1"/>
  <c r="H16" i="10" s="1"/>
  <c r="B16" i="10"/>
  <c r="A16" i="10"/>
  <c r="D15" i="10"/>
  <c r="E15" i="10" s="1"/>
  <c r="C15" i="10"/>
  <c r="G15" i="10" s="1"/>
  <c r="B15" i="10"/>
  <c r="A15" i="10"/>
  <c r="D14" i="10"/>
  <c r="E14" i="10" s="1"/>
  <c r="C14" i="10"/>
  <c r="G14" i="10" s="1"/>
  <c r="H14" i="10" s="1"/>
  <c r="B14" i="10"/>
  <c r="A14" i="10"/>
  <c r="O5" i="10" s="1"/>
  <c r="V5" i="10" s="1"/>
  <c r="G13" i="10"/>
  <c r="H13" i="10" s="1"/>
  <c r="S10" i="10" s="1"/>
  <c r="Z10" i="10" s="1"/>
  <c r="D13" i="10"/>
  <c r="E13" i="10" s="1"/>
  <c r="C13" i="10"/>
  <c r="B13" i="10"/>
  <c r="A13" i="10"/>
  <c r="O10" i="10" s="1"/>
  <c r="V10" i="10" s="1"/>
  <c r="R12" i="10"/>
  <c r="Y12" i="10" s="1"/>
  <c r="O12" i="10"/>
  <c r="V12" i="10" s="1"/>
  <c r="E12" i="10"/>
  <c r="P8" i="10" s="1"/>
  <c r="W8" i="10" s="1"/>
  <c r="D12" i="10"/>
  <c r="C12" i="10"/>
  <c r="G12" i="10" s="1"/>
  <c r="B12" i="10"/>
  <c r="A12" i="10"/>
  <c r="O8" i="10" s="1"/>
  <c r="V8" i="10" s="1"/>
  <c r="I11" i="10"/>
  <c r="G11" i="10"/>
  <c r="H11" i="10" s="1"/>
  <c r="J11" i="10" s="1"/>
  <c r="E11" i="10"/>
  <c r="F11" i="10" s="1"/>
  <c r="D11" i="10"/>
  <c r="C11" i="10"/>
  <c r="B11" i="10"/>
  <c r="A11" i="10"/>
  <c r="D10" i="10"/>
  <c r="E10" i="10" s="1"/>
  <c r="C10" i="10"/>
  <c r="G10" i="10" s="1"/>
  <c r="H10" i="10" s="1"/>
  <c r="S11" i="10" s="1"/>
  <c r="Z11" i="10" s="1"/>
  <c r="B10" i="10"/>
  <c r="A10" i="10"/>
  <c r="O11" i="10" s="1"/>
  <c r="V11" i="10" s="1"/>
  <c r="O9" i="10"/>
  <c r="V9" i="10" s="1"/>
  <c r="D9" i="10"/>
  <c r="E9" i="10" s="1"/>
  <c r="F9" i="10" s="1"/>
  <c r="C9" i="10"/>
  <c r="G9" i="10" s="1"/>
  <c r="B9" i="10"/>
  <c r="A9" i="10"/>
  <c r="R8" i="10"/>
  <c r="Y8" i="10" s="1"/>
  <c r="D8" i="10"/>
  <c r="E8" i="10" s="1"/>
  <c r="F8" i="10" s="1"/>
  <c r="C8" i="10"/>
  <c r="G8" i="10" s="1"/>
  <c r="B8" i="10"/>
  <c r="A8" i="10"/>
  <c r="G7" i="10"/>
  <c r="H7" i="10" s="1"/>
  <c r="S4" i="10" s="1"/>
  <c r="Z4" i="10" s="1"/>
  <c r="E7" i="10"/>
  <c r="P4" i="10" s="1"/>
  <c r="W4" i="10" s="1"/>
  <c r="D7" i="10"/>
  <c r="C7" i="10"/>
  <c r="B7" i="10"/>
  <c r="A7" i="10"/>
  <c r="O4" i="10" s="1"/>
  <c r="V4" i="10" s="1"/>
  <c r="D6" i="10"/>
  <c r="E6" i="10" s="1"/>
  <c r="P7" i="10" s="1"/>
  <c r="W7" i="10" s="1"/>
  <c r="C6" i="10"/>
  <c r="G6" i="10" s="1"/>
  <c r="H6" i="10" s="1"/>
  <c r="S7" i="10" s="1"/>
  <c r="Z7" i="10" s="1"/>
  <c r="B6" i="10"/>
  <c r="A6" i="10"/>
  <c r="O7" i="10" s="1"/>
  <c r="V7" i="10" s="1"/>
  <c r="S5" i="10"/>
  <c r="Z5" i="10" s="1"/>
  <c r="R5" i="10"/>
  <c r="Y5" i="10" s="1"/>
  <c r="G5" i="10"/>
  <c r="E5" i="10"/>
  <c r="P6" i="10" s="1"/>
  <c r="W6" i="10" s="1"/>
  <c r="D5" i="10"/>
  <c r="C5" i="10"/>
  <c r="B5" i="10"/>
  <c r="A5" i="10"/>
  <c r="O6" i="10" s="1"/>
  <c r="V6" i="10" s="1"/>
  <c r="R4" i="10"/>
  <c r="Y4" i="10" s="1"/>
  <c r="D4" i="10"/>
  <c r="E4" i="10" s="1"/>
  <c r="F4" i="10" s="1"/>
  <c r="C4" i="10"/>
  <c r="G4" i="10" s="1"/>
  <c r="B4" i="10"/>
  <c r="A4" i="10"/>
  <c r="D3" i="10"/>
  <c r="E3" i="10" s="1"/>
  <c r="C3" i="10"/>
  <c r="G3" i="10" s="1"/>
  <c r="B3" i="10"/>
  <c r="A3" i="10"/>
  <c r="O3" i="10" s="1"/>
  <c r="V3" i="10" s="1"/>
  <c r="H28" i="9"/>
  <c r="B28" i="9"/>
  <c r="T25" i="9"/>
  <c r="S25" i="9"/>
  <c r="R25" i="9"/>
  <c r="Q25" i="9"/>
  <c r="P25" i="9"/>
  <c r="O25" i="9"/>
  <c r="N25" i="9"/>
  <c r="M25" i="9"/>
  <c r="C25" i="9"/>
  <c r="B25" i="9"/>
  <c r="A25" i="9"/>
  <c r="T24" i="9"/>
  <c r="S24" i="9"/>
  <c r="R24" i="9"/>
  <c r="Q24" i="9"/>
  <c r="P24" i="9"/>
  <c r="O24" i="9"/>
  <c r="N24" i="9"/>
  <c r="M24" i="9"/>
  <c r="C24" i="9"/>
  <c r="B24" i="9"/>
  <c r="A24" i="9"/>
  <c r="T23" i="9"/>
  <c r="S23" i="9"/>
  <c r="R23" i="9"/>
  <c r="Q23" i="9"/>
  <c r="P23" i="9"/>
  <c r="O23" i="9"/>
  <c r="N23" i="9"/>
  <c r="M23" i="9"/>
  <c r="C23" i="9"/>
  <c r="B23" i="9"/>
  <c r="A23" i="9"/>
  <c r="P22" i="9"/>
  <c r="O22" i="9"/>
  <c r="M22" i="9"/>
  <c r="A22" i="9"/>
  <c r="P21" i="9"/>
  <c r="O21" i="9"/>
  <c r="M21" i="9"/>
  <c r="A21" i="9"/>
  <c r="O20" i="9"/>
  <c r="Y9" i="9" s="1"/>
  <c r="M20" i="9"/>
  <c r="A20" i="9"/>
  <c r="P19" i="9"/>
  <c r="O19" i="9"/>
  <c r="M19" i="9"/>
  <c r="W10" i="9" s="1"/>
  <c r="A19" i="9"/>
  <c r="O18" i="9"/>
  <c r="Y8" i="9" s="1"/>
  <c r="M18" i="9"/>
  <c r="W8" i="9" s="1"/>
  <c r="A18" i="9"/>
  <c r="P17" i="9"/>
  <c r="O17" i="9"/>
  <c r="M17" i="9"/>
  <c r="W6" i="9" s="1"/>
  <c r="A17" i="9"/>
  <c r="O16" i="9"/>
  <c r="M16" i="9"/>
  <c r="A16" i="9"/>
  <c r="O15" i="9"/>
  <c r="Y11" i="9" s="1"/>
  <c r="M15" i="9"/>
  <c r="A15" i="9"/>
  <c r="O14" i="9"/>
  <c r="Y7" i="9" s="1"/>
  <c r="M14" i="9"/>
  <c r="A14" i="9"/>
  <c r="O13" i="9"/>
  <c r="M13" i="9"/>
  <c r="A13" i="9"/>
  <c r="O12" i="9"/>
  <c r="Y3" i="9" s="1"/>
  <c r="M12" i="9"/>
  <c r="A12" i="9"/>
  <c r="W11" i="9"/>
  <c r="P11" i="9"/>
  <c r="Z5" i="9" s="1"/>
  <c r="O11" i="9"/>
  <c r="M11" i="9"/>
  <c r="W5" i="9" s="1"/>
  <c r="A11" i="9"/>
  <c r="Z10" i="9"/>
  <c r="Y10" i="9"/>
  <c r="O10" i="9"/>
  <c r="M10" i="9"/>
  <c r="A10" i="9"/>
  <c r="W9" i="9"/>
  <c r="O9" i="9"/>
  <c r="M9" i="9"/>
  <c r="A9" i="9"/>
  <c r="A32" i="9" s="1"/>
  <c r="G32" i="9" s="1"/>
  <c r="O8" i="9"/>
  <c r="M8" i="9"/>
  <c r="A8" i="9"/>
  <c r="A31" i="9" s="1"/>
  <c r="G31" i="9" s="1"/>
  <c r="W7" i="9"/>
  <c r="P7" i="9"/>
  <c r="O7" i="9"/>
  <c r="M7" i="9"/>
  <c r="A7" i="9"/>
  <c r="A29" i="9" s="1"/>
  <c r="G29" i="9" s="1"/>
  <c r="Z6" i="9"/>
  <c r="Y6" i="9"/>
  <c r="P6" i="9"/>
  <c r="O6" i="9"/>
  <c r="M6" i="9"/>
  <c r="A6" i="9"/>
  <c r="Y5" i="9"/>
  <c r="P5" i="9"/>
  <c r="O5" i="9"/>
  <c r="M5" i="9"/>
  <c r="A5" i="9"/>
  <c r="A33" i="9" s="1"/>
  <c r="Y4" i="9"/>
  <c r="W4" i="9"/>
  <c r="P4" i="9"/>
  <c r="O4" i="9"/>
  <c r="M4" i="9"/>
  <c r="A4" i="9"/>
  <c r="A30" i="9" s="1"/>
  <c r="G30" i="9" s="1"/>
  <c r="W3" i="9"/>
  <c r="P3" i="9"/>
  <c r="O3" i="9"/>
  <c r="M3" i="9"/>
  <c r="A3" i="9"/>
  <c r="Y2" i="9"/>
  <c r="W2" i="9"/>
  <c r="P2" i="9"/>
  <c r="O2" i="9"/>
  <c r="M2" i="9"/>
  <c r="A2" i="9"/>
  <c r="T1" i="9"/>
  <c r="S1" i="9"/>
  <c r="R1" i="9"/>
  <c r="Q1" i="9"/>
  <c r="P1" i="9"/>
  <c r="O1" i="9"/>
  <c r="M1" i="9"/>
  <c r="O57" i="7"/>
  <c r="Q23" i="7"/>
  <c r="P23" i="7"/>
  <c r="M57" i="7" s="1"/>
  <c r="O23" i="7"/>
  <c r="L57" i="7" s="1"/>
  <c r="N23" i="7"/>
  <c r="K57" i="7" s="1"/>
  <c r="M23" i="7"/>
  <c r="J57" i="7" s="1"/>
  <c r="L23" i="7"/>
  <c r="I57" i="7" s="1"/>
  <c r="K23" i="7"/>
  <c r="J23" i="7"/>
  <c r="I23" i="7"/>
  <c r="F23" i="7"/>
  <c r="H23" i="7" s="1"/>
  <c r="E23" i="7"/>
  <c r="E57" i="7" s="1"/>
  <c r="S57" i="7" s="1"/>
  <c r="D23" i="7"/>
  <c r="D57" i="7" s="1"/>
  <c r="B23" i="7"/>
  <c r="B57" i="7" s="1"/>
  <c r="A23" i="7"/>
  <c r="A57" i="7" s="1"/>
  <c r="BR22" i="7"/>
  <c r="BP22" i="7"/>
  <c r="Q22" i="7"/>
  <c r="N56" i="7" s="1"/>
  <c r="P22" i="7"/>
  <c r="M56" i="7" s="1"/>
  <c r="O22" i="7"/>
  <c r="L56" i="7" s="1"/>
  <c r="N22" i="7"/>
  <c r="M22" i="7"/>
  <c r="J56" i="7" s="1"/>
  <c r="L22" i="7"/>
  <c r="K22" i="7"/>
  <c r="J22" i="7"/>
  <c r="I22" i="7"/>
  <c r="F56" i="7" s="1"/>
  <c r="F22" i="7"/>
  <c r="E22" i="7"/>
  <c r="E56" i="7" s="1"/>
  <c r="S56" i="7" s="1"/>
  <c r="D22" i="7"/>
  <c r="B22" i="7"/>
  <c r="B56" i="7" s="1"/>
  <c r="A22" i="7"/>
  <c r="A56" i="7" s="1"/>
  <c r="P21" i="7"/>
  <c r="M55" i="7" s="1"/>
  <c r="O21" i="7"/>
  <c r="N21" i="7"/>
  <c r="K55" i="7" s="1"/>
  <c r="M21" i="7"/>
  <c r="L21" i="7"/>
  <c r="K21" i="7"/>
  <c r="J21" i="7"/>
  <c r="G55" i="7" s="1"/>
  <c r="H21" i="7"/>
  <c r="G21" i="7"/>
  <c r="F21" i="7"/>
  <c r="E21" i="7"/>
  <c r="D21" i="7"/>
  <c r="D55" i="7" s="1"/>
  <c r="B21" i="7"/>
  <c r="B55" i="7" s="1"/>
  <c r="A21" i="7"/>
  <c r="A55" i="7" s="1"/>
  <c r="T20" i="7"/>
  <c r="Q20" i="7"/>
  <c r="N54" i="7" s="1"/>
  <c r="P20" i="7"/>
  <c r="M54" i="7" s="1"/>
  <c r="O20" i="7"/>
  <c r="L54" i="7" s="1"/>
  <c r="N20" i="7"/>
  <c r="M20" i="7"/>
  <c r="L20" i="7"/>
  <c r="U20" i="7" s="1"/>
  <c r="K20" i="7"/>
  <c r="H54" i="7" s="1"/>
  <c r="J20" i="7"/>
  <c r="G54" i="7" s="1"/>
  <c r="H20" i="7"/>
  <c r="F20" i="7"/>
  <c r="E20" i="7"/>
  <c r="E54" i="7" s="1"/>
  <c r="D20" i="7"/>
  <c r="B20" i="7"/>
  <c r="B54" i="7" s="1"/>
  <c r="A20" i="7"/>
  <c r="A54" i="7" s="1"/>
  <c r="R19" i="7"/>
  <c r="P19" i="7"/>
  <c r="O19" i="7"/>
  <c r="N19" i="7"/>
  <c r="M19" i="7"/>
  <c r="L19" i="7"/>
  <c r="K19" i="7"/>
  <c r="J19" i="7"/>
  <c r="F19" i="7"/>
  <c r="E19" i="7"/>
  <c r="E53" i="7" s="1"/>
  <c r="D19" i="7"/>
  <c r="B19" i="7"/>
  <c r="B53" i="7" s="1"/>
  <c r="A19" i="7"/>
  <c r="Q18" i="7"/>
  <c r="P18" i="7"/>
  <c r="O18" i="7"/>
  <c r="N18" i="7"/>
  <c r="H12" i="14" s="1"/>
  <c r="M18" i="7"/>
  <c r="L18" i="7"/>
  <c r="K18" i="7"/>
  <c r="J18" i="7"/>
  <c r="G52" i="7" s="1"/>
  <c r="G18" i="7"/>
  <c r="F18" i="7"/>
  <c r="H18" i="7" s="1"/>
  <c r="E18" i="7"/>
  <c r="E52" i="7" s="1"/>
  <c r="D18" i="7"/>
  <c r="B18" i="7"/>
  <c r="B52" i="7" s="1"/>
  <c r="A18" i="7"/>
  <c r="P17" i="7"/>
  <c r="O17" i="7"/>
  <c r="R17" i="7" s="1"/>
  <c r="N17" i="7"/>
  <c r="M17" i="7"/>
  <c r="L17" i="7"/>
  <c r="I51" i="7" s="1"/>
  <c r="K17" i="7"/>
  <c r="J17" i="7"/>
  <c r="G51" i="7" s="1"/>
  <c r="F17" i="7"/>
  <c r="H17" i="7" s="1"/>
  <c r="E17" i="7"/>
  <c r="E51" i="7" s="1"/>
  <c r="D17" i="7"/>
  <c r="D51" i="7" s="1"/>
  <c r="B17" i="7"/>
  <c r="B51" i="7" s="1"/>
  <c r="A17" i="7"/>
  <c r="A51" i="7" s="1"/>
  <c r="P16" i="7"/>
  <c r="O16" i="7"/>
  <c r="L50" i="7" s="1"/>
  <c r="N16" i="7"/>
  <c r="K50" i="7" s="1"/>
  <c r="M16" i="7"/>
  <c r="L16" i="7"/>
  <c r="K16" i="7"/>
  <c r="H50" i="7" s="1"/>
  <c r="J16" i="7"/>
  <c r="G50" i="7" s="1"/>
  <c r="F16" i="7"/>
  <c r="H16" i="7" s="1"/>
  <c r="E16" i="7"/>
  <c r="E50" i="7" s="1"/>
  <c r="D16" i="7"/>
  <c r="D50" i="7" s="1"/>
  <c r="B16" i="7"/>
  <c r="B50" i="7" s="1"/>
  <c r="A16" i="7"/>
  <c r="A50" i="7" s="1"/>
  <c r="P15" i="7"/>
  <c r="O15" i="7"/>
  <c r="N15" i="7"/>
  <c r="M15" i="7"/>
  <c r="L15" i="7"/>
  <c r="R15" i="7" s="1"/>
  <c r="K15" i="7"/>
  <c r="J15" i="7"/>
  <c r="G49" i="7" s="1"/>
  <c r="H15" i="7"/>
  <c r="F15" i="7"/>
  <c r="E15" i="7"/>
  <c r="D15" i="7"/>
  <c r="B15" i="7"/>
  <c r="B49" i="7" s="1"/>
  <c r="A15" i="7"/>
  <c r="R14" i="7"/>
  <c r="P14" i="7"/>
  <c r="O14" i="7"/>
  <c r="N14" i="7"/>
  <c r="M14" i="7"/>
  <c r="L14" i="7"/>
  <c r="K14" i="7"/>
  <c r="J14" i="7"/>
  <c r="F14" i="7"/>
  <c r="E14" i="7"/>
  <c r="E48" i="7" s="1"/>
  <c r="D14" i="7"/>
  <c r="D48" i="7" s="1"/>
  <c r="B14" i="7"/>
  <c r="B48" i="7" s="1"/>
  <c r="A14" i="7"/>
  <c r="P13" i="7"/>
  <c r="O13" i="7"/>
  <c r="N13" i="7"/>
  <c r="M13" i="7"/>
  <c r="L13" i="7"/>
  <c r="K13" i="7"/>
  <c r="J13" i="7"/>
  <c r="G47" i="7" s="1"/>
  <c r="F13" i="7"/>
  <c r="H13" i="7" s="1"/>
  <c r="E13" i="7"/>
  <c r="E47" i="7" s="1"/>
  <c r="D13" i="7"/>
  <c r="B13" i="7"/>
  <c r="B47" i="7" s="1"/>
  <c r="A13" i="7"/>
  <c r="Q12" i="7"/>
  <c r="N46" i="7" s="1"/>
  <c r="P12" i="7"/>
  <c r="O12" i="7"/>
  <c r="N12" i="7"/>
  <c r="M12" i="7"/>
  <c r="L12" i="7"/>
  <c r="K12" i="7"/>
  <c r="H46" i="7" s="1"/>
  <c r="J12" i="7"/>
  <c r="G46" i="7" s="1"/>
  <c r="H12" i="7"/>
  <c r="G12" i="7"/>
  <c r="F12" i="7"/>
  <c r="E12" i="7"/>
  <c r="E46" i="7" s="1"/>
  <c r="D12" i="7"/>
  <c r="B12" i="7"/>
  <c r="B46" i="7" s="1"/>
  <c r="A12" i="7"/>
  <c r="P11" i="7"/>
  <c r="O11" i="7"/>
  <c r="N11" i="7"/>
  <c r="M11" i="7"/>
  <c r="L11" i="7"/>
  <c r="K11" i="7"/>
  <c r="J11" i="7"/>
  <c r="G45" i="7" s="1"/>
  <c r="H11" i="7"/>
  <c r="F11" i="7"/>
  <c r="G11" i="7" s="1"/>
  <c r="E11" i="7"/>
  <c r="E45" i="7" s="1"/>
  <c r="D11" i="7"/>
  <c r="C11" i="15" s="1"/>
  <c r="B11" i="7"/>
  <c r="B45" i="7" s="1"/>
  <c r="A11" i="7"/>
  <c r="P10" i="7"/>
  <c r="O10" i="7"/>
  <c r="R10" i="7" s="1"/>
  <c r="N10" i="7"/>
  <c r="M10" i="7"/>
  <c r="L10" i="7"/>
  <c r="I44" i="7" s="1"/>
  <c r="K10" i="7"/>
  <c r="H44" i="7" s="1"/>
  <c r="J10" i="7"/>
  <c r="F10" i="7"/>
  <c r="H10" i="7" s="1"/>
  <c r="E10" i="7"/>
  <c r="E44" i="7" s="1"/>
  <c r="D10" i="7"/>
  <c r="B10" i="7"/>
  <c r="B44" i="7" s="1"/>
  <c r="A10" i="7"/>
  <c r="P9" i="7"/>
  <c r="O9" i="7"/>
  <c r="N9" i="7"/>
  <c r="M9" i="7"/>
  <c r="L9" i="7"/>
  <c r="K9" i="7"/>
  <c r="H43" i="7" s="1"/>
  <c r="J9" i="7"/>
  <c r="G43" i="7" s="1"/>
  <c r="F9" i="7"/>
  <c r="E9" i="7"/>
  <c r="E43" i="7" s="1"/>
  <c r="D9" i="7"/>
  <c r="B9" i="7"/>
  <c r="B43" i="7" s="1"/>
  <c r="A9" i="7"/>
  <c r="U8" i="7"/>
  <c r="Q8" i="7"/>
  <c r="N42" i="7" s="1"/>
  <c r="P8" i="7"/>
  <c r="M42" i="7" s="1"/>
  <c r="O8" i="7"/>
  <c r="AU8" i="7" s="1"/>
  <c r="AW8" i="7" s="1"/>
  <c r="N8" i="7"/>
  <c r="BR8" i="7" s="1"/>
  <c r="M8" i="7"/>
  <c r="L8" i="7"/>
  <c r="I42" i="7" s="1"/>
  <c r="K8" i="7"/>
  <c r="H42" i="7" s="1"/>
  <c r="J8" i="7"/>
  <c r="G42" i="7" s="1"/>
  <c r="AN42" i="7" s="1"/>
  <c r="I8" i="7"/>
  <c r="F42" i="7" s="1"/>
  <c r="F8" i="7"/>
  <c r="H8" i="7" s="1"/>
  <c r="E8" i="7"/>
  <c r="D8" i="7"/>
  <c r="D42" i="7" s="1"/>
  <c r="B8" i="7"/>
  <c r="B42" i="7" s="1"/>
  <c r="A8" i="7"/>
  <c r="A42" i="7" s="1"/>
  <c r="BG7" i="7"/>
  <c r="AT7" i="7"/>
  <c r="Q7" i="7"/>
  <c r="P7" i="7"/>
  <c r="O7" i="7"/>
  <c r="N7" i="7"/>
  <c r="M7" i="7"/>
  <c r="L7" i="7"/>
  <c r="BF7" i="7" s="1"/>
  <c r="K7" i="7"/>
  <c r="D4" i="15" s="1"/>
  <c r="J7" i="7"/>
  <c r="G41" i="7" s="1"/>
  <c r="I7" i="7"/>
  <c r="F41" i="7" s="1"/>
  <c r="F7" i="7"/>
  <c r="E7" i="7"/>
  <c r="E41" i="7" s="1"/>
  <c r="S41" i="7" s="1"/>
  <c r="D7" i="7"/>
  <c r="B7" i="7"/>
  <c r="B41" i="7" s="1"/>
  <c r="A7" i="7"/>
  <c r="W6" i="7"/>
  <c r="V6" i="7"/>
  <c r="Q6" i="7"/>
  <c r="P6" i="7"/>
  <c r="O6" i="7"/>
  <c r="AU6" i="7" s="1"/>
  <c r="AW6" i="7" s="1"/>
  <c r="N6" i="7"/>
  <c r="M6" i="7"/>
  <c r="L6" i="7"/>
  <c r="BK6" i="7" s="1"/>
  <c r="K6" i="7"/>
  <c r="J6" i="7"/>
  <c r="G40" i="7" s="1"/>
  <c r="I6" i="7"/>
  <c r="H6" i="7"/>
  <c r="G6" i="7"/>
  <c r="F6" i="7"/>
  <c r="E6" i="7"/>
  <c r="E40" i="7" s="1"/>
  <c r="S40" i="7" s="1"/>
  <c r="D6" i="7"/>
  <c r="B6" i="7"/>
  <c r="B40" i="7" s="1"/>
  <c r="A6" i="7"/>
  <c r="BT5" i="7"/>
  <c r="AX5" i="7"/>
  <c r="AZ5" i="7" s="1"/>
  <c r="Q5" i="7"/>
  <c r="P5" i="7"/>
  <c r="O5" i="7"/>
  <c r="N5" i="7"/>
  <c r="M5" i="7"/>
  <c r="BG5" i="7" s="1"/>
  <c r="L5" i="7"/>
  <c r="AF5" i="7" s="1"/>
  <c r="K5" i="7"/>
  <c r="Y5" i="7" s="1"/>
  <c r="J5" i="7"/>
  <c r="G39" i="7" s="1"/>
  <c r="I5" i="7"/>
  <c r="F5" i="7"/>
  <c r="W5" i="7" s="1"/>
  <c r="E5" i="7"/>
  <c r="E39" i="7" s="1"/>
  <c r="S39" i="7" s="1"/>
  <c r="D5" i="7"/>
  <c r="B5" i="7"/>
  <c r="B39" i="7" s="1"/>
  <c r="A5" i="7"/>
  <c r="Q4" i="7"/>
  <c r="P4" i="7"/>
  <c r="O4" i="7"/>
  <c r="R4" i="7" s="1"/>
  <c r="N4" i="7"/>
  <c r="K38" i="7" s="1"/>
  <c r="M4" i="7"/>
  <c r="J38" i="7" s="1"/>
  <c r="L4" i="7"/>
  <c r="I38" i="7" s="1"/>
  <c r="K4" i="7"/>
  <c r="J4" i="7"/>
  <c r="G38" i="7" s="1"/>
  <c r="H4" i="7"/>
  <c r="F4" i="7"/>
  <c r="E4" i="7"/>
  <c r="E38" i="7" s="1"/>
  <c r="D4" i="7"/>
  <c r="D38" i="7" s="1"/>
  <c r="B4" i="7"/>
  <c r="B38" i="7" s="1"/>
  <c r="A4" i="7"/>
  <c r="A38" i="7" s="1"/>
  <c r="Q3" i="7"/>
  <c r="P3" i="7"/>
  <c r="T3" i="7" s="1"/>
  <c r="O3" i="7"/>
  <c r="N3" i="7"/>
  <c r="M3" i="7"/>
  <c r="L3" i="7"/>
  <c r="K3" i="7"/>
  <c r="J3" i="7"/>
  <c r="G37" i="7" s="1"/>
  <c r="H3" i="7"/>
  <c r="G3" i="7"/>
  <c r="F3" i="7"/>
  <c r="E3" i="7"/>
  <c r="E37" i="7" s="1"/>
  <c r="D3" i="7"/>
  <c r="B3" i="7"/>
  <c r="B37" i="7" s="1"/>
  <c r="A3" i="7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A31" i="6"/>
  <c r="A30" i="6"/>
  <c r="A29" i="6"/>
  <c r="A28" i="6"/>
  <c r="O27" i="6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D27" i="6" s="1"/>
  <c r="N27" i="6"/>
  <c r="D27" i="6"/>
  <c r="A27" i="6"/>
  <c r="D26" i="6"/>
  <c r="A26" i="6"/>
  <c r="O24" i="6"/>
  <c r="P24" i="6" s="1"/>
  <c r="L24" i="6"/>
  <c r="A32" i="6" s="1"/>
  <c r="A24" i="6"/>
  <c r="P23" i="6"/>
  <c r="O23" i="6"/>
  <c r="H23" i="6"/>
  <c r="S22" i="6"/>
  <c r="M22" i="6" s="1"/>
  <c r="H31" i="6" s="1"/>
  <c r="O21" i="6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AB21" i="6" s="1"/>
  <c r="AC21" i="6" s="1"/>
  <c r="AD21" i="6" s="1"/>
  <c r="AA20" i="6"/>
  <c r="Y20" i="6"/>
  <c r="T20" i="6"/>
  <c r="U20" i="6" s="1"/>
  <c r="V20" i="6" s="1"/>
  <c r="W20" i="6" s="1"/>
  <c r="X20" i="6" s="1"/>
  <c r="S20" i="6"/>
  <c r="R20" i="6"/>
  <c r="Q20" i="6"/>
  <c r="O20" i="6"/>
  <c r="M20" i="6" s="1"/>
  <c r="N20" i="6"/>
  <c r="N25" i="6" s="1"/>
  <c r="O19" i="6"/>
  <c r="P19" i="6" s="1"/>
  <c r="Q19" i="6" s="1"/>
  <c r="L19" i="6"/>
  <c r="E19" i="6"/>
  <c r="O18" i="6"/>
  <c r="L18" i="6"/>
  <c r="E18" i="6"/>
  <c r="M17" i="6"/>
  <c r="E17" i="6"/>
  <c r="P16" i="6"/>
  <c r="O16" i="6"/>
  <c r="L16" i="6"/>
  <c r="A25" i="6" s="1"/>
  <c r="AA15" i="6"/>
  <c r="Z15" i="6"/>
  <c r="T15" i="6"/>
  <c r="L15" i="6"/>
  <c r="H15" i="6"/>
  <c r="E15" i="6"/>
  <c r="AD14" i="6"/>
  <c r="H14" i="6"/>
  <c r="AD13" i="6"/>
  <c r="O13" i="6"/>
  <c r="P13" i="6" s="1"/>
  <c r="H13" i="6"/>
  <c r="D13" i="6"/>
  <c r="A13" i="6"/>
  <c r="M12" i="6"/>
  <c r="D12" i="6"/>
  <c r="A12" i="6"/>
  <c r="Y11" i="6"/>
  <c r="V11" i="6"/>
  <c r="W11" i="6" s="1"/>
  <c r="X11" i="6" s="1"/>
  <c r="S11" i="6"/>
  <c r="T11" i="6" s="1"/>
  <c r="U11" i="6" s="1"/>
  <c r="R11" i="6"/>
  <c r="P11" i="6"/>
  <c r="A11" i="6"/>
  <c r="V10" i="6"/>
  <c r="O10" i="6"/>
  <c r="M10" i="6" s="1"/>
  <c r="E34" i="6" s="1"/>
  <c r="A10" i="6"/>
  <c r="V9" i="6"/>
  <c r="M9" i="6" s="1"/>
  <c r="N9" i="6"/>
  <c r="A9" i="6"/>
  <c r="Z8" i="6"/>
  <c r="N8" i="6"/>
  <c r="A8" i="6"/>
  <c r="T7" i="6"/>
  <c r="H7" i="6"/>
  <c r="E7" i="6"/>
  <c r="A7" i="6"/>
  <c r="V6" i="6"/>
  <c r="T6" i="6"/>
  <c r="R6" i="6"/>
  <c r="Q6" i="6"/>
  <c r="O6" i="6"/>
  <c r="M6" i="6"/>
  <c r="A6" i="6"/>
  <c r="N5" i="6"/>
  <c r="M5" i="6"/>
  <c r="H5" i="6"/>
  <c r="N4" i="6"/>
  <c r="O4" i="6" s="1"/>
  <c r="P4" i="6" s="1"/>
  <c r="Q4" i="6" s="1"/>
  <c r="M4" i="6"/>
  <c r="Y3" i="6"/>
  <c r="X3" i="6"/>
  <c r="W3" i="6" s="1"/>
  <c r="V3" i="6"/>
  <c r="U3" i="6" s="1"/>
  <c r="T3" i="6"/>
  <c r="P3" i="6"/>
  <c r="Q3" i="6" s="1"/>
  <c r="R3" i="6" s="1"/>
  <c r="S3" i="6" s="1"/>
  <c r="N3" i="6"/>
  <c r="AA1" i="6"/>
  <c r="AB1" i="6" s="1"/>
  <c r="AC1" i="6" s="1"/>
  <c r="AD1" i="6" s="1"/>
  <c r="R1" i="6"/>
  <c r="S1" i="6" s="1"/>
  <c r="T1" i="6" s="1"/>
  <c r="U1" i="6" s="1"/>
  <c r="V1" i="6" s="1"/>
  <c r="W1" i="6" s="1"/>
  <c r="X1" i="6" s="1"/>
  <c r="Y1" i="6" s="1"/>
  <c r="Z1" i="6" s="1"/>
  <c r="Q1" i="6"/>
  <c r="P1" i="6"/>
  <c r="O1" i="6"/>
  <c r="AD34" i="5"/>
  <c r="AC34" i="5"/>
  <c r="Y34" i="5"/>
  <c r="X34" i="5"/>
  <c r="W34" i="5"/>
  <c r="A34" i="5"/>
  <c r="AC33" i="5"/>
  <c r="AD33" i="5" s="1"/>
  <c r="Z33" i="5"/>
  <c r="Y33" i="5"/>
  <c r="X33" i="5"/>
  <c r="W33" i="5"/>
  <c r="G33" i="5"/>
  <c r="V33" i="5" s="1"/>
  <c r="A33" i="5"/>
  <c r="AC32" i="5"/>
  <c r="AD32" i="5" s="1"/>
  <c r="W32" i="5"/>
  <c r="I32" i="5"/>
  <c r="X32" i="5" s="1"/>
  <c r="B32" i="5"/>
  <c r="R32" i="5" s="1"/>
  <c r="A32" i="5"/>
  <c r="AC31" i="5"/>
  <c r="AD31" i="5" s="1"/>
  <c r="W31" i="5"/>
  <c r="R31" i="5"/>
  <c r="N31" i="5"/>
  <c r="O31" i="5" s="1"/>
  <c r="I31" i="5"/>
  <c r="X31" i="5" s="1"/>
  <c r="B31" i="5"/>
  <c r="A31" i="5"/>
  <c r="AD30" i="5"/>
  <c r="AC30" i="5"/>
  <c r="AA30" i="5"/>
  <c r="X30" i="5"/>
  <c r="N30" i="5"/>
  <c r="O30" i="5" s="1"/>
  <c r="B30" i="5"/>
  <c r="R30" i="5" s="1"/>
  <c r="A30" i="5"/>
  <c r="AD29" i="5"/>
  <c r="AC29" i="5"/>
  <c r="AA29" i="5"/>
  <c r="R29" i="5"/>
  <c r="B29" i="5"/>
  <c r="A29" i="5"/>
  <c r="AC28" i="5"/>
  <c r="AD28" i="5" s="1"/>
  <c r="AA28" i="5"/>
  <c r="W28" i="5"/>
  <c r="I28" i="5"/>
  <c r="X28" i="5" s="1"/>
  <c r="B28" i="5"/>
  <c r="R28" i="5" s="1"/>
  <c r="A28" i="5"/>
  <c r="AC27" i="5"/>
  <c r="AD27" i="5" s="1"/>
  <c r="AA27" i="5"/>
  <c r="I27" i="5"/>
  <c r="X27" i="5" s="1"/>
  <c r="B27" i="5"/>
  <c r="R27" i="5" s="1"/>
  <c r="A27" i="5"/>
  <c r="AC26" i="5"/>
  <c r="AD26" i="5" s="1"/>
  <c r="W26" i="5"/>
  <c r="R26" i="5"/>
  <c r="B26" i="5"/>
  <c r="A26" i="5"/>
  <c r="AC25" i="5"/>
  <c r="AD25" i="5" s="1"/>
  <c r="AB25" i="5"/>
  <c r="W25" i="5"/>
  <c r="B25" i="5"/>
  <c r="R25" i="5" s="1"/>
  <c r="A25" i="5"/>
  <c r="AG24" i="5"/>
  <c r="AC24" i="5"/>
  <c r="AD24" i="5" s="1"/>
  <c r="AA24" i="5"/>
  <c r="X24" i="5"/>
  <c r="W24" i="5"/>
  <c r="T24" i="5"/>
  <c r="S24" i="5"/>
  <c r="R24" i="5"/>
  <c r="N24" i="5"/>
  <c r="O24" i="5" s="1"/>
  <c r="K24" i="5"/>
  <c r="Z24" i="5" s="1"/>
  <c r="J24" i="5"/>
  <c r="Y24" i="5" s="1"/>
  <c r="B24" i="5"/>
  <c r="A24" i="5"/>
  <c r="AD23" i="5"/>
  <c r="AC23" i="5"/>
  <c r="AA23" i="5"/>
  <c r="X23" i="5"/>
  <c r="W23" i="5"/>
  <c r="T23" i="5"/>
  <c r="S23" i="5"/>
  <c r="R23" i="5"/>
  <c r="O23" i="5"/>
  <c r="N23" i="5"/>
  <c r="B23" i="5"/>
  <c r="A23" i="5"/>
  <c r="AD22" i="5"/>
  <c r="AC22" i="5"/>
  <c r="AC19" i="5" s="1"/>
  <c r="AA22" i="5"/>
  <c r="X22" i="5"/>
  <c r="W22" i="5"/>
  <c r="U22" i="5"/>
  <c r="T22" i="5"/>
  <c r="S22" i="5"/>
  <c r="N22" i="5"/>
  <c r="O22" i="5" s="1"/>
  <c r="J22" i="5"/>
  <c r="Y22" i="5" s="1"/>
  <c r="G22" i="5"/>
  <c r="V22" i="5" s="1"/>
  <c r="B22" i="5"/>
  <c r="R22" i="5" s="1"/>
  <c r="A22" i="5"/>
  <c r="AC21" i="5"/>
  <c r="AD21" i="5" s="1"/>
  <c r="X21" i="5"/>
  <c r="V21" i="5"/>
  <c r="T21" i="5"/>
  <c r="R21" i="5"/>
  <c r="O21" i="5"/>
  <c r="N21" i="5"/>
  <c r="L21" i="5"/>
  <c r="AA21" i="5" s="1"/>
  <c r="K21" i="5"/>
  <c r="Z21" i="5" s="1"/>
  <c r="J21" i="5"/>
  <c r="Y21" i="5" s="1"/>
  <c r="B21" i="5"/>
  <c r="A21" i="5"/>
  <c r="AD17" i="5"/>
  <c r="AC17" i="5"/>
  <c r="AB17" i="5"/>
  <c r="M34" i="5" s="1"/>
  <c r="AA17" i="5"/>
  <c r="L34" i="5" s="1"/>
  <c r="AA34" i="5" s="1"/>
  <c r="Z17" i="5"/>
  <c r="K34" i="5" s="1"/>
  <c r="Z34" i="5" s="1"/>
  <c r="Y17" i="5"/>
  <c r="X17" i="5"/>
  <c r="W17" i="5"/>
  <c r="V17" i="5"/>
  <c r="G34" i="5" s="1"/>
  <c r="V34" i="5" s="1"/>
  <c r="R17" i="5"/>
  <c r="AC16" i="5"/>
  <c r="AD16" i="5" s="1"/>
  <c r="AB16" i="5"/>
  <c r="M33" i="5" s="1"/>
  <c r="AA16" i="5"/>
  <c r="L33" i="5" s="1"/>
  <c r="AA33" i="5" s="1"/>
  <c r="Z16" i="5"/>
  <c r="K33" i="5" s="1"/>
  <c r="Y16" i="5"/>
  <c r="X16" i="5"/>
  <c r="W16" i="5"/>
  <c r="V16" i="5"/>
  <c r="R16" i="5"/>
  <c r="AC15" i="5"/>
  <c r="AD15" i="5" s="1"/>
  <c r="X15" i="5"/>
  <c r="S15" i="5"/>
  <c r="R15" i="5"/>
  <c r="N15" i="5"/>
  <c r="M15" i="5"/>
  <c r="AB15" i="5" s="1"/>
  <c r="M32" i="5" s="1"/>
  <c r="L15" i="5"/>
  <c r="AA15" i="5" s="1"/>
  <c r="L32" i="5" s="1"/>
  <c r="K15" i="5"/>
  <c r="Z15" i="5" s="1"/>
  <c r="K32" i="5" s="1"/>
  <c r="Z32" i="5" s="1"/>
  <c r="J15" i="5"/>
  <c r="Y15" i="5" s="1"/>
  <c r="J32" i="5" s="1"/>
  <c r="Y32" i="5" s="1"/>
  <c r="I15" i="5"/>
  <c r="H15" i="5"/>
  <c r="W15" i="5" s="1"/>
  <c r="H32" i="5" s="1"/>
  <c r="G15" i="5"/>
  <c r="V15" i="5" s="1"/>
  <c r="G32" i="5" s="1"/>
  <c r="V32" i="5" s="1"/>
  <c r="E15" i="5"/>
  <c r="T15" i="5" s="1"/>
  <c r="E32" i="5" s="1"/>
  <c r="T32" i="5" s="1"/>
  <c r="D15" i="5"/>
  <c r="D32" i="5" s="1"/>
  <c r="S32" i="5" s="1"/>
  <c r="C15" i="5"/>
  <c r="C32" i="5" s="1"/>
  <c r="AD14" i="5"/>
  <c r="AC14" i="5"/>
  <c r="Z14" i="5"/>
  <c r="K31" i="5" s="1"/>
  <c r="Z31" i="5" s="1"/>
  <c r="S14" i="5"/>
  <c r="R14" i="5"/>
  <c r="N14" i="5"/>
  <c r="L14" i="5"/>
  <c r="AA14" i="5" s="1"/>
  <c r="L31" i="5" s="1"/>
  <c r="K14" i="5"/>
  <c r="J14" i="5"/>
  <c r="Y14" i="5" s="1"/>
  <c r="J31" i="5" s="1"/>
  <c r="Y31" i="5" s="1"/>
  <c r="I14" i="5"/>
  <c r="H14" i="5"/>
  <c r="W14" i="5" s="1"/>
  <c r="H31" i="5" s="1"/>
  <c r="G14" i="5"/>
  <c r="V14" i="5" s="1"/>
  <c r="G31" i="5" s="1"/>
  <c r="V31" i="5" s="1"/>
  <c r="E14" i="5"/>
  <c r="T14" i="5" s="1"/>
  <c r="E31" i="5" s="1"/>
  <c r="T31" i="5" s="1"/>
  <c r="D14" i="5"/>
  <c r="D31" i="5" s="1"/>
  <c r="S31" i="5" s="1"/>
  <c r="C14" i="5"/>
  <c r="C31" i="5" s="1"/>
  <c r="AD13" i="5"/>
  <c r="AC13" i="5"/>
  <c r="AA13" i="5"/>
  <c r="L30" i="5" s="1"/>
  <c r="X13" i="5"/>
  <c r="I30" i="5" s="1"/>
  <c r="T13" i="5"/>
  <c r="E30" i="5" s="1"/>
  <c r="T30" i="5" s="1"/>
  <c r="S13" i="5"/>
  <c r="R13" i="5"/>
  <c r="N13" i="5"/>
  <c r="M13" i="5"/>
  <c r="AB13" i="5" s="1"/>
  <c r="M30" i="5" s="1"/>
  <c r="L13" i="5"/>
  <c r="K13" i="5"/>
  <c r="Z13" i="5" s="1"/>
  <c r="K30" i="5" s="1"/>
  <c r="Z30" i="5" s="1"/>
  <c r="J13" i="5"/>
  <c r="Y13" i="5" s="1"/>
  <c r="J30" i="5" s="1"/>
  <c r="Y30" i="5" s="1"/>
  <c r="I13" i="5"/>
  <c r="H13" i="5"/>
  <c r="W13" i="5" s="1"/>
  <c r="H30" i="5" s="1"/>
  <c r="G13" i="5"/>
  <c r="V13" i="5" s="1"/>
  <c r="G30" i="5" s="1"/>
  <c r="V30" i="5" s="1"/>
  <c r="E13" i="5"/>
  <c r="D13" i="5"/>
  <c r="D30" i="5" s="1"/>
  <c r="S30" i="5" s="1"/>
  <c r="C13" i="5"/>
  <c r="C30" i="5" s="1"/>
  <c r="AC12" i="5"/>
  <c r="N29" i="5" s="1"/>
  <c r="O29" i="5" s="1"/>
  <c r="X12" i="5"/>
  <c r="I29" i="5" s="1"/>
  <c r="X29" i="5" s="1"/>
  <c r="T12" i="5"/>
  <c r="E29" i="5" s="1"/>
  <c r="T29" i="5" s="1"/>
  <c r="R12" i="5"/>
  <c r="N12" i="5"/>
  <c r="L12" i="5"/>
  <c r="AA12" i="5" s="1"/>
  <c r="L29" i="5" s="1"/>
  <c r="K12" i="5"/>
  <c r="Z12" i="5" s="1"/>
  <c r="K29" i="5" s="1"/>
  <c r="Z29" i="5" s="1"/>
  <c r="J12" i="5"/>
  <c r="Y12" i="5" s="1"/>
  <c r="J29" i="5" s="1"/>
  <c r="Y29" i="5" s="1"/>
  <c r="I12" i="5"/>
  <c r="H12" i="5"/>
  <c r="W12" i="5" s="1"/>
  <c r="H29" i="5" s="1"/>
  <c r="G12" i="5"/>
  <c r="V12" i="5" s="1"/>
  <c r="G29" i="5" s="1"/>
  <c r="V29" i="5" s="1"/>
  <c r="E12" i="5"/>
  <c r="D12" i="5"/>
  <c r="D29" i="5" s="1"/>
  <c r="S29" i="5" s="1"/>
  <c r="C12" i="5"/>
  <c r="C29" i="5" s="1"/>
  <c r="AC11" i="5"/>
  <c r="T11" i="5"/>
  <c r="E28" i="5" s="1"/>
  <c r="T28" i="5" s="1"/>
  <c r="S11" i="5"/>
  <c r="R11" i="5"/>
  <c r="N11" i="5"/>
  <c r="L11" i="5"/>
  <c r="AA11" i="5" s="1"/>
  <c r="L28" i="5" s="1"/>
  <c r="K11" i="5"/>
  <c r="Z11" i="5" s="1"/>
  <c r="K28" i="5" s="1"/>
  <c r="Z28" i="5" s="1"/>
  <c r="J11" i="5"/>
  <c r="Y11" i="5" s="1"/>
  <c r="J28" i="5" s="1"/>
  <c r="Y28" i="5" s="1"/>
  <c r="I11" i="5"/>
  <c r="H11" i="5"/>
  <c r="W11" i="5" s="1"/>
  <c r="H28" i="5" s="1"/>
  <c r="G11" i="5"/>
  <c r="V11" i="5" s="1"/>
  <c r="G28" i="5" s="1"/>
  <c r="V28" i="5" s="1"/>
  <c r="E11" i="5"/>
  <c r="D11" i="5"/>
  <c r="D28" i="5" s="1"/>
  <c r="S28" i="5" s="1"/>
  <c r="C11" i="5"/>
  <c r="C28" i="5" s="1"/>
  <c r="AC10" i="5"/>
  <c r="X10" i="5"/>
  <c r="T10" i="5"/>
  <c r="E27" i="5" s="1"/>
  <c r="T27" i="5" s="1"/>
  <c r="R10" i="5"/>
  <c r="N10" i="5"/>
  <c r="L10" i="5"/>
  <c r="AA10" i="5" s="1"/>
  <c r="L27" i="5" s="1"/>
  <c r="K10" i="5"/>
  <c r="Z10" i="5" s="1"/>
  <c r="K27" i="5" s="1"/>
  <c r="Z27" i="5" s="1"/>
  <c r="J10" i="5"/>
  <c r="Y10" i="5" s="1"/>
  <c r="J27" i="5" s="1"/>
  <c r="Y27" i="5" s="1"/>
  <c r="I10" i="5"/>
  <c r="H10" i="5"/>
  <c r="W10" i="5" s="1"/>
  <c r="H27" i="5" s="1"/>
  <c r="G10" i="5"/>
  <c r="V10" i="5" s="1"/>
  <c r="G27" i="5" s="1"/>
  <c r="V27" i="5" s="1"/>
  <c r="E10" i="5"/>
  <c r="D10" i="5"/>
  <c r="S10" i="5" s="1"/>
  <c r="C10" i="5"/>
  <c r="C27" i="5" s="1"/>
  <c r="AC9" i="5"/>
  <c r="AD9" i="5" s="1"/>
  <c r="X9" i="5"/>
  <c r="I26" i="5" s="1"/>
  <c r="X26" i="5" s="1"/>
  <c r="R9" i="5"/>
  <c r="N9" i="5"/>
  <c r="L9" i="5"/>
  <c r="AA9" i="5" s="1"/>
  <c r="L26" i="5" s="1"/>
  <c r="AA26" i="5" s="1"/>
  <c r="K9" i="5"/>
  <c r="Z9" i="5" s="1"/>
  <c r="K26" i="5" s="1"/>
  <c r="Z26" i="5" s="1"/>
  <c r="J9" i="5"/>
  <c r="Y9" i="5" s="1"/>
  <c r="J26" i="5" s="1"/>
  <c r="Y26" i="5" s="1"/>
  <c r="I9" i="5"/>
  <c r="H9" i="5"/>
  <c r="W9" i="5" s="1"/>
  <c r="H26" i="5" s="1"/>
  <c r="G9" i="5"/>
  <c r="V9" i="5" s="1"/>
  <c r="G26" i="5" s="1"/>
  <c r="V26" i="5" s="1"/>
  <c r="E9" i="5"/>
  <c r="T9" i="5" s="1"/>
  <c r="E26" i="5" s="1"/>
  <c r="T26" i="5" s="1"/>
  <c r="D9" i="5"/>
  <c r="D26" i="5" s="1"/>
  <c r="S26" i="5" s="1"/>
  <c r="C9" i="5"/>
  <c r="C26" i="5" s="1"/>
  <c r="AC8" i="5"/>
  <c r="AD8" i="5" s="1"/>
  <c r="X8" i="5"/>
  <c r="I25" i="5" s="1"/>
  <c r="X25" i="5" s="1"/>
  <c r="R8" i="5"/>
  <c r="N8" i="5"/>
  <c r="M8" i="5"/>
  <c r="AB8" i="5" s="1"/>
  <c r="M25" i="5" s="1"/>
  <c r="L8" i="5"/>
  <c r="AA8" i="5" s="1"/>
  <c r="L25" i="5" s="1"/>
  <c r="AA25" i="5" s="1"/>
  <c r="K8" i="5"/>
  <c r="Z8" i="5" s="1"/>
  <c r="K25" i="5" s="1"/>
  <c r="Z25" i="5" s="1"/>
  <c r="J8" i="5"/>
  <c r="Y8" i="5" s="1"/>
  <c r="J25" i="5" s="1"/>
  <c r="Y25" i="5" s="1"/>
  <c r="I8" i="5"/>
  <c r="H8" i="5"/>
  <c r="W8" i="5" s="1"/>
  <c r="H25" i="5" s="1"/>
  <c r="G8" i="5"/>
  <c r="V8" i="5" s="1"/>
  <c r="G25" i="5" s="1"/>
  <c r="V25" i="5" s="1"/>
  <c r="E8" i="5"/>
  <c r="T8" i="5" s="1"/>
  <c r="E25" i="5" s="1"/>
  <c r="T25" i="5" s="1"/>
  <c r="C8" i="5"/>
  <c r="C25" i="5" s="1"/>
  <c r="AG7" i="5"/>
  <c r="AG8" i="5" s="1"/>
  <c r="AC7" i="5"/>
  <c r="AD7" i="5" s="1"/>
  <c r="AB7" i="5"/>
  <c r="AA7" i="5"/>
  <c r="Z7" i="5"/>
  <c r="Y7" i="5"/>
  <c r="X7" i="5"/>
  <c r="W7" i="5"/>
  <c r="V7" i="5"/>
  <c r="G24" i="5" s="1"/>
  <c r="V24" i="5" s="1"/>
  <c r="R7" i="5"/>
  <c r="AC6" i="5"/>
  <c r="AD6" i="5" s="1"/>
  <c r="AB6" i="5"/>
  <c r="AA6" i="5"/>
  <c r="Z6" i="5"/>
  <c r="K23" i="5" s="1"/>
  <c r="Z23" i="5" s="1"/>
  <c r="Y6" i="5"/>
  <c r="J23" i="5" s="1"/>
  <c r="Y23" i="5" s="1"/>
  <c r="X6" i="5"/>
  <c r="W6" i="5"/>
  <c r="V6" i="5"/>
  <c r="G23" i="5" s="1"/>
  <c r="V23" i="5" s="1"/>
  <c r="R6" i="5"/>
  <c r="AC5" i="5"/>
  <c r="AD5" i="5" s="1"/>
  <c r="AB5" i="5"/>
  <c r="AA5" i="5"/>
  <c r="Z5" i="5"/>
  <c r="K22" i="5" s="1"/>
  <c r="Z22" i="5" s="1"/>
  <c r="Y5" i="5"/>
  <c r="X5" i="5"/>
  <c r="W5" i="5"/>
  <c r="V5" i="5"/>
  <c r="R5" i="5"/>
  <c r="AC4" i="5"/>
  <c r="AB4" i="5"/>
  <c r="AA4" i="5"/>
  <c r="Z4" i="5"/>
  <c r="Y4" i="5"/>
  <c r="X4" i="5"/>
  <c r="W4" i="5"/>
  <c r="V4" i="5"/>
  <c r="R4" i="5"/>
  <c r="O2" i="5"/>
  <c r="AC34" i="4"/>
  <c r="AD34" i="4" s="1"/>
  <c r="AA34" i="4"/>
  <c r="X34" i="4"/>
  <c r="N34" i="4"/>
  <c r="O34" i="4" s="1"/>
  <c r="G34" i="4"/>
  <c r="V34" i="4" s="1"/>
  <c r="D34" i="4"/>
  <c r="S34" i="4" s="1"/>
  <c r="B34" i="4"/>
  <c r="R34" i="4" s="1"/>
  <c r="A34" i="4"/>
  <c r="AD33" i="4"/>
  <c r="AC33" i="4"/>
  <c r="AA33" i="4"/>
  <c r="X33" i="4"/>
  <c r="W33" i="4"/>
  <c r="V33" i="4"/>
  <c r="S33" i="4"/>
  <c r="N33" i="4"/>
  <c r="O33" i="4" s="1"/>
  <c r="K33" i="4"/>
  <c r="Z33" i="4" s="1"/>
  <c r="H33" i="4"/>
  <c r="G33" i="4"/>
  <c r="D33" i="4"/>
  <c r="B33" i="4"/>
  <c r="R33" i="4" s="1"/>
  <c r="A33" i="4"/>
  <c r="AC32" i="4"/>
  <c r="AD32" i="4" s="1"/>
  <c r="R32" i="4"/>
  <c r="N32" i="4"/>
  <c r="F32" i="4"/>
  <c r="U32" i="4" s="1"/>
  <c r="B32" i="4"/>
  <c r="A32" i="4"/>
  <c r="AC31" i="4"/>
  <c r="AD31" i="4" s="1"/>
  <c r="U31" i="4"/>
  <c r="T31" i="4"/>
  <c r="E31" i="4"/>
  <c r="B31" i="4"/>
  <c r="R31" i="4" s="1"/>
  <c r="A31" i="4"/>
  <c r="AC30" i="4"/>
  <c r="AD30" i="4" s="1"/>
  <c r="R30" i="4"/>
  <c r="L30" i="4"/>
  <c r="AA30" i="4" s="1"/>
  <c r="E30" i="4"/>
  <c r="T30" i="4" s="1"/>
  <c r="B30" i="4"/>
  <c r="A30" i="4"/>
  <c r="AD29" i="4"/>
  <c r="AC29" i="4"/>
  <c r="AA29" i="4"/>
  <c r="R29" i="4"/>
  <c r="I29" i="4"/>
  <c r="X29" i="4" s="1"/>
  <c r="B29" i="4"/>
  <c r="A29" i="4"/>
  <c r="AC28" i="4"/>
  <c r="AD28" i="4" s="1"/>
  <c r="X28" i="4"/>
  <c r="T28" i="4"/>
  <c r="L28" i="4"/>
  <c r="AA28" i="4" s="1"/>
  <c r="I28" i="4"/>
  <c r="B28" i="4"/>
  <c r="R28" i="4" s="1"/>
  <c r="A28" i="4"/>
  <c r="AC27" i="4"/>
  <c r="AD27" i="4" s="1"/>
  <c r="B27" i="4"/>
  <c r="R27" i="4" s="1"/>
  <c r="A27" i="4"/>
  <c r="AC26" i="4"/>
  <c r="AD26" i="4" s="1"/>
  <c r="AA26" i="4"/>
  <c r="Z26" i="4"/>
  <c r="X26" i="4"/>
  <c r="W26" i="4"/>
  <c r="S26" i="4"/>
  <c r="R26" i="4"/>
  <c r="N26" i="4"/>
  <c r="O26" i="4" s="1"/>
  <c r="B26" i="4"/>
  <c r="A26" i="4"/>
  <c r="AG25" i="4"/>
  <c r="AD25" i="4"/>
  <c r="AC25" i="4"/>
  <c r="AA25" i="4"/>
  <c r="X25" i="4"/>
  <c r="W25" i="4"/>
  <c r="S25" i="4"/>
  <c r="R25" i="4"/>
  <c r="N25" i="4"/>
  <c r="O25" i="4" s="1"/>
  <c r="B25" i="4"/>
  <c r="A25" i="4"/>
  <c r="AG24" i="4"/>
  <c r="AC24" i="4"/>
  <c r="AD24" i="4" s="1"/>
  <c r="AA24" i="4"/>
  <c r="X24" i="4"/>
  <c r="W24" i="4"/>
  <c r="S24" i="4"/>
  <c r="N24" i="4"/>
  <c r="O24" i="4" s="1"/>
  <c r="J24" i="4"/>
  <c r="Y24" i="4" s="1"/>
  <c r="G24" i="4"/>
  <c r="V24" i="4" s="1"/>
  <c r="B24" i="4"/>
  <c r="R24" i="4" s="1"/>
  <c r="A24" i="4"/>
  <c r="AC23" i="4"/>
  <c r="AD23" i="4" s="1"/>
  <c r="AA23" i="4"/>
  <c r="X23" i="4"/>
  <c r="W23" i="4"/>
  <c r="S23" i="4"/>
  <c r="R23" i="4"/>
  <c r="O23" i="4"/>
  <c r="N23" i="4"/>
  <c r="J23" i="4"/>
  <c r="Y23" i="4" s="1"/>
  <c r="B23" i="4"/>
  <c r="A23" i="4"/>
  <c r="AC22" i="4"/>
  <c r="AD22" i="4" s="1"/>
  <c r="AA22" i="4"/>
  <c r="Z22" i="4"/>
  <c r="X22" i="4"/>
  <c r="W22" i="4"/>
  <c r="S22" i="4"/>
  <c r="R22" i="4"/>
  <c r="N22" i="4"/>
  <c r="O22" i="4" s="1"/>
  <c r="K22" i="4"/>
  <c r="J22" i="4"/>
  <c r="Y22" i="4" s="1"/>
  <c r="B22" i="4"/>
  <c r="A22" i="4"/>
  <c r="AD21" i="4"/>
  <c r="AC21" i="4"/>
  <c r="AA21" i="4"/>
  <c r="Z21" i="4"/>
  <c r="Y21" i="4"/>
  <c r="W21" i="4"/>
  <c r="V21" i="4"/>
  <c r="N21" i="4"/>
  <c r="L21" i="4"/>
  <c r="K21" i="4"/>
  <c r="D21" i="4"/>
  <c r="B21" i="4"/>
  <c r="R21" i="4" s="1"/>
  <c r="A21" i="4"/>
  <c r="AC17" i="4"/>
  <c r="AD17" i="4" s="1"/>
  <c r="AB17" i="4"/>
  <c r="AA17" i="4"/>
  <c r="Z17" i="4"/>
  <c r="K34" i="4" s="1"/>
  <c r="Z34" i="4" s="1"/>
  <c r="Y17" i="4"/>
  <c r="J34" i="4" s="1"/>
  <c r="Y34" i="4" s="1"/>
  <c r="X17" i="4"/>
  <c r="W17" i="4"/>
  <c r="H34" i="4" s="1"/>
  <c r="W34" i="4" s="1"/>
  <c r="V17" i="4"/>
  <c r="S17" i="4"/>
  <c r="R17" i="4"/>
  <c r="AC16" i="4"/>
  <c r="AD16" i="4" s="1"/>
  <c r="AB16" i="4"/>
  <c r="AA16" i="4"/>
  <c r="Z16" i="4"/>
  <c r="Y16" i="4"/>
  <c r="J33" i="4" s="1"/>
  <c r="Y33" i="4" s="1"/>
  <c r="X16" i="4"/>
  <c r="W16" i="4"/>
  <c r="V16" i="4"/>
  <c r="S16" i="4"/>
  <c r="R16" i="4"/>
  <c r="AD15" i="4"/>
  <c r="O32" i="4" s="1"/>
  <c r="AC15" i="4"/>
  <c r="AA15" i="4"/>
  <c r="L32" i="4" s="1"/>
  <c r="AA32" i="4" s="1"/>
  <c r="X15" i="4"/>
  <c r="I32" i="4" s="1"/>
  <c r="X32" i="4" s="1"/>
  <c r="U15" i="4"/>
  <c r="T15" i="4"/>
  <c r="E32" i="4" s="1"/>
  <c r="T32" i="4" s="1"/>
  <c r="R15" i="4"/>
  <c r="N15" i="4"/>
  <c r="O15" i="4" s="1"/>
  <c r="M15" i="4"/>
  <c r="AB15" i="4" s="1"/>
  <c r="M32" i="4" s="1"/>
  <c r="L15" i="4"/>
  <c r="K15" i="4"/>
  <c r="Z15" i="4" s="1"/>
  <c r="K32" i="4" s="1"/>
  <c r="Z32" i="4" s="1"/>
  <c r="J15" i="4"/>
  <c r="Y15" i="4" s="1"/>
  <c r="J32" i="4" s="1"/>
  <c r="Y32" i="4" s="1"/>
  <c r="I15" i="4"/>
  <c r="H15" i="4"/>
  <c r="W15" i="4" s="1"/>
  <c r="H32" i="4" s="1"/>
  <c r="W32" i="4" s="1"/>
  <c r="G15" i="4"/>
  <c r="V15" i="4" s="1"/>
  <c r="G32" i="4" s="1"/>
  <c r="V32" i="4" s="1"/>
  <c r="D15" i="4"/>
  <c r="C15" i="4"/>
  <c r="C32" i="4" s="1"/>
  <c r="AD14" i="4"/>
  <c r="O31" i="4" s="1"/>
  <c r="AC14" i="4"/>
  <c r="N31" i="4" s="1"/>
  <c r="AA14" i="4"/>
  <c r="L31" i="4" s="1"/>
  <c r="AA31" i="4" s="1"/>
  <c r="X14" i="4"/>
  <c r="I31" i="4" s="1"/>
  <c r="X31" i="4" s="1"/>
  <c r="U14" i="4"/>
  <c r="F31" i="4" s="1"/>
  <c r="S14" i="4"/>
  <c r="R14" i="4"/>
  <c r="N14" i="4"/>
  <c r="O14" i="4" s="1"/>
  <c r="L14" i="4"/>
  <c r="K14" i="4"/>
  <c r="Z14" i="4" s="1"/>
  <c r="K31" i="4" s="1"/>
  <c r="Z31" i="4" s="1"/>
  <c r="J14" i="4"/>
  <c r="Y14" i="4" s="1"/>
  <c r="J31" i="4" s="1"/>
  <c r="Y31" i="4" s="1"/>
  <c r="I14" i="4"/>
  <c r="H14" i="4"/>
  <c r="W14" i="4" s="1"/>
  <c r="H31" i="4" s="1"/>
  <c r="W31" i="4" s="1"/>
  <c r="G14" i="4"/>
  <c r="V14" i="4" s="1"/>
  <c r="G31" i="4" s="1"/>
  <c r="V31" i="4" s="1"/>
  <c r="D14" i="4"/>
  <c r="D31" i="4" s="1"/>
  <c r="S31" i="4" s="1"/>
  <c r="C14" i="4"/>
  <c r="C31" i="4" s="1"/>
  <c r="AC13" i="4"/>
  <c r="AD13" i="4" s="1"/>
  <c r="O30" i="4" s="1"/>
  <c r="AA13" i="4"/>
  <c r="X13" i="4"/>
  <c r="I30" i="4" s="1"/>
  <c r="X30" i="4" s="1"/>
  <c r="U13" i="4"/>
  <c r="F30" i="4" s="1"/>
  <c r="U30" i="4" s="1"/>
  <c r="T13" i="4"/>
  <c r="R13" i="4"/>
  <c r="N13" i="4"/>
  <c r="O13" i="4" s="1"/>
  <c r="M13" i="4"/>
  <c r="AB13" i="4" s="1"/>
  <c r="M30" i="4" s="1"/>
  <c r="L13" i="4"/>
  <c r="K13" i="4"/>
  <c r="Z13" i="4" s="1"/>
  <c r="K30" i="4" s="1"/>
  <c r="Z30" i="4" s="1"/>
  <c r="J13" i="4"/>
  <c r="Y13" i="4" s="1"/>
  <c r="J30" i="4" s="1"/>
  <c r="Y30" i="4" s="1"/>
  <c r="I13" i="4"/>
  <c r="H13" i="4"/>
  <c r="W13" i="4" s="1"/>
  <c r="H30" i="4" s="1"/>
  <c r="W30" i="4" s="1"/>
  <c r="G13" i="4"/>
  <c r="V13" i="4" s="1"/>
  <c r="G30" i="4" s="1"/>
  <c r="V30" i="4" s="1"/>
  <c r="D13" i="4"/>
  <c r="S13" i="4" s="1"/>
  <c r="C13" i="4"/>
  <c r="C30" i="4" s="1"/>
  <c r="AD12" i="4"/>
  <c r="O29" i="4" s="1"/>
  <c r="AC12" i="4"/>
  <c r="N29" i="4" s="1"/>
  <c r="AA12" i="4"/>
  <c r="L29" i="4" s="1"/>
  <c r="X12" i="4"/>
  <c r="U12" i="4"/>
  <c r="F29" i="4" s="1"/>
  <c r="U29" i="4" s="1"/>
  <c r="T12" i="4"/>
  <c r="E29" i="4" s="1"/>
  <c r="T29" i="4" s="1"/>
  <c r="R12" i="4"/>
  <c r="O12" i="4"/>
  <c r="N12" i="4"/>
  <c r="L12" i="4"/>
  <c r="K12" i="4"/>
  <c r="Z12" i="4" s="1"/>
  <c r="K29" i="4" s="1"/>
  <c r="Z29" i="4" s="1"/>
  <c r="J12" i="4"/>
  <c r="Y12" i="4" s="1"/>
  <c r="J29" i="4" s="1"/>
  <c r="Y29" i="4" s="1"/>
  <c r="I12" i="4"/>
  <c r="H12" i="4"/>
  <c r="W12" i="4" s="1"/>
  <c r="H29" i="4" s="1"/>
  <c r="W29" i="4" s="1"/>
  <c r="G12" i="4"/>
  <c r="V12" i="4" s="1"/>
  <c r="G29" i="4" s="1"/>
  <c r="V29" i="4" s="1"/>
  <c r="D12" i="4"/>
  <c r="D29" i="4" s="1"/>
  <c r="S29" i="4" s="1"/>
  <c r="C12" i="4"/>
  <c r="C29" i="4" s="1"/>
  <c r="AC11" i="4"/>
  <c r="N28" i="4" s="1"/>
  <c r="AA11" i="4"/>
  <c r="V11" i="4"/>
  <c r="G28" i="4" s="1"/>
  <c r="V28" i="4" s="1"/>
  <c r="U11" i="4"/>
  <c r="F28" i="4" s="1"/>
  <c r="U28" i="4" s="1"/>
  <c r="T11" i="4"/>
  <c r="E28" i="4" s="1"/>
  <c r="R11" i="4"/>
  <c r="N11" i="4"/>
  <c r="L11" i="4"/>
  <c r="K11" i="4"/>
  <c r="Z11" i="4" s="1"/>
  <c r="K28" i="4" s="1"/>
  <c r="Z28" i="4" s="1"/>
  <c r="J11" i="4"/>
  <c r="Y11" i="4" s="1"/>
  <c r="J28" i="4" s="1"/>
  <c r="Y28" i="4" s="1"/>
  <c r="I11" i="4"/>
  <c r="H11" i="4"/>
  <c r="W11" i="4" s="1"/>
  <c r="H28" i="4" s="1"/>
  <c r="W28" i="4" s="1"/>
  <c r="G11" i="4"/>
  <c r="D11" i="4"/>
  <c r="S11" i="4" s="1"/>
  <c r="C11" i="4"/>
  <c r="C28" i="4" s="1"/>
  <c r="AC10" i="4"/>
  <c r="AD10" i="4" s="1"/>
  <c r="O27" i="4" s="1"/>
  <c r="AA10" i="4"/>
  <c r="L27" i="4" s="1"/>
  <c r="AA27" i="4" s="1"/>
  <c r="X10" i="4"/>
  <c r="I27" i="4" s="1"/>
  <c r="X27" i="4" s="1"/>
  <c r="V10" i="4"/>
  <c r="G27" i="4" s="1"/>
  <c r="V27" i="4" s="1"/>
  <c r="U10" i="4"/>
  <c r="F27" i="4" s="1"/>
  <c r="U27" i="4" s="1"/>
  <c r="T10" i="4"/>
  <c r="E27" i="4" s="1"/>
  <c r="T27" i="4" s="1"/>
  <c r="R10" i="4"/>
  <c r="N10" i="4"/>
  <c r="L10" i="4"/>
  <c r="K10" i="4"/>
  <c r="Z10" i="4" s="1"/>
  <c r="K27" i="4" s="1"/>
  <c r="Z27" i="4" s="1"/>
  <c r="J10" i="4"/>
  <c r="Y10" i="4" s="1"/>
  <c r="J27" i="4" s="1"/>
  <c r="Y27" i="4" s="1"/>
  <c r="I10" i="4"/>
  <c r="H10" i="4"/>
  <c r="W10" i="4" s="1"/>
  <c r="H27" i="4" s="1"/>
  <c r="W27" i="4" s="1"/>
  <c r="G10" i="4"/>
  <c r="D10" i="4"/>
  <c r="D27" i="4" s="1"/>
  <c r="S27" i="4" s="1"/>
  <c r="C10" i="4"/>
  <c r="C27" i="4" s="1"/>
  <c r="AC9" i="4"/>
  <c r="AD9" i="4" s="1"/>
  <c r="AB9" i="4"/>
  <c r="AA9" i="4"/>
  <c r="Z9" i="4"/>
  <c r="K26" i="4" s="1"/>
  <c r="Y9" i="4"/>
  <c r="J26" i="4" s="1"/>
  <c r="Y26" i="4" s="1"/>
  <c r="X9" i="4"/>
  <c r="W9" i="4"/>
  <c r="V9" i="4"/>
  <c r="G26" i="4" s="1"/>
  <c r="V26" i="4" s="1"/>
  <c r="S9" i="4"/>
  <c r="R9" i="4"/>
  <c r="AC8" i="4"/>
  <c r="AD8" i="4" s="1"/>
  <c r="AB8" i="4"/>
  <c r="AA8" i="4"/>
  <c r="Z8" i="4"/>
  <c r="K25" i="4" s="1"/>
  <c r="Z25" i="4" s="1"/>
  <c r="Y8" i="4"/>
  <c r="J25" i="4" s="1"/>
  <c r="Y25" i="4" s="1"/>
  <c r="X8" i="4"/>
  <c r="W8" i="4"/>
  <c r="V8" i="4"/>
  <c r="G25" i="4" s="1"/>
  <c r="V25" i="4" s="1"/>
  <c r="S8" i="4"/>
  <c r="R8" i="4"/>
  <c r="AG7" i="4"/>
  <c r="AG8" i="4" s="1"/>
  <c r="AC7" i="4"/>
  <c r="AD7" i="4" s="1"/>
  <c r="AB7" i="4"/>
  <c r="AA7" i="4"/>
  <c r="Z7" i="4"/>
  <c r="K24" i="4" s="1"/>
  <c r="Z24" i="4" s="1"/>
  <c r="Y7" i="4"/>
  <c r="X7" i="4"/>
  <c r="W7" i="4"/>
  <c r="V7" i="4"/>
  <c r="S7" i="4"/>
  <c r="R7" i="4"/>
  <c r="AD6" i="4"/>
  <c r="AC6" i="4"/>
  <c r="AB6" i="4"/>
  <c r="AA6" i="4"/>
  <c r="Z6" i="4"/>
  <c r="K23" i="4" s="1"/>
  <c r="Z23" i="4" s="1"/>
  <c r="Y6" i="4"/>
  <c r="X6" i="4"/>
  <c r="W6" i="4"/>
  <c r="V6" i="4"/>
  <c r="G23" i="4" s="1"/>
  <c r="V23" i="4" s="1"/>
  <c r="S6" i="4"/>
  <c r="R6" i="4"/>
  <c r="AC5" i="4"/>
  <c r="AD5" i="4" s="1"/>
  <c r="AB5" i="4"/>
  <c r="AA5" i="4"/>
  <c r="Z5" i="4"/>
  <c r="Y5" i="4"/>
  <c r="X5" i="4"/>
  <c r="W5" i="4"/>
  <c r="V5" i="4"/>
  <c r="G22" i="4" s="1"/>
  <c r="V22" i="4" s="1"/>
  <c r="S5" i="4"/>
  <c r="R5" i="4"/>
  <c r="AC4" i="4"/>
  <c r="AB4" i="4"/>
  <c r="AA4" i="4"/>
  <c r="Z4" i="4"/>
  <c r="Y4" i="4"/>
  <c r="J21" i="4" s="1"/>
  <c r="X4" i="4"/>
  <c r="I21" i="4" s="1"/>
  <c r="X21" i="4" s="1"/>
  <c r="W4" i="4"/>
  <c r="V4" i="4"/>
  <c r="R4" i="4"/>
  <c r="A33" i="3"/>
  <c r="C27" i="3" s="1"/>
  <c r="W29" i="3"/>
  <c r="F29" i="3"/>
  <c r="W28" i="3"/>
  <c r="F28" i="3"/>
  <c r="W27" i="3"/>
  <c r="F27" i="3"/>
  <c r="W26" i="3"/>
  <c r="F26" i="3"/>
  <c r="W25" i="3"/>
  <c r="F25" i="3"/>
  <c r="W24" i="3"/>
  <c r="F24" i="3"/>
  <c r="W23" i="3"/>
  <c r="F23" i="3"/>
  <c r="W22" i="3"/>
  <c r="F22" i="3"/>
  <c r="W21" i="3"/>
  <c r="C21" i="3"/>
  <c r="W20" i="3"/>
  <c r="E20" i="3"/>
  <c r="W19" i="3"/>
  <c r="E19" i="3"/>
  <c r="W18" i="3"/>
  <c r="E18" i="3"/>
  <c r="W14" i="3"/>
  <c r="E14" i="3"/>
  <c r="W13" i="3"/>
  <c r="E13" i="3"/>
  <c r="W9" i="3"/>
  <c r="E9" i="3"/>
  <c r="C9" i="3"/>
  <c r="W8" i="3"/>
  <c r="E8" i="3"/>
  <c r="C8" i="3"/>
  <c r="W7" i="3"/>
  <c r="E7" i="3"/>
  <c r="C7" i="3"/>
  <c r="W6" i="3"/>
  <c r="E6" i="3"/>
  <c r="V25" i="2"/>
  <c r="T25" i="2"/>
  <c r="AQ24" i="2"/>
  <c r="AN24" i="2"/>
  <c r="AM24" i="2"/>
  <c r="AI24" i="2"/>
  <c r="Q22" i="9" s="1"/>
  <c r="W24" i="2"/>
  <c r="U24" i="2"/>
  <c r="S24" i="2"/>
  <c r="R24" i="2"/>
  <c r="N24" i="2"/>
  <c r="L24" i="2"/>
  <c r="K24" i="2"/>
  <c r="J24" i="2"/>
  <c r="AG24" i="2" s="1"/>
  <c r="AQ23" i="2"/>
  <c r="AN23" i="2"/>
  <c r="AM23" i="2"/>
  <c r="W23" i="2"/>
  <c r="U23" i="2"/>
  <c r="S23" i="2"/>
  <c r="R23" i="2"/>
  <c r="N23" i="2"/>
  <c r="L23" i="2"/>
  <c r="K23" i="2"/>
  <c r="J23" i="2"/>
  <c r="AG23" i="2" s="1"/>
  <c r="BI22" i="2"/>
  <c r="AQ22" i="2"/>
  <c r="AD22" i="2"/>
  <c r="W22" i="2"/>
  <c r="U22" i="2"/>
  <c r="S22" i="2"/>
  <c r="R22" i="2"/>
  <c r="P22" i="2"/>
  <c r="AL22" i="2" s="1"/>
  <c r="T20" i="9" s="1"/>
  <c r="N22" i="2"/>
  <c r="L22" i="2"/>
  <c r="K22" i="2"/>
  <c r="J22" i="2"/>
  <c r="BI20" i="2"/>
  <c r="BF20" i="2"/>
  <c r="BE20" i="2"/>
  <c r="BD20" i="2"/>
  <c r="BC20" i="2"/>
  <c r="BB20" i="2"/>
  <c r="BA20" i="2"/>
  <c r="AZ20" i="2"/>
  <c r="AY20" i="2"/>
  <c r="AX20" i="2"/>
  <c r="AW20" i="2"/>
  <c r="AV20" i="2"/>
  <c r="AQ20" i="2"/>
  <c r="W20" i="2"/>
  <c r="U20" i="2"/>
  <c r="S20" i="2"/>
  <c r="R20" i="2"/>
  <c r="P20" i="2"/>
  <c r="I20" i="7" s="1"/>
  <c r="N20" i="2"/>
  <c r="L20" i="2"/>
  <c r="K20" i="2"/>
  <c r="J20" i="2"/>
  <c r="AS19" i="2"/>
  <c r="BI19" i="2" s="1"/>
  <c r="AQ19" i="2"/>
  <c r="AD19" i="2"/>
  <c r="M14" i="4" s="1"/>
  <c r="AB14" i="4" s="1"/>
  <c r="M31" i="4" s="1"/>
  <c r="W19" i="2"/>
  <c r="U19" i="2"/>
  <c r="S19" i="2"/>
  <c r="R19" i="2"/>
  <c r="P19" i="2"/>
  <c r="N19" i="2"/>
  <c r="L19" i="2"/>
  <c r="K19" i="2"/>
  <c r="J19" i="2"/>
  <c r="AX18" i="2"/>
  <c r="AV18" i="2"/>
  <c r="AS18" i="2"/>
  <c r="BE18" i="2" s="1"/>
  <c r="AQ18" i="2"/>
  <c r="W18" i="2"/>
  <c r="U18" i="2"/>
  <c r="S18" i="2"/>
  <c r="R18" i="2"/>
  <c r="P18" i="2"/>
  <c r="AI18" i="2" s="1"/>
  <c r="Q17" i="9" s="1"/>
  <c r="N18" i="2"/>
  <c r="L18" i="2"/>
  <c r="K18" i="2"/>
  <c r="J18" i="2"/>
  <c r="BI17" i="2"/>
  <c r="BF17" i="2"/>
  <c r="BE17" i="2"/>
  <c r="BD17" i="2"/>
  <c r="BC17" i="2"/>
  <c r="BB17" i="2"/>
  <c r="BA17" i="2"/>
  <c r="AZ17" i="2"/>
  <c r="AY17" i="2"/>
  <c r="AX17" i="2"/>
  <c r="AW17" i="2"/>
  <c r="AV17" i="2"/>
  <c r="AQ17" i="2"/>
  <c r="AD17" i="2"/>
  <c r="Q17" i="7" s="1"/>
  <c r="W17" i="2"/>
  <c r="U17" i="2"/>
  <c r="S17" i="2"/>
  <c r="R17" i="2"/>
  <c r="P17" i="2"/>
  <c r="AH17" i="2" s="1"/>
  <c r="N17" i="2"/>
  <c r="L17" i="2"/>
  <c r="K17" i="2"/>
  <c r="J17" i="2"/>
  <c r="BI16" i="2"/>
  <c r="BF16" i="2"/>
  <c r="BE16" i="2"/>
  <c r="BD16" i="2"/>
  <c r="BC16" i="2"/>
  <c r="BB16" i="2"/>
  <c r="BA16" i="2"/>
  <c r="AZ16" i="2"/>
  <c r="AY16" i="2"/>
  <c r="AX16" i="2"/>
  <c r="AW16" i="2"/>
  <c r="AV16" i="2"/>
  <c r="AQ16" i="2"/>
  <c r="AD16" i="2"/>
  <c r="W16" i="2"/>
  <c r="U16" i="2"/>
  <c r="S16" i="2"/>
  <c r="R16" i="2"/>
  <c r="P16" i="2"/>
  <c r="AH16" i="2" s="1"/>
  <c r="N16" i="2"/>
  <c r="L16" i="2"/>
  <c r="K16" i="2"/>
  <c r="J16" i="2"/>
  <c r="BI15" i="2"/>
  <c r="BF15" i="2"/>
  <c r="BE15" i="2"/>
  <c r="BD15" i="2"/>
  <c r="BC15" i="2"/>
  <c r="BB15" i="2"/>
  <c r="BA15" i="2"/>
  <c r="AZ15" i="2"/>
  <c r="AY15" i="2"/>
  <c r="AX15" i="2"/>
  <c r="AW15" i="2"/>
  <c r="AV15" i="2"/>
  <c r="AQ15" i="2"/>
  <c r="AD15" i="2"/>
  <c r="M10" i="4" s="1"/>
  <c r="AB10" i="4" s="1"/>
  <c r="M27" i="4" s="1"/>
  <c r="W15" i="2"/>
  <c r="U15" i="2"/>
  <c r="S15" i="2"/>
  <c r="R15" i="2"/>
  <c r="P15" i="2"/>
  <c r="AN15" i="2" s="1"/>
  <c r="N15" i="2"/>
  <c r="L15" i="2"/>
  <c r="K15" i="2"/>
  <c r="J15" i="2"/>
  <c r="BI14" i="2"/>
  <c r="BF14" i="2"/>
  <c r="BE14" i="2"/>
  <c r="BD14" i="2"/>
  <c r="BC14" i="2"/>
  <c r="BB14" i="2"/>
  <c r="BA14" i="2"/>
  <c r="AZ14" i="2"/>
  <c r="AY14" i="2"/>
  <c r="AX14" i="2"/>
  <c r="AW14" i="2"/>
  <c r="AV14" i="2"/>
  <c r="AQ14" i="2"/>
  <c r="AD14" i="2"/>
  <c r="W14" i="2"/>
  <c r="U14" i="2"/>
  <c r="S14" i="2"/>
  <c r="R14" i="2"/>
  <c r="P14" i="2"/>
  <c r="N14" i="2"/>
  <c r="L14" i="2"/>
  <c r="K14" i="2"/>
  <c r="J14" i="2"/>
  <c r="BI13" i="2"/>
  <c r="BF13" i="2"/>
  <c r="BE13" i="2"/>
  <c r="BD13" i="2"/>
  <c r="BC13" i="2"/>
  <c r="BB13" i="2"/>
  <c r="BA13" i="2"/>
  <c r="AZ13" i="2"/>
  <c r="AY13" i="2"/>
  <c r="AX13" i="2"/>
  <c r="AW13" i="2"/>
  <c r="AV13" i="2"/>
  <c r="AQ13" i="2"/>
  <c r="AD13" i="2"/>
  <c r="W13" i="2"/>
  <c r="U13" i="2"/>
  <c r="S13" i="2"/>
  <c r="R13" i="2"/>
  <c r="P13" i="2"/>
  <c r="N13" i="2"/>
  <c r="L13" i="2"/>
  <c r="K13" i="2"/>
  <c r="J13" i="2"/>
  <c r="BI12" i="2"/>
  <c r="BF12" i="2"/>
  <c r="BE12" i="2"/>
  <c r="BD12" i="2"/>
  <c r="BC12" i="2"/>
  <c r="BB12" i="2"/>
  <c r="BA12" i="2"/>
  <c r="AZ12" i="2"/>
  <c r="AY12" i="2"/>
  <c r="AX12" i="2"/>
  <c r="AW12" i="2"/>
  <c r="AV12" i="2"/>
  <c r="AQ12" i="2"/>
  <c r="W12" i="2"/>
  <c r="U12" i="2"/>
  <c r="S12" i="2"/>
  <c r="R12" i="2"/>
  <c r="P12" i="2"/>
  <c r="I12" i="7" s="1"/>
  <c r="CB12" i="7" s="1"/>
  <c r="N12" i="2"/>
  <c r="L12" i="2"/>
  <c r="K12" i="2"/>
  <c r="J12" i="2"/>
  <c r="BI11" i="2"/>
  <c r="BF11" i="2"/>
  <c r="BE11" i="2"/>
  <c r="BD11" i="2"/>
  <c r="BC11" i="2"/>
  <c r="BB11" i="2"/>
  <c r="BA11" i="2"/>
  <c r="AZ11" i="2"/>
  <c r="AY11" i="2"/>
  <c r="AX11" i="2"/>
  <c r="AW11" i="2"/>
  <c r="AV11" i="2"/>
  <c r="AQ11" i="2"/>
  <c r="AD11" i="2"/>
  <c r="W11" i="2"/>
  <c r="U11" i="2"/>
  <c r="S11" i="2"/>
  <c r="R11" i="2"/>
  <c r="P11" i="2"/>
  <c r="I11" i="7" s="1"/>
  <c r="CI11" i="7" s="1"/>
  <c r="N11" i="2"/>
  <c r="L11" i="2"/>
  <c r="K11" i="2"/>
  <c r="J11" i="2"/>
  <c r="BI10" i="2"/>
  <c r="BF10" i="2"/>
  <c r="BE10" i="2"/>
  <c r="BD10" i="2"/>
  <c r="BC10" i="2"/>
  <c r="BB10" i="2"/>
  <c r="BA10" i="2"/>
  <c r="AZ10" i="2"/>
  <c r="AY10" i="2"/>
  <c r="AX10" i="2"/>
  <c r="AW10" i="2"/>
  <c r="AV10" i="2"/>
  <c r="AQ10" i="2"/>
  <c r="AD10" i="2"/>
  <c r="W10" i="2"/>
  <c r="U10" i="2"/>
  <c r="S10" i="2"/>
  <c r="R10" i="2"/>
  <c r="P10" i="2"/>
  <c r="I10" i="7" s="1"/>
  <c r="CC10" i="7" s="1"/>
  <c r="N10" i="2"/>
  <c r="L10" i="2"/>
  <c r="K10" i="2"/>
  <c r="J10" i="2"/>
  <c r="AQ9" i="2"/>
  <c r="AD9" i="2"/>
  <c r="W9" i="2"/>
  <c r="U9" i="2"/>
  <c r="S9" i="2"/>
  <c r="R9" i="2"/>
  <c r="P9" i="2"/>
  <c r="I9" i="7" s="1"/>
  <c r="CK9" i="7" s="1"/>
  <c r="N9" i="2"/>
  <c r="L9" i="2"/>
  <c r="K9" i="2"/>
  <c r="J9" i="2"/>
  <c r="AQ21" i="2"/>
  <c r="AN21" i="2"/>
  <c r="AM21" i="2"/>
  <c r="W21" i="2"/>
  <c r="U21" i="2"/>
  <c r="S21" i="2"/>
  <c r="R21" i="2"/>
  <c r="N21" i="2"/>
  <c r="L21" i="2"/>
  <c r="K21" i="2"/>
  <c r="J21" i="2"/>
  <c r="AL21" i="2" s="1"/>
  <c r="T7" i="9" s="1"/>
  <c r="AQ8" i="2"/>
  <c r="AN8" i="2"/>
  <c r="AM8" i="2"/>
  <c r="W8" i="2"/>
  <c r="U8" i="2"/>
  <c r="S8" i="2"/>
  <c r="R8" i="2"/>
  <c r="N8" i="2"/>
  <c r="L8" i="2"/>
  <c r="K8" i="2"/>
  <c r="J8" i="2"/>
  <c r="AG8" i="2" s="1"/>
  <c r="AQ7" i="2"/>
  <c r="AN7" i="2"/>
  <c r="AM7" i="2"/>
  <c r="AI7" i="2"/>
  <c r="Q5" i="9" s="1"/>
  <c r="AH7" i="2"/>
  <c r="W7" i="2"/>
  <c r="U7" i="2"/>
  <c r="S7" i="2"/>
  <c r="R7" i="2"/>
  <c r="N7" i="2"/>
  <c r="L7" i="2"/>
  <c r="K7" i="2"/>
  <c r="J7" i="2"/>
  <c r="AL7" i="2" s="1"/>
  <c r="T5" i="9" s="1"/>
  <c r="AQ6" i="2"/>
  <c r="AN6" i="2"/>
  <c r="AM6" i="2"/>
  <c r="AL6" i="2"/>
  <c r="T4" i="9" s="1"/>
  <c r="W6" i="2"/>
  <c r="U6" i="2"/>
  <c r="S6" i="2"/>
  <c r="R6" i="2"/>
  <c r="N6" i="2"/>
  <c r="L6" i="2"/>
  <c r="K6" i="2"/>
  <c r="J6" i="2"/>
  <c r="AG6" i="2" s="1"/>
  <c r="AQ5" i="2"/>
  <c r="W5" i="2"/>
  <c r="U5" i="2"/>
  <c r="S5" i="2"/>
  <c r="R5" i="2"/>
  <c r="P5" i="2"/>
  <c r="AN5" i="2" s="1"/>
  <c r="N5" i="2"/>
  <c r="L5" i="2"/>
  <c r="K5" i="2"/>
  <c r="J5" i="2"/>
  <c r="AQ4" i="2"/>
  <c r="W4" i="2"/>
  <c r="U4" i="2"/>
  <c r="S4" i="2"/>
  <c r="R4" i="2"/>
  <c r="P4" i="2"/>
  <c r="I3" i="7" s="1"/>
  <c r="N4" i="2"/>
  <c r="L4" i="2"/>
  <c r="K4" i="2"/>
  <c r="J4" i="2"/>
  <c r="AC2" i="2"/>
  <c r="AB2" i="2"/>
  <c r="AA2" i="2"/>
  <c r="Z2" i="2"/>
  <c r="Y2" i="2"/>
  <c r="X2" i="2"/>
  <c r="V2" i="2"/>
  <c r="T2" i="2"/>
  <c r="Q2" i="2"/>
  <c r="M2" i="2"/>
  <c r="I2" i="2"/>
  <c r="D1" i="2"/>
  <c r="F23" i="2" s="1"/>
  <c r="L51" i="1"/>
  <c r="O48" i="1"/>
  <c r="B33" i="1"/>
  <c r="O28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W25" i="2" l="1"/>
  <c r="C6" i="3"/>
  <c r="C13" i="3"/>
  <c r="I23" i="10"/>
  <c r="H23" i="10"/>
  <c r="J23" i="10" s="1"/>
  <c r="P5" i="10"/>
  <c r="W5" i="10" s="1"/>
  <c r="F14" i="10"/>
  <c r="I14" i="10"/>
  <c r="I25" i="10"/>
  <c r="H25" i="10"/>
  <c r="J25" i="10" s="1"/>
  <c r="P11" i="10"/>
  <c r="W11" i="10" s="1"/>
  <c r="W14" i="10" s="1"/>
  <c r="F10" i="10"/>
  <c r="Q11" i="10" s="1"/>
  <c r="X11" i="10" s="1"/>
  <c r="J18" i="10"/>
  <c r="AD22" i="12"/>
  <c r="AT20" i="12" s="1"/>
  <c r="AS20" i="12"/>
  <c r="H3" i="10"/>
  <c r="R3" i="10"/>
  <c r="P10" i="10"/>
  <c r="W10" i="10" s="1"/>
  <c r="F13" i="10"/>
  <c r="J13" i="10" s="1"/>
  <c r="P3" i="10"/>
  <c r="W3" i="10" s="1"/>
  <c r="F3" i="10"/>
  <c r="Q3" i="10" s="1"/>
  <c r="J24" i="10"/>
  <c r="AW18" i="2"/>
  <c r="AH24" i="2"/>
  <c r="CB6" i="7"/>
  <c r="X7" i="7"/>
  <c r="Z7" i="7" s="1"/>
  <c r="AQ7" i="7"/>
  <c r="AS7" i="7" s="1"/>
  <c r="BT7" i="7"/>
  <c r="BS8" i="7"/>
  <c r="CD23" i="7"/>
  <c r="R10" i="10"/>
  <c r="Y10" i="10" s="1"/>
  <c r="AA7" i="7"/>
  <c r="AC7" i="7" s="1"/>
  <c r="BY8" i="7"/>
  <c r="CE3" i="7"/>
  <c r="CG3" i="7" s="1"/>
  <c r="AK6" i="2"/>
  <c r="S4" i="9" s="1"/>
  <c r="AJ7" i="2"/>
  <c r="R5" i="9" s="1"/>
  <c r="BB18" i="2"/>
  <c r="AK23" i="2"/>
  <c r="S21" i="9" s="1"/>
  <c r="AJ24" i="2"/>
  <c r="R22" i="9" s="1"/>
  <c r="C14" i="3"/>
  <c r="G5" i="7"/>
  <c r="BB5" i="7"/>
  <c r="BD5" i="7" s="1"/>
  <c r="BU5" i="7"/>
  <c r="BE6" i="7"/>
  <c r="CD7" i="7"/>
  <c r="AD7" i="7"/>
  <c r="AY7" i="7"/>
  <c r="CA7" i="7"/>
  <c r="AE8" i="7"/>
  <c r="AG8" i="7" s="1"/>
  <c r="BZ8" i="7"/>
  <c r="G17" i="7"/>
  <c r="BV22" i="7"/>
  <c r="D23" i="9"/>
  <c r="D25" i="9"/>
  <c r="F7" i="10"/>
  <c r="Q4" i="10" s="1"/>
  <c r="X4" i="10" s="1"/>
  <c r="AN9" i="12"/>
  <c r="AN23" i="12" s="1"/>
  <c r="Y13" i="19"/>
  <c r="X13" i="20"/>
  <c r="AT20" i="7"/>
  <c r="AL23" i="2"/>
  <c r="T21" i="9" s="1"/>
  <c r="AK24" i="2"/>
  <c r="S22" i="9" s="1"/>
  <c r="M12" i="4"/>
  <c r="AB12" i="4" s="1"/>
  <c r="M29" i="4" s="1"/>
  <c r="D28" i="4"/>
  <c r="S28" i="4" s="1"/>
  <c r="D30" i="4"/>
  <c r="S30" i="4" s="1"/>
  <c r="H5" i="7"/>
  <c r="AE7" i="7"/>
  <c r="AG7" i="7" s="1"/>
  <c r="AM8" i="7"/>
  <c r="S54" i="7"/>
  <c r="CF22" i="7"/>
  <c r="R23" i="7"/>
  <c r="AP23" i="7" s="1"/>
  <c r="I6" i="10"/>
  <c r="I26" i="10"/>
  <c r="AG21" i="2"/>
  <c r="AH21" i="2"/>
  <c r="AI14" i="2"/>
  <c r="Q13" i="9" s="1"/>
  <c r="AL24" i="2"/>
  <c r="T22" i="9" s="1"/>
  <c r="S12" i="5"/>
  <c r="AF7" i="7"/>
  <c r="BJ7" i="7"/>
  <c r="AD8" i="7"/>
  <c r="G16" i="7"/>
  <c r="AT22" i="7"/>
  <c r="S22" i="7"/>
  <c r="CH22" i="7"/>
  <c r="CJ22" i="7" s="1"/>
  <c r="S23" i="7"/>
  <c r="I7" i="10"/>
  <c r="I24" i="10"/>
  <c r="AA15" i="12"/>
  <c r="AT6" i="12" s="1"/>
  <c r="BZ7" i="7"/>
  <c r="U25" i="2"/>
  <c r="R2" i="2"/>
  <c r="AI21" i="2"/>
  <c r="Q7" i="9" s="1"/>
  <c r="AL13" i="2"/>
  <c r="T12" i="9" s="1"/>
  <c r="AM6" i="7"/>
  <c r="AI7" i="7"/>
  <c r="BK7" i="7"/>
  <c r="BJ8" i="7"/>
  <c r="T22" i="7"/>
  <c r="D24" i="9"/>
  <c r="J7" i="10"/>
  <c r="Y13" i="18"/>
  <c r="AK8" i="2"/>
  <c r="S6" i="9" s="1"/>
  <c r="AJ21" i="2"/>
  <c r="R7" i="9" s="1"/>
  <c r="N2" i="5"/>
  <c r="AN6" i="7"/>
  <c r="AM7" i="7"/>
  <c r="N4" i="15" s="1"/>
  <c r="BL7" i="7"/>
  <c r="BK8" i="7"/>
  <c r="V22" i="7"/>
  <c r="BF23" i="7"/>
  <c r="R7" i="10"/>
  <c r="Y7" i="10" s="1"/>
  <c r="I10" i="10"/>
  <c r="I18" i="10"/>
  <c r="S2" i="2"/>
  <c r="AG7" i="2"/>
  <c r="AL8" i="2"/>
  <c r="T6" i="9" s="1"/>
  <c r="S12" i="4"/>
  <c r="V7" i="7"/>
  <c r="AN7" i="7"/>
  <c r="O4" i="15" s="1"/>
  <c r="BO7" i="7"/>
  <c r="V20" i="7"/>
  <c r="BB22" i="7"/>
  <c r="BD22" i="7" s="1"/>
  <c r="BG23" i="7"/>
  <c r="J10" i="10"/>
  <c r="C19" i="3"/>
  <c r="E21" i="3"/>
  <c r="CK5" i="7"/>
  <c r="C22" i="3"/>
  <c r="BV5" i="7"/>
  <c r="C20" i="3"/>
  <c r="C18" i="3"/>
  <c r="R5" i="7"/>
  <c r="U6" i="15" s="1"/>
  <c r="BH5" i="7"/>
  <c r="AV5" i="7"/>
  <c r="C25" i="3"/>
  <c r="BN5" i="7"/>
  <c r="AJ16" i="2"/>
  <c r="R15" i="9" s="1"/>
  <c r="AH18" i="2"/>
  <c r="AM16" i="2"/>
  <c r="AL17" i="2"/>
  <c r="T16" i="9" s="1"/>
  <c r="F4" i="2"/>
  <c r="D4" i="20" s="1"/>
  <c r="AL9" i="2"/>
  <c r="T8" i="9" s="1"/>
  <c r="AJ9" i="2"/>
  <c r="R8" i="9" s="1"/>
  <c r="AI10" i="2"/>
  <c r="Q9" i="9" s="1"/>
  <c r="AH5" i="2"/>
  <c r="AK10" i="2"/>
  <c r="S9" i="9" s="1"/>
  <c r="AG5" i="2"/>
  <c r="F9" i="2"/>
  <c r="C9" i="2" s="1"/>
  <c r="AM4" i="2"/>
  <c r="F6" i="2"/>
  <c r="C6" i="2" s="1"/>
  <c r="AI11" i="2"/>
  <c r="Q10" i="9" s="1"/>
  <c r="AN13" i="2"/>
  <c r="F16" i="2"/>
  <c r="C16" i="2" s="1"/>
  <c r="AJ20" i="2"/>
  <c r="R19" i="9" s="1"/>
  <c r="AE109" i="3"/>
  <c r="AN4" i="2"/>
  <c r="AK9" i="2"/>
  <c r="S8" i="9" s="1"/>
  <c r="AJ11" i="2"/>
  <c r="R10" i="9" s="1"/>
  <c r="AH12" i="2"/>
  <c r="AF13" i="2"/>
  <c r="AK17" i="2"/>
  <c r="S16" i="9" s="1"/>
  <c r="AG18" i="2"/>
  <c r="AK20" i="2"/>
  <c r="S19" i="9" s="1"/>
  <c r="C28" i="3"/>
  <c r="AK11" i="2"/>
  <c r="S10" i="9" s="1"/>
  <c r="AH13" i="2"/>
  <c r="AG14" i="2"/>
  <c r="AF19" i="2"/>
  <c r="AL20" i="2"/>
  <c r="T19" i="9" s="1"/>
  <c r="C23" i="3"/>
  <c r="AQ3" i="7"/>
  <c r="AS3" i="7" s="1"/>
  <c r="CH11" i="7"/>
  <c r="CJ11" i="7" s="1"/>
  <c r="BU20" i="7"/>
  <c r="F10" i="2"/>
  <c r="D6" i="16" s="1"/>
  <c r="AM20" i="2"/>
  <c r="C26" i="3"/>
  <c r="BX20" i="7"/>
  <c r="AK16" i="2"/>
  <c r="S15" i="9" s="1"/>
  <c r="AN20" i="2"/>
  <c r="AI22" i="2"/>
  <c r="Q20" i="9" s="1"/>
  <c r="C29" i="3"/>
  <c r="AN10" i="2"/>
  <c r="F11" i="2"/>
  <c r="C11" i="2" s="1"/>
  <c r="AL16" i="2"/>
  <c r="T15" i="9" s="1"/>
  <c r="C24" i="3"/>
  <c r="A9" i="11"/>
  <c r="A10" i="11" s="1"/>
  <c r="AI4" i="2"/>
  <c r="Q2" i="9" s="1"/>
  <c r="F8" i="2"/>
  <c r="C8" i="2" s="1"/>
  <c r="AL11" i="2"/>
  <c r="T10" i="9" s="1"/>
  <c r="F17" i="2"/>
  <c r="C17" i="2" s="1"/>
  <c r="AD9" i="7"/>
  <c r="AL4" i="2"/>
  <c r="T2" i="9" s="1"/>
  <c r="AI9" i="2"/>
  <c r="Q8" i="9" s="1"/>
  <c r="AN16" i="2"/>
  <c r="AI17" i="2"/>
  <c r="Q16" i="9" s="1"/>
  <c r="AF20" i="2"/>
  <c r="AD19" i="4"/>
  <c r="D23" i="18"/>
  <c r="D23" i="19"/>
  <c r="D22" i="16"/>
  <c r="D22" i="17"/>
  <c r="E24" i="12"/>
  <c r="Q24" i="12" s="1"/>
  <c r="D23" i="20"/>
  <c r="C22" i="7"/>
  <c r="C56" i="7" s="1"/>
  <c r="C23" i="2"/>
  <c r="AJ12" i="2"/>
  <c r="R11" i="9" s="1"/>
  <c r="AZ19" i="2"/>
  <c r="N27" i="4"/>
  <c r="N30" i="4"/>
  <c r="N26" i="5"/>
  <c r="O26" i="5" s="1"/>
  <c r="BH3" i="7"/>
  <c r="G4" i="15"/>
  <c r="K41" i="7"/>
  <c r="BH7" i="7"/>
  <c r="CE7" i="7"/>
  <c r="CG7" i="7" s="1"/>
  <c r="BW7" i="7"/>
  <c r="BM7" i="7"/>
  <c r="BR7" i="7"/>
  <c r="AL7" i="7"/>
  <c r="CB7" i="7"/>
  <c r="AE9" i="7"/>
  <c r="AG9" i="7" s="1"/>
  <c r="BA12" i="7"/>
  <c r="Q54" i="7"/>
  <c r="AJ13" i="2"/>
  <c r="R12" i="9" s="1"/>
  <c r="AC2" i="4"/>
  <c r="AC2" i="5"/>
  <c r="N27" i="5"/>
  <c r="O27" i="5" s="1"/>
  <c r="AD10" i="5"/>
  <c r="N28" i="5"/>
  <c r="O28" i="5" s="1"/>
  <c r="AD11" i="5"/>
  <c r="AD19" i="5"/>
  <c r="E32" i="6"/>
  <c r="E5" i="6"/>
  <c r="E11" i="6"/>
  <c r="H19" i="6"/>
  <c r="BN3" i="7"/>
  <c r="J42" i="7"/>
  <c r="BG8" i="7"/>
  <c r="CD8" i="7"/>
  <c r="BV8" i="7"/>
  <c r="AH8" i="7"/>
  <c r="CK8" i="7"/>
  <c r="BL8" i="7"/>
  <c r="BQ8" i="7"/>
  <c r="AT8" i="7"/>
  <c r="CA8" i="7"/>
  <c r="AK8" i="7"/>
  <c r="BE9" i="7"/>
  <c r="AP10" i="7"/>
  <c r="BB12" i="7"/>
  <c r="BD12" i="7" s="1"/>
  <c r="D8" i="15"/>
  <c r="E9" i="14"/>
  <c r="H47" i="7"/>
  <c r="Z11" i="6"/>
  <c r="Z3" i="6"/>
  <c r="AH14" i="2"/>
  <c r="I21" i="7"/>
  <c r="AG22" i="2"/>
  <c r="AN22" i="2"/>
  <c r="AF22" i="2"/>
  <c r="AK22" i="2"/>
  <c r="S20" i="9" s="1"/>
  <c r="D6" i="18"/>
  <c r="AG4" i="2"/>
  <c r="AJ14" i="2"/>
  <c r="R13" i="9" s="1"/>
  <c r="AH4" i="2"/>
  <c r="AK5" i="2"/>
  <c r="S3" i="9" s="1"/>
  <c r="AK7" i="2"/>
  <c r="S5" i="9" s="1"/>
  <c r="AK21" i="2"/>
  <c r="S7" i="9" s="1"/>
  <c r="K10" i="19"/>
  <c r="K12" i="16"/>
  <c r="K10" i="20"/>
  <c r="K12" i="17"/>
  <c r="K10" i="18"/>
  <c r="O22" i="12"/>
  <c r="Y22" i="12" s="1"/>
  <c r="AF22" i="12" s="1"/>
  <c r="AR20" i="12" s="1"/>
  <c r="P8" i="9"/>
  <c r="Z2" i="9" s="1"/>
  <c r="Q9" i="7"/>
  <c r="AM9" i="2"/>
  <c r="AG10" i="2"/>
  <c r="K12" i="19"/>
  <c r="K12" i="20"/>
  <c r="K10" i="17"/>
  <c r="K12" i="18"/>
  <c r="Z12" i="18" s="1"/>
  <c r="K10" i="16"/>
  <c r="P10" i="9"/>
  <c r="Z4" i="9" s="1"/>
  <c r="O20" i="12"/>
  <c r="Y20" i="12" s="1"/>
  <c r="AF20" i="12" s="1"/>
  <c r="AR13" i="12" s="1"/>
  <c r="AR27" i="12" s="1"/>
  <c r="Q11" i="7"/>
  <c r="M9" i="5"/>
  <c r="AB9" i="5" s="1"/>
  <c r="M26" i="5" s="1"/>
  <c r="AM11" i="2"/>
  <c r="F12" i="2"/>
  <c r="AL12" i="2"/>
  <c r="T11" i="9" s="1"/>
  <c r="AK13" i="2"/>
  <c r="S12" i="9" s="1"/>
  <c r="AL14" i="2"/>
  <c r="T13" i="9" s="1"/>
  <c r="N14" i="9"/>
  <c r="X7" i="9" s="1"/>
  <c r="C14" i="9"/>
  <c r="B14" i="9"/>
  <c r="AI15" i="2"/>
  <c r="Q14" i="9" s="1"/>
  <c r="B15" i="9"/>
  <c r="N15" i="9"/>
  <c r="X11" i="9" s="1"/>
  <c r="C15" i="9"/>
  <c r="AI16" i="2"/>
  <c r="Q15" i="9" s="1"/>
  <c r="N51" i="7"/>
  <c r="W17" i="7"/>
  <c r="V17" i="7"/>
  <c r="U17" i="7"/>
  <c r="I18" i="7"/>
  <c r="BI18" i="7" s="1"/>
  <c r="AN18" i="2"/>
  <c r="AF18" i="2"/>
  <c r="AM18" i="2"/>
  <c r="AL18" i="2"/>
  <c r="T17" i="9" s="1"/>
  <c r="AJ18" i="2"/>
  <c r="R17" i="9" s="1"/>
  <c r="BC18" i="2"/>
  <c r="I19" i="7"/>
  <c r="AP19" i="7" s="1"/>
  <c r="AK19" i="2"/>
  <c r="S18" i="9" s="1"/>
  <c r="AG19" i="2"/>
  <c r="AL19" i="2"/>
  <c r="T18" i="9" s="1"/>
  <c r="BC19" i="2"/>
  <c r="AD4" i="4"/>
  <c r="AD2" i="4" s="1"/>
  <c r="AD4" i="5"/>
  <c r="AD2" i="5" s="1"/>
  <c r="U24" i="5"/>
  <c r="U21" i="5"/>
  <c r="U23" i="5"/>
  <c r="AG25" i="5"/>
  <c r="E31" i="6"/>
  <c r="I4" i="7"/>
  <c r="BQ4" i="7" s="1"/>
  <c r="N38" i="7"/>
  <c r="V4" i="7"/>
  <c r="W7" i="7"/>
  <c r="H7" i="7"/>
  <c r="G7" i="7"/>
  <c r="K42" i="7"/>
  <c r="BH8" i="7"/>
  <c r="BW8" i="7"/>
  <c r="BM8" i="7"/>
  <c r="CB8" i="7"/>
  <c r="CH8" i="7"/>
  <c r="CJ8" i="7" s="1"/>
  <c r="AL8" i="7"/>
  <c r="BO9" i="7"/>
  <c r="BF9" i="7"/>
  <c r="G44" i="7"/>
  <c r="CH10" i="7"/>
  <c r="CJ10" i="7" s="1"/>
  <c r="F9" i="14"/>
  <c r="E8" i="15"/>
  <c r="I47" i="7"/>
  <c r="I15" i="7"/>
  <c r="BG15" i="7" s="1"/>
  <c r="AK15" i="2"/>
  <c r="S14" i="9" s="1"/>
  <c r="B5" i="15"/>
  <c r="C4" i="14"/>
  <c r="A40" i="7"/>
  <c r="I9" i="15"/>
  <c r="J7" i="14"/>
  <c r="M46" i="7"/>
  <c r="S12" i="7"/>
  <c r="CI12" i="7"/>
  <c r="AV12" i="7"/>
  <c r="CH12" i="7"/>
  <c r="CJ12" i="7" s="1"/>
  <c r="T12" i="7"/>
  <c r="BC12" i="7"/>
  <c r="K20" i="18"/>
  <c r="K20" i="19"/>
  <c r="Y20" i="19" s="1"/>
  <c r="K17" i="17"/>
  <c r="K17" i="16"/>
  <c r="K20" i="20"/>
  <c r="X20" i="20" s="1"/>
  <c r="O21" i="12"/>
  <c r="Y21" i="12" s="1"/>
  <c r="AF21" i="12" s="1"/>
  <c r="P18" i="9"/>
  <c r="Z8" i="9" s="1"/>
  <c r="Q19" i="7"/>
  <c r="M14" i="5"/>
  <c r="AB14" i="5" s="1"/>
  <c r="M31" i="5" s="1"/>
  <c r="AJ19" i="2"/>
  <c r="R18" i="9" s="1"/>
  <c r="AJ22" i="2"/>
  <c r="R20" i="9" s="1"/>
  <c r="K11" i="19"/>
  <c r="Y11" i="19" s="1"/>
  <c r="K6" i="17"/>
  <c r="K6" i="16"/>
  <c r="K11" i="18"/>
  <c r="K11" i="20"/>
  <c r="X11" i="20" s="1"/>
  <c r="P9" i="9"/>
  <c r="O6" i="12"/>
  <c r="Y6" i="12" s="1"/>
  <c r="AF6" i="12" s="1"/>
  <c r="Q10" i="7"/>
  <c r="AI13" i="2"/>
  <c r="Q12" i="9" s="1"/>
  <c r="C4" i="9"/>
  <c r="D4" i="9" s="1"/>
  <c r="N4" i="9"/>
  <c r="B4" i="9"/>
  <c r="AF6" i="2"/>
  <c r="C6" i="9"/>
  <c r="D6" i="9" s="1"/>
  <c r="N6" i="9"/>
  <c r="B6" i="9"/>
  <c r="AF8" i="2"/>
  <c r="AF10" i="2"/>
  <c r="F37" i="7"/>
  <c r="CK3" i="7"/>
  <c r="BM3" i="7"/>
  <c r="CB3" i="7"/>
  <c r="CI3" i="7"/>
  <c r="CA3" i="7"/>
  <c r="BC3" i="7"/>
  <c r="CD3" i="7"/>
  <c r="BG3" i="7"/>
  <c r="BW3" i="7"/>
  <c r="AH3" i="7"/>
  <c r="BV3" i="7"/>
  <c r="F5" i="2"/>
  <c r="AL5" i="2"/>
  <c r="T3" i="9" s="1"/>
  <c r="AH6" i="2"/>
  <c r="AH8" i="2"/>
  <c r="AF9" i="2"/>
  <c r="AN9" i="2"/>
  <c r="F44" i="7"/>
  <c r="BF10" i="7"/>
  <c r="CK10" i="7"/>
  <c r="CA10" i="7"/>
  <c r="BQ10" i="7"/>
  <c r="BE10" i="7"/>
  <c r="AK10" i="7"/>
  <c r="Y10" i="7"/>
  <c r="BZ10" i="7"/>
  <c r="BN10" i="7"/>
  <c r="AT10" i="7"/>
  <c r="AH10" i="7"/>
  <c r="X10" i="7"/>
  <c r="Z10" i="7" s="1"/>
  <c r="BY10" i="7"/>
  <c r="BV10" i="7"/>
  <c r="BL10" i="7"/>
  <c r="BB10" i="7"/>
  <c r="BD10" i="7" s="1"/>
  <c r="AF10" i="7"/>
  <c r="BT10" i="7"/>
  <c r="BS10" i="7"/>
  <c r="AN10" i="7"/>
  <c r="BK10" i="7"/>
  <c r="AM10" i="7"/>
  <c r="BJ10" i="7"/>
  <c r="AE10" i="7"/>
  <c r="AG10" i="7" s="1"/>
  <c r="BI10" i="7"/>
  <c r="AD10" i="7"/>
  <c r="CD10" i="7"/>
  <c r="BA10" i="7"/>
  <c r="AH10" i="2"/>
  <c r="AF11" i="2"/>
  <c r="AN11" i="2"/>
  <c r="N11" i="9"/>
  <c r="X5" i="9" s="1"/>
  <c r="C11" i="9"/>
  <c r="B11" i="9"/>
  <c r="AM12" i="2"/>
  <c r="F13" i="2"/>
  <c r="B13" i="9"/>
  <c r="C13" i="9"/>
  <c r="N13" i="9"/>
  <c r="AN14" i="2"/>
  <c r="K13" i="17"/>
  <c r="K16" i="18"/>
  <c r="Z16" i="18" s="1"/>
  <c r="K16" i="20"/>
  <c r="K16" i="19"/>
  <c r="K13" i="16"/>
  <c r="O13" i="12"/>
  <c r="Y13" i="12" s="1"/>
  <c r="AF13" i="12" s="1"/>
  <c r="P14" i="9"/>
  <c r="Z7" i="9" s="1"/>
  <c r="Q15" i="7"/>
  <c r="M10" i="5"/>
  <c r="AB10" i="5" s="1"/>
  <c r="M27" i="5" s="1"/>
  <c r="K17" i="19"/>
  <c r="Y17" i="19" s="1"/>
  <c r="K17" i="20"/>
  <c r="K14" i="16"/>
  <c r="K14" i="17"/>
  <c r="O14" i="12"/>
  <c r="Y14" i="12" s="1"/>
  <c r="AF14" i="12" s="1"/>
  <c r="K17" i="18"/>
  <c r="Y17" i="18" s="1"/>
  <c r="P15" i="9"/>
  <c r="Z11" i="9" s="1"/>
  <c r="M11" i="5"/>
  <c r="AB11" i="5" s="1"/>
  <c r="M28" i="5" s="1"/>
  <c r="Q16" i="7"/>
  <c r="V16" i="7" s="1"/>
  <c r="M11" i="4"/>
  <c r="AB11" i="4" s="1"/>
  <c r="M28" i="4" s="1"/>
  <c r="AK18" i="2"/>
  <c r="S17" i="9" s="1"/>
  <c r="BD18" i="2"/>
  <c r="AM19" i="2"/>
  <c r="C20" i="9"/>
  <c r="N20" i="9"/>
  <c r="X9" i="9" s="1"/>
  <c r="B20" i="9"/>
  <c r="O11" i="4"/>
  <c r="O2" i="4" s="1"/>
  <c r="N2" i="4"/>
  <c r="AD11" i="4"/>
  <c r="O28" i="4" s="1"/>
  <c r="CF3" i="7"/>
  <c r="E42" i="7"/>
  <c r="S42" i="7" s="1"/>
  <c r="V8" i="7"/>
  <c r="G6" i="14"/>
  <c r="F3" i="15"/>
  <c r="J43" i="7"/>
  <c r="BQ9" i="7"/>
  <c r="BA9" i="7"/>
  <c r="AT9" i="7"/>
  <c r="AK9" i="7"/>
  <c r="BV9" i="7"/>
  <c r="BL9" i="7"/>
  <c r="AH9" i="7"/>
  <c r="CD9" i="7"/>
  <c r="CA9" i="7"/>
  <c r="BG9" i="7"/>
  <c r="CC9" i="7"/>
  <c r="BF19" i="2"/>
  <c r="AX19" i="2"/>
  <c r="BE19" i="2"/>
  <c r="AW19" i="2"/>
  <c r="BD19" i="2"/>
  <c r="AV19" i="2"/>
  <c r="BB19" i="2"/>
  <c r="D49" i="7"/>
  <c r="N2" i="9"/>
  <c r="C2" i="9"/>
  <c r="B2" i="9"/>
  <c r="F46" i="7"/>
  <c r="AK46" i="7" s="1"/>
  <c r="X12" i="7"/>
  <c r="Z12" i="7" s="1"/>
  <c r="BR12" i="7"/>
  <c r="CA12" i="7"/>
  <c r="AR12" i="7"/>
  <c r="BZ12" i="7"/>
  <c r="AN12" i="7"/>
  <c r="BQ12" i="7"/>
  <c r="AM12" i="7"/>
  <c r="BP12" i="7"/>
  <c r="AD12" i="7"/>
  <c r="BL12" i="7"/>
  <c r="AB12" i="7"/>
  <c r="AY19" i="2"/>
  <c r="Q13" i="6"/>
  <c r="P14" i="6"/>
  <c r="O25" i="6"/>
  <c r="P18" i="6"/>
  <c r="AF4" i="2"/>
  <c r="AI5" i="2"/>
  <c r="Q3" i="9" s="1"/>
  <c r="AM10" i="2"/>
  <c r="I13" i="7"/>
  <c r="AF13" i="7" s="1"/>
  <c r="AG13" i="2"/>
  <c r="AL15" i="2"/>
  <c r="T14" i="9" s="1"/>
  <c r="AJ5" i="2"/>
  <c r="R3" i="9" s="1"/>
  <c r="C10" i="9"/>
  <c r="B10" i="9"/>
  <c r="N10" i="9"/>
  <c r="X4" i="9" s="1"/>
  <c r="AK12" i="2"/>
  <c r="S11" i="9" s="1"/>
  <c r="U2" i="2"/>
  <c r="AD2" i="2"/>
  <c r="AJ4" i="2"/>
  <c r="R2" i="9" s="1"/>
  <c r="N3" i="9"/>
  <c r="C3" i="9"/>
  <c r="B3" i="9"/>
  <c r="AM5" i="2"/>
  <c r="AI6" i="2"/>
  <c r="Q4" i="9" s="1"/>
  <c r="F7" i="2"/>
  <c r="AI8" i="2"/>
  <c r="Q6" i="9" s="1"/>
  <c r="F21" i="2"/>
  <c r="AG9" i="2"/>
  <c r="AG11" i="2"/>
  <c r="AF12" i="2"/>
  <c r="AN12" i="2"/>
  <c r="C12" i="9"/>
  <c r="N12" i="9"/>
  <c r="X3" i="9" s="1"/>
  <c r="B12" i="9"/>
  <c r="AF15" i="2"/>
  <c r="AF16" i="2"/>
  <c r="AN19" i="2"/>
  <c r="N19" i="4"/>
  <c r="O21" i="4"/>
  <c r="O19" i="4" s="1"/>
  <c r="Q24" i="6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S3" i="7"/>
  <c r="BA8" i="7"/>
  <c r="H6" i="14"/>
  <c r="G3" i="15"/>
  <c r="BH9" i="7"/>
  <c r="K43" i="7"/>
  <c r="BW9" i="7"/>
  <c r="BM9" i="7"/>
  <c r="CH9" i="7"/>
  <c r="CJ9" i="7" s="1"/>
  <c r="CB9" i="7"/>
  <c r="BR9" i="7"/>
  <c r="AL9" i="7"/>
  <c r="AX10" i="7"/>
  <c r="AZ10" i="7" s="1"/>
  <c r="C10" i="7"/>
  <c r="C44" i="7" s="1"/>
  <c r="AH15" i="2"/>
  <c r="N18" i="9"/>
  <c r="X8" i="9" s="1"/>
  <c r="C18" i="9"/>
  <c r="B18" i="9"/>
  <c r="AI19" i="2"/>
  <c r="Q18" i="9" s="1"/>
  <c r="F3" i="14"/>
  <c r="E2" i="15"/>
  <c r="I37" i="7"/>
  <c r="BU3" i="7"/>
  <c r="BE3" i="7"/>
  <c r="BT3" i="7"/>
  <c r="AN3" i="7"/>
  <c r="AF3" i="7"/>
  <c r="BK3" i="7"/>
  <c r="AM3" i="7"/>
  <c r="AE3" i="7"/>
  <c r="AG3" i="7" s="1"/>
  <c r="BZ3" i="7"/>
  <c r="BJ3" i="7"/>
  <c r="BY3" i="7"/>
  <c r="U3" i="7"/>
  <c r="AJ3" i="7"/>
  <c r="BF3" i="7"/>
  <c r="AI3" i="7"/>
  <c r="AY3" i="7"/>
  <c r="AB3" i="7"/>
  <c r="BP3" i="7"/>
  <c r="AX3" i="7"/>
  <c r="AZ3" i="7" s="1"/>
  <c r="AA3" i="7"/>
  <c r="AC3" i="7" s="1"/>
  <c r="BO3" i="7"/>
  <c r="AR3" i="7"/>
  <c r="C9" i="9"/>
  <c r="B9" i="9"/>
  <c r="N9" i="9"/>
  <c r="AL10" i="2"/>
  <c r="T9" i="9" s="1"/>
  <c r="AI12" i="2"/>
  <c r="Q11" i="9" s="1"/>
  <c r="I14" i="7"/>
  <c r="AP14" i="7" s="1"/>
  <c r="AK14" i="2"/>
  <c r="S13" i="9" s="1"/>
  <c r="AJ15" i="2"/>
  <c r="R14" i="9" s="1"/>
  <c r="E49" i="7"/>
  <c r="C8" i="9"/>
  <c r="B8" i="9"/>
  <c r="N8" i="9"/>
  <c r="X2" i="9" s="1"/>
  <c r="AM15" i="2"/>
  <c r="D17" i="19"/>
  <c r="D17" i="20"/>
  <c r="D14" i="16"/>
  <c r="D14" i="17"/>
  <c r="E14" i="12"/>
  <c r="Q14" i="12" s="1"/>
  <c r="C16" i="7"/>
  <c r="C50" i="7" s="1"/>
  <c r="C16" i="9"/>
  <c r="N16" i="9"/>
  <c r="B16" i="9"/>
  <c r="AH19" i="2"/>
  <c r="BA19" i="2"/>
  <c r="F19" i="2"/>
  <c r="F15" i="2"/>
  <c r="F24" i="2"/>
  <c r="F18" i="2"/>
  <c r="F14" i="2"/>
  <c r="F22" i="2"/>
  <c r="AK4" i="2"/>
  <c r="S2" i="9" s="1"/>
  <c r="AF5" i="2"/>
  <c r="AJ6" i="2"/>
  <c r="R4" i="9" s="1"/>
  <c r="N5" i="9"/>
  <c r="C5" i="9"/>
  <c r="D5" i="9" s="1"/>
  <c r="B5" i="9"/>
  <c r="AF7" i="2"/>
  <c r="AJ8" i="2"/>
  <c r="R6" i="9" s="1"/>
  <c r="N7" i="9"/>
  <c r="B7" i="9"/>
  <c r="C7" i="9"/>
  <c r="AF21" i="2"/>
  <c r="F43" i="7"/>
  <c r="U43" i="7" s="1"/>
  <c r="CI9" i="7"/>
  <c r="BC9" i="7"/>
  <c r="BB9" i="7"/>
  <c r="BD9" i="7" s="1"/>
  <c r="Y9" i="7"/>
  <c r="AV9" i="7"/>
  <c r="BS9" i="7"/>
  <c r="AU9" i="7"/>
  <c r="AW9" i="7" s="1"/>
  <c r="AN9" i="7"/>
  <c r="AH9" i="2"/>
  <c r="AJ10" i="2"/>
  <c r="R9" i="9" s="1"/>
  <c r="BS11" i="7"/>
  <c r="BE11" i="7"/>
  <c r="AF11" i="7"/>
  <c r="CC11" i="7"/>
  <c r="AE11" i="7"/>
  <c r="AG11" i="7" s="1"/>
  <c r="CB11" i="7"/>
  <c r="AN11" i="7"/>
  <c r="BZ11" i="7"/>
  <c r="AM11" i="7"/>
  <c r="Y11" i="7"/>
  <c r="F45" i="7"/>
  <c r="BY11" i="7"/>
  <c r="AU11" i="7"/>
  <c r="AW11" i="7" s="1"/>
  <c r="BU11" i="7"/>
  <c r="O11" i="15" s="1"/>
  <c r="AL11" i="7"/>
  <c r="BT11" i="7"/>
  <c r="P11" i="15" s="1"/>
  <c r="BK11" i="7"/>
  <c r="BJ11" i="7"/>
  <c r="X11" i="7"/>
  <c r="Z11" i="7" s="1"/>
  <c r="BI11" i="7"/>
  <c r="AH11" i="2"/>
  <c r="AG12" i="2"/>
  <c r="K14" i="19"/>
  <c r="Y14" i="19" s="1"/>
  <c r="K14" i="20"/>
  <c r="X14" i="20" s="1"/>
  <c r="K19" i="16"/>
  <c r="K14" i="18"/>
  <c r="K19" i="17"/>
  <c r="O19" i="12"/>
  <c r="Y19" i="12" s="1"/>
  <c r="AF19" i="12" s="1"/>
  <c r="AQ5" i="12" s="1"/>
  <c r="P12" i="9"/>
  <c r="Z3" i="9" s="1"/>
  <c r="Q13" i="7"/>
  <c r="U13" i="7" s="1"/>
  <c r="AM13" i="2"/>
  <c r="AF14" i="2"/>
  <c r="AG15" i="2"/>
  <c r="AG17" i="2"/>
  <c r="AN17" i="2"/>
  <c r="AF17" i="2"/>
  <c r="I17" i="7"/>
  <c r="AO17" i="7" s="1"/>
  <c r="AJ17" i="2"/>
  <c r="R16" i="9" s="1"/>
  <c r="BA18" i="2"/>
  <c r="AZ18" i="2"/>
  <c r="BI18" i="2"/>
  <c r="AY18" i="2"/>
  <c r="BF18" i="2"/>
  <c r="F20" i="2"/>
  <c r="AH22" i="2"/>
  <c r="D32" i="4"/>
  <c r="S32" i="4" s="1"/>
  <c r="S15" i="4"/>
  <c r="AC19" i="4"/>
  <c r="R19" i="6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D2" i="15"/>
  <c r="E3" i="14"/>
  <c r="H37" i="7"/>
  <c r="Y3" i="7"/>
  <c r="X3" i="7"/>
  <c r="V2" i="15"/>
  <c r="W3" i="14"/>
  <c r="F40" i="7"/>
  <c r="BZ6" i="7"/>
  <c r="BJ6" i="7"/>
  <c r="AT6" i="7"/>
  <c r="AD6" i="7"/>
  <c r="Q5" i="15" s="1"/>
  <c r="CD6" i="7"/>
  <c r="BV6" i="7"/>
  <c r="AH6" i="7"/>
  <c r="CA6" i="7"/>
  <c r="BU6" i="7"/>
  <c r="BC6" i="7"/>
  <c r="AF6" i="7"/>
  <c r="BT6" i="7"/>
  <c r="AE6" i="7"/>
  <c r="AG6" i="7" s="1"/>
  <c r="CK6" i="7"/>
  <c r="BS6" i="7"/>
  <c r="AV6" i="7"/>
  <c r="Y6" i="7"/>
  <c r="BM6" i="7"/>
  <c r="X6" i="7"/>
  <c r="Z6" i="7" s="1"/>
  <c r="CI6" i="7"/>
  <c r="BL6" i="7"/>
  <c r="J5" i="15"/>
  <c r="K4" i="14"/>
  <c r="N40" i="7"/>
  <c r="AK40" i="7" s="1"/>
  <c r="AO6" i="7"/>
  <c r="CC6" i="7"/>
  <c r="BU10" i="7"/>
  <c r="AV11" i="7"/>
  <c r="E25" i="6"/>
  <c r="O14" i="6"/>
  <c r="M8" i="6"/>
  <c r="N14" i="6"/>
  <c r="N26" i="6" s="1"/>
  <c r="O5" i="6" s="1"/>
  <c r="O26" i="6" s="1"/>
  <c r="P5" i="6" s="1"/>
  <c r="Q23" i="6"/>
  <c r="R23" i="6" s="1"/>
  <c r="S23" i="6" s="1"/>
  <c r="T23" i="6" s="1"/>
  <c r="U23" i="6" s="1"/>
  <c r="V23" i="6" s="1"/>
  <c r="W23" i="6" s="1"/>
  <c r="X23" i="6" s="1"/>
  <c r="Y23" i="6" s="1"/>
  <c r="Z23" i="6" s="1"/>
  <c r="AA23" i="6" s="1"/>
  <c r="M23" i="6"/>
  <c r="C2" i="15"/>
  <c r="D37" i="7"/>
  <c r="H4" i="15"/>
  <c r="L41" i="7"/>
  <c r="BI7" i="7"/>
  <c r="CF7" i="7"/>
  <c r="BX7" i="7"/>
  <c r="BN7" i="7"/>
  <c r="R7" i="7"/>
  <c r="CC7" i="7"/>
  <c r="AU7" i="7"/>
  <c r="AW7" i="7" s="1"/>
  <c r="L42" i="7"/>
  <c r="CF8" i="7"/>
  <c r="BX8" i="7"/>
  <c r="BN8" i="7"/>
  <c r="R8" i="7"/>
  <c r="AP8" i="7" s="1"/>
  <c r="CC8" i="7"/>
  <c r="BB8" i="7"/>
  <c r="BD8" i="7" s="1"/>
  <c r="C3" i="15"/>
  <c r="D6" i="14"/>
  <c r="D43" i="7"/>
  <c r="CE9" i="7"/>
  <c r="CG9" i="7" s="1"/>
  <c r="B10" i="15"/>
  <c r="C11" i="14"/>
  <c r="A44" i="7"/>
  <c r="F8" i="15"/>
  <c r="G9" i="14"/>
  <c r="J47" i="7"/>
  <c r="B19" i="9"/>
  <c r="C19" i="9"/>
  <c r="N19" i="9"/>
  <c r="X10" i="9" s="1"/>
  <c r="B21" i="9"/>
  <c r="N21" i="9"/>
  <c r="C21" i="9"/>
  <c r="AF23" i="2"/>
  <c r="AD12" i="5"/>
  <c r="Q14" i="6"/>
  <c r="M21" i="6"/>
  <c r="H38" i="7"/>
  <c r="I6" i="15"/>
  <c r="M39" i="7"/>
  <c r="CI5" i="7"/>
  <c r="BC5" i="7"/>
  <c r="CH5" i="7"/>
  <c r="CJ5" i="7" s="1"/>
  <c r="T5" i="7"/>
  <c r="V6" i="15" s="1"/>
  <c r="S5" i="7"/>
  <c r="CE6" i="7"/>
  <c r="CG6" i="7" s="1"/>
  <c r="BO6" i="7"/>
  <c r="I4" i="15"/>
  <c r="M41" i="7"/>
  <c r="T7" i="7"/>
  <c r="V4" i="15" s="1"/>
  <c r="S7" i="7"/>
  <c r="AV7" i="7"/>
  <c r="CH7" i="7"/>
  <c r="CJ7" i="7" s="1"/>
  <c r="G8" i="7"/>
  <c r="BC8" i="7"/>
  <c r="AM9" i="7"/>
  <c r="M50" i="7"/>
  <c r="T16" i="7"/>
  <c r="N32" i="5"/>
  <c r="O32" i="5" s="1"/>
  <c r="I3" i="14"/>
  <c r="H2" i="15"/>
  <c r="L37" i="7"/>
  <c r="CC3" i="7"/>
  <c r="BS3" i="7"/>
  <c r="AU3" i="7"/>
  <c r="AW3" i="7" s="1"/>
  <c r="BB3" i="7"/>
  <c r="BD3" i="7" s="1"/>
  <c r="BI3" i="7"/>
  <c r="F39" i="7"/>
  <c r="CA5" i="7"/>
  <c r="BK5" i="7"/>
  <c r="AM5" i="7"/>
  <c r="P6" i="15" s="1"/>
  <c r="AE5" i="7"/>
  <c r="AG5" i="7" s="1"/>
  <c r="BZ5" i="7"/>
  <c r="BJ5" i="7"/>
  <c r="BY5" i="7"/>
  <c r="CE5" i="7"/>
  <c r="CG5" i="7" s="1"/>
  <c r="BW5" i="7"/>
  <c r="BO5" i="7"/>
  <c r="AY5" i="7"/>
  <c r="AQ5" i="7"/>
  <c r="AS5" i="7" s="1"/>
  <c r="AI5" i="7"/>
  <c r="AA5" i="7"/>
  <c r="AC5" i="7" s="1"/>
  <c r="J6" i="15"/>
  <c r="N39" i="7"/>
  <c r="AK39" i="7" s="1"/>
  <c r="U5" i="7"/>
  <c r="W6" i="15" s="1"/>
  <c r="AH5" i="7"/>
  <c r="BE5" i="7"/>
  <c r="CB5" i="7"/>
  <c r="BG6" i="7"/>
  <c r="CI7" i="7"/>
  <c r="BI8" i="7"/>
  <c r="H9" i="7"/>
  <c r="W9" i="7"/>
  <c r="G9" i="7"/>
  <c r="BM10" i="7"/>
  <c r="BO11" i="7"/>
  <c r="AF12" i="7"/>
  <c r="H14" i="7"/>
  <c r="G14" i="7"/>
  <c r="V5" i="14"/>
  <c r="I16" i="7"/>
  <c r="CH16" i="7" s="1"/>
  <c r="CJ16" i="7" s="1"/>
  <c r="G53" i="7"/>
  <c r="AJ20" i="7"/>
  <c r="BQ21" i="7"/>
  <c r="I56" i="7"/>
  <c r="BU22" i="7"/>
  <c r="BE22" i="7"/>
  <c r="BT22" i="7"/>
  <c r="AN22" i="7"/>
  <c r="AF22" i="7"/>
  <c r="BK22" i="7"/>
  <c r="AM22" i="7"/>
  <c r="AE22" i="7"/>
  <c r="AG22" i="7" s="1"/>
  <c r="BY22" i="7"/>
  <c r="U22" i="7"/>
  <c r="BO22" i="7"/>
  <c r="AY22" i="7"/>
  <c r="AI22" i="7"/>
  <c r="AX22" i="7"/>
  <c r="AZ22" i="7" s="1"/>
  <c r="R22" i="7"/>
  <c r="AP22" i="7" s="1"/>
  <c r="BZ22" i="7"/>
  <c r="BJ22" i="7"/>
  <c r="AR22" i="7"/>
  <c r="AB22" i="7"/>
  <c r="AQ22" i="7"/>
  <c r="AS22" i="7" s="1"/>
  <c r="AA22" i="7"/>
  <c r="AC22" i="7" s="1"/>
  <c r="AJ22" i="7"/>
  <c r="AG16" i="2"/>
  <c r="K18" i="20"/>
  <c r="X18" i="20" s="1"/>
  <c r="K18" i="18"/>
  <c r="Y18" i="18" s="1"/>
  <c r="K18" i="19"/>
  <c r="K15" i="16"/>
  <c r="O15" i="12"/>
  <c r="Y15" i="12" s="1"/>
  <c r="AF15" i="12" s="1"/>
  <c r="AQ6" i="12" s="1"/>
  <c r="K15" i="17"/>
  <c r="P16" i="9"/>
  <c r="AM17" i="2"/>
  <c r="AG20" i="2"/>
  <c r="K22" i="20"/>
  <c r="K22" i="18"/>
  <c r="K22" i="19"/>
  <c r="O23" i="12"/>
  <c r="Y23" i="12" s="1"/>
  <c r="AF23" i="12" s="1"/>
  <c r="K21" i="16"/>
  <c r="K21" i="17"/>
  <c r="P20" i="9"/>
  <c r="Z9" i="9" s="1"/>
  <c r="Q21" i="7"/>
  <c r="AM22" i="2"/>
  <c r="AH23" i="2"/>
  <c r="M12" i="5"/>
  <c r="AB12" i="5" s="1"/>
  <c r="M29" i="5" s="1"/>
  <c r="N25" i="5"/>
  <c r="D27" i="5"/>
  <c r="S27" i="5" s="1"/>
  <c r="U7" i="6"/>
  <c r="CH3" i="7"/>
  <c r="CJ3" i="7" s="1"/>
  <c r="B6" i="15"/>
  <c r="A39" i="7"/>
  <c r="AN5" i="7"/>
  <c r="O6" i="15" s="1"/>
  <c r="BF5" i="7"/>
  <c r="CC5" i="7"/>
  <c r="BH6" i="7"/>
  <c r="BB7" i="7"/>
  <c r="BD7" i="7" s="1"/>
  <c r="F11" i="15"/>
  <c r="J45" i="7"/>
  <c r="BG11" i="7"/>
  <c r="CD11" i="7"/>
  <c r="BV11" i="7"/>
  <c r="Q11" i="15" s="1"/>
  <c r="AH11" i="7"/>
  <c r="AT11" i="7"/>
  <c r="BQ11" i="7"/>
  <c r="AD11" i="7"/>
  <c r="CA11" i="7"/>
  <c r="CK11" i="7"/>
  <c r="BL11" i="7"/>
  <c r="BA11" i="7"/>
  <c r="AK11" i="7"/>
  <c r="AT12" i="7"/>
  <c r="G48" i="7"/>
  <c r="AK20" i="7"/>
  <c r="E55" i="7"/>
  <c r="W21" i="7"/>
  <c r="B17" i="9"/>
  <c r="N17" i="9"/>
  <c r="X6" i="9" s="1"/>
  <c r="C17" i="9"/>
  <c r="AH20" i="2"/>
  <c r="AI23" i="2"/>
  <c r="Q21" i="9" s="1"/>
  <c r="S9" i="5"/>
  <c r="Q16" i="6"/>
  <c r="BX3" i="7"/>
  <c r="S38" i="7"/>
  <c r="AO5" i="7"/>
  <c r="Q6" i="15" s="1"/>
  <c r="BL5" i="7"/>
  <c r="CD5" i="7"/>
  <c r="I4" i="14"/>
  <c r="H5" i="15"/>
  <c r="L40" i="7"/>
  <c r="BB6" i="7"/>
  <c r="BD6" i="7" s="1"/>
  <c r="BI6" i="7"/>
  <c r="CF6" i="7"/>
  <c r="BX6" i="7"/>
  <c r="BN6" i="7"/>
  <c r="R6" i="7"/>
  <c r="BC7" i="7"/>
  <c r="BS7" i="7"/>
  <c r="U42" i="7"/>
  <c r="T42" i="7"/>
  <c r="V42" i="7" s="1"/>
  <c r="X9" i="7"/>
  <c r="Z9" i="7" s="1"/>
  <c r="CI10" i="7"/>
  <c r="BH12" i="7"/>
  <c r="E5" i="14"/>
  <c r="H48" i="7"/>
  <c r="BO15" i="7"/>
  <c r="H51" i="7"/>
  <c r="L55" i="7"/>
  <c r="BN21" i="7"/>
  <c r="R21" i="7"/>
  <c r="AP21" i="7" s="1"/>
  <c r="CC21" i="7"/>
  <c r="BB21" i="7"/>
  <c r="BD21" i="7" s="1"/>
  <c r="BS21" i="7"/>
  <c r="CF21" i="7"/>
  <c r="BX21" i="7"/>
  <c r="BI21" i="7"/>
  <c r="K20" i="17"/>
  <c r="K15" i="20"/>
  <c r="X15" i="20" s="1"/>
  <c r="K15" i="19"/>
  <c r="K15" i="18"/>
  <c r="Z15" i="18" s="1"/>
  <c r="K20" i="16"/>
  <c r="O17" i="12"/>
  <c r="Y17" i="12" s="1"/>
  <c r="AF17" i="12" s="1"/>
  <c r="P13" i="9"/>
  <c r="Q14" i="7"/>
  <c r="W14" i="7" s="1"/>
  <c r="AM14" i="2"/>
  <c r="F54" i="7"/>
  <c r="CE54" i="7" s="1"/>
  <c r="BN20" i="7"/>
  <c r="CF20" i="7"/>
  <c r="CC20" i="7"/>
  <c r="BB20" i="7"/>
  <c r="BD20" i="7" s="1"/>
  <c r="Y20" i="7"/>
  <c r="BI20" i="7"/>
  <c r="X20" i="7"/>
  <c r="Z20" i="7" s="1"/>
  <c r="BH20" i="7"/>
  <c r="CH20" i="7"/>
  <c r="CJ20" i="7" s="1"/>
  <c r="AV20" i="7"/>
  <c r="AI20" i="2"/>
  <c r="Q19" i="9" s="1"/>
  <c r="AJ23" i="2"/>
  <c r="R21" i="9" s="1"/>
  <c r="N22" i="9"/>
  <c r="C22" i="9"/>
  <c r="B22" i="9"/>
  <c r="AF24" i="2"/>
  <c r="S10" i="4"/>
  <c r="R3" i="7"/>
  <c r="AP3" i="7" s="1"/>
  <c r="W4" i="7"/>
  <c r="X5" i="7"/>
  <c r="Z5" i="7" s="1"/>
  <c r="AP5" i="7"/>
  <c r="T6" i="15" s="1"/>
  <c r="T13" i="15" s="1"/>
  <c r="T14" i="15" s="1"/>
  <c r="BM5" i="7"/>
  <c r="I5" i="15"/>
  <c r="J4" i="14"/>
  <c r="M40" i="7"/>
  <c r="CH6" i="7"/>
  <c r="CJ6" i="7" s="1"/>
  <c r="T6" i="7"/>
  <c r="S6" i="7"/>
  <c r="BK42" i="7"/>
  <c r="AU42" i="7"/>
  <c r="AM42" i="7"/>
  <c r="AO42" i="7" s="1"/>
  <c r="AE42" i="7"/>
  <c r="W42" i="7"/>
  <c r="Y42" i="7" s="1"/>
  <c r="BB42" i="7"/>
  <c r="AT42" i="7"/>
  <c r="AV42" i="7" s="1"/>
  <c r="BQ42" i="7"/>
  <c r="BG42" i="7"/>
  <c r="AA42" i="7"/>
  <c r="AC42" i="7" s="1"/>
  <c r="BP42" i="7"/>
  <c r="BF42" i="7"/>
  <c r="AJ42" i="7"/>
  <c r="AI42" i="7"/>
  <c r="X42" i="7"/>
  <c r="BA42" i="7"/>
  <c r="AB42" i="7"/>
  <c r="BV42" i="7"/>
  <c r="BU42" i="7"/>
  <c r="R42" i="7"/>
  <c r="BL42" i="7"/>
  <c r="W8" i="7"/>
  <c r="CI8" i="7"/>
  <c r="E3" i="15"/>
  <c r="F6" i="14"/>
  <c r="I43" i="7"/>
  <c r="BY9" i="7"/>
  <c r="BP9" i="7"/>
  <c r="AR9" i="7"/>
  <c r="AJ9" i="7"/>
  <c r="AB9" i="7"/>
  <c r="BZ9" i="7"/>
  <c r="AA9" i="7"/>
  <c r="AC9" i="7" s="1"/>
  <c r="AI9" i="7"/>
  <c r="AQ9" i="7"/>
  <c r="AS9" i="7" s="1"/>
  <c r="BU9" i="7"/>
  <c r="BK9" i="7"/>
  <c r="AY9" i="7"/>
  <c r="BT9" i="7"/>
  <c r="BJ9" i="7"/>
  <c r="AX9" i="7"/>
  <c r="AZ9" i="7" s="1"/>
  <c r="AF9" i="7"/>
  <c r="V12" i="7"/>
  <c r="W12" i="7" s="1"/>
  <c r="I7" i="14"/>
  <c r="H9" i="15"/>
  <c r="L46" i="7"/>
  <c r="BN12" i="7"/>
  <c r="R12" i="7"/>
  <c r="AP12" i="7" s="1"/>
  <c r="CC12" i="7"/>
  <c r="BX12" i="7"/>
  <c r="BI12" i="7"/>
  <c r="AU12" i="7"/>
  <c r="AW12" i="7" s="1"/>
  <c r="BS12" i="7"/>
  <c r="CF12" i="7"/>
  <c r="G8" i="14"/>
  <c r="J49" i="7"/>
  <c r="I12" i="14"/>
  <c r="BB18" i="7"/>
  <c r="BD18" i="7" s="1"/>
  <c r="L52" i="7"/>
  <c r="R18" i="7"/>
  <c r="CC18" i="7"/>
  <c r="B12" i="15"/>
  <c r="C13" i="14"/>
  <c r="A53" i="7"/>
  <c r="BT20" i="7"/>
  <c r="BF22" i="7"/>
  <c r="AF42" i="7"/>
  <c r="F2" i="15"/>
  <c r="G3" i="14"/>
  <c r="AK3" i="7"/>
  <c r="BA3" i="7"/>
  <c r="BQ3" i="7"/>
  <c r="R38" i="7"/>
  <c r="T4" i="7"/>
  <c r="D6" i="15"/>
  <c r="H39" i="7"/>
  <c r="AX6" i="7"/>
  <c r="AZ6" i="7" s="1"/>
  <c r="BF6" i="7"/>
  <c r="B4" i="15"/>
  <c r="A41" i="7"/>
  <c r="J4" i="15"/>
  <c r="N41" i="7"/>
  <c r="AK41" i="7" s="1"/>
  <c r="Y7" i="7"/>
  <c r="AO7" i="7"/>
  <c r="Q4" i="15" s="1"/>
  <c r="BE7" i="7"/>
  <c r="BU7" i="7"/>
  <c r="CK7" i="7"/>
  <c r="Q42" i="7"/>
  <c r="P42" i="7"/>
  <c r="X8" i="7"/>
  <c r="Z8" i="7" s="1"/>
  <c r="AF8" i="7"/>
  <c r="AN8" i="7"/>
  <c r="AV8" i="7"/>
  <c r="BT8" i="7"/>
  <c r="H3" i="15"/>
  <c r="I6" i="14"/>
  <c r="L43" i="7"/>
  <c r="BI9" i="7"/>
  <c r="CF9" i="7"/>
  <c r="BX9" i="7"/>
  <c r="CE10" i="7"/>
  <c r="CG10" i="7" s="1"/>
  <c r="BO10" i="7"/>
  <c r="G11" i="15"/>
  <c r="K45" i="7"/>
  <c r="BH11" i="7"/>
  <c r="BW11" i="7"/>
  <c r="T11" i="15" s="1"/>
  <c r="AE12" i="7"/>
  <c r="AG12" i="7" s="1"/>
  <c r="C8" i="15"/>
  <c r="D9" i="14"/>
  <c r="G8" i="15"/>
  <c r="H9" i="14"/>
  <c r="K47" i="7"/>
  <c r="F5" i="14"/>
  <c r="I48" i="7"/>
  <c r="R16" i="7"/>
  <c r="J12" i="14"/>
  <c r="M52" i="7"/>
  <c r="T18" i="7"/>
  <c r="W12" i="14" s="1"/>
  <c r="D56" i="7"/>
  <c r="CE22" i="7"/>
  <c r="CG22" i="7" s="1"/>
  <c r="K56" i="7"/>
  <c r="BM22" i="7"/>
  <c r="CB22" i="7"/>
  <c r="BH22" i="7"/>
  <c r="BW22" i="7"/>
  <c r="F57" i="7"/>
  <c r="AL57" i="7" s="1"/>
  <c r="CI23" i="7"/>
  <c r="BK23" i="7"/>
  <c r="BC23" i="7"/>
  <c r="AM23" i="7"/>
  <c r="AE23" i="7"/>
  <c r="AG23" i="7" s="1"/>
  <c r="BZ23" i="7"/>
  <c r="BJ23" i="7"/>
  <c r="BB23" i="7"/>
  <c r="BD23" i="7" s="1"/>
  <c r="AD23" i="7"/>
  <c r="BY23" i="7"/>
  <c r="BI23" i="7"/>
  <c r="BW23" i="7"/>
  <c r="BE23" i="7"/>
  <c r="AH23" i="7"/>
  <c r="BV23" i="7"/>
  <c r="AY23" i="7"/>
  <c r="BU23" i="7"/>
  <c r="AX23" i="7"/>
  <c r="AZ23" i="7" s="1"/>
  <c r="AA23" i="7"/>
  <c r="AC23" i="7" s="1"/>
  <c r="BO23" i="7"/>
  <c r="CK23" i="7"/>
  <c r="BN23" i="7"/>
  <c r="AQ23" i="7"/>
  <c r="AS23" i="7" s="1"/>
  <c r="N57" i="7"/>
  <c r="U23" i="7"/>
  <c r="BM23" i="7"/>
  <c r="L38" i="7"/>
  <c r="K40" i="7"/>
  <c r="U15" i="6"/>
  <c r="G2" i="15"/>
  <c r="H3" i="14"/>
  <c r="K37" i="7"/>
  <c r="V3" i="7"/>
  <c r="W3" i="7" s="1"/>
  <c r="AD3" i="7"/>
  <c r="AL3" i="7"/>
  <c r="AT3" i="7"/>
  <c r="BR3" i="7"/>
  <c r="U4" i="7"/>
  <c r="C6" i="15"/>
  <c r="D39" i="7"/>
  <c r="E6" i="15"/>
  <c r="I39" i="7"/>
  <c r="AB5" i="7"/>
  <c r="AJ5" i="7"/>
  <c r="AR5" i="7"/>
  <c r="BP5" i="7"/>
  <c r="BX5" i="7"/>
  <c r="CF5" i="7"/>
  <c r="E4" i="14"/>
  <c r="D5" i="15"/>
  <c r="H40" i="7"/>
  <c r="AA6" i="7"/>
  <c r="AI6" i="7"/>
  <c r="O4" i="14" s="1"/>
  <c r="AQ6" i="7"/>
  <c r="AS6" i="7" s="1"/>
  <c r="AY6" i="7"/>
  <c r="BW6" i="7"/>
  <c r="AH7" i="7"/>
  <c r="AX7" i="7"/>
  <c r="AZ7" i="7" s="1"/>
  <c r="BV7" i="7"/>
  <c r="AK42" i="7"/>
  <c r="Y8" i="7"/>
  <c r="AO8" i="7"/>
  <c r="BE8" i="7"/>
  <c r="BU8" i="7"/>
  <c r="J6" i="14"/>
  <c r="I3" i="15"/>
  <c r="M43" i="7"/>
  <c r="F10" i="15"/>
  <c r="G11" i="14"/>
  <c r="BG10" i="7"/>
  <c r="J44" i="7"/>
  <c r="W10" i="7"/>
  <c r="BC10" i="7"/>
  <c r="H11" i="15"/>
  <c r="L45" i="7"/>
  <c r="CF11" i="7"/>
  <c r="BX11" i="7"/>
  <c r="S11" i="15" s="1"/>
  <c r="BN11" i="7"/>
  <c r="R11" i="7"/>
  <c r="AP11" i="7" s="1"/>
  <c r="BB11" i="7"/>
  <c r="BD11" i="7" s="1"/>
  <c r="BM11" i="7"/>
  <c r="Y12" i="7"/>
  <c r="U12" i="7"/>
  <c r="H8" i="15"/>
  <c r="I9" i="14"/>
  <c r="L47" i="7"/>
  <c r="R13" i="7"/>
  <c r="G5" i="14"/>
  <c r="J48" i="7"/>
  <c r="K12" i="14"/>
  <c r="N52" i="7"/>
  <c r="V18" i="7"/>
  <c r="U18" i="7"/>
  <c r="X12" i="14" s="1"/>
  <c r="AL22" i="7"/>
  <c r="G57" i="7"/>
  <c r="CH23" i="7"/>
  <c r="CJ23" i="7" s="1"/>
  <c r="CC23" i="7"/>
  <c r="M38" i="7"/>
  <c r="D47" i="7"/>
  <c r="F23" i="9"/>
  <c r="E23" i="9"/>
  <c r="F6" i="15"/>
  <c r="J39" i="7"/>
  <c r="AK5" i="7"/>
  <c r="BA5" i="7"/>
  <c r="BI5" i="7"/>
  <c r="BQ5" i="7"/>
  <c r="C5" i="15"/>
  <c r="D40" i="7"/>
  <c r="CA40" i="7" s="1"/>
  <c r="CC40" i="7" s="1"/>
  <c r="E5" i="15"/>
  <c r="F4" i="14"/>
  <c r="I40" i="7"/>
  <c r="AB6" i="7"/>
  <c r="O5" i="15" s="1"/>
  <c r="AJ6" i="7"/>
  <c r="P4" i="14" s="1"/>
  <c r="AR6" i="7"/>
  <c r="BP6" i="7"/>
  <c r="AX8" i="7"/>
  <c r="AZ8" i="7" s="1"/>
  <c r="BF8" i="7"/>
  <c r="B3" i="15"/>
  <c r="C6" i="14"/>
  <c r="A43" i="7"/>
  <c r="H11" i="14"/>
  <c r="G10" i="15"/>
  <c r="K44" i="7"/>
  <c r="BH10" i="7"/>
  <c r="BW10" i="7"/>
  <c r="I11" i="15"/>
  <c r="M45" i="7"/>
  <c r="BC11" i="7"/>
  <c r="E9" i="15"/>
  <c r="F7" i="14"/>
  <c r="BO12" i="7"/>
  <c r="AY12" i="7"/>
  <c r="AQ12" i="7"/>
  <c r="AS12" i="7" s="1"/>
  <c r="AI12" i="7"/>
  <c r="AA12" i="7"/>
  <c r="AC12" i="7" s="1"/>
  <c r="BF12" i="7"/>
  <c r="AX12" i="7"/>
  <c r="AZ12" i="7" s="1"/>
  <c r="BU12" i="7"/>
  <c r="BE12" i="7"/>
  <c r="AJ12" i="7"/>
  <c r="BT12" i="7"/>
  <c r="H5" i="14"/>
  <c r="K48" i="7"/>
  <c r="C8" i="14"/>
  <c r="A49" i="7"/>
  <c r="BY16" i="7"/>
  <c r="I50" i="7"/>
  <c r="C12" i="14"/>
  <c r="A52" i="7"/>
  <c r="H19" i="7"/>
  <c r="W19" i="7"/>
  <c r="H12" i="15"/>
  <c r="I13" i="14"/>
  <c r="L53" i="7"/>
  <c r="I54" i="7"/>
  <c r="BO20" i="7"/>
  <c r="AY20" i="7"/>
  <c r="AQ20" i="7"/>
  <c r="AS20" i="7" s="1"/>
  <c r="AI20" i="7"/>
  <c r="AA20" i="7"/>
  <c r="AC20" i="7" s="1"/>
  <c r="BF20" i="7"/>
  <c r="AX20" i="7"/>
  <c r="AZ20" i="7" s="1"/>
  <c r="R20" i="7"/>
  <c r="AP20" i="7" s="1"/>
  <c r="BK20" i="7"/>
  <c r="AM20" i="7"/>
  <c r="AE20" i="7"/>
  <c r="AG20" i="7" s="1"/>
  <c r="BE20" i="7"/>
  <c r="AF20" i="7"/>
  <c r="AR20" i="7"/>
  <c r="BP20" i="7"/>
  <c r="BZ20" i="7"/>
  <c r="AN20" i="7"/>
  <c r="AB20" i="7"/>
  <c r="BY20" i="7"/>
  <c r="H57" i="7"/>
  <c r="X23" i="7"/>
  <c r="Z23" i="7" s="1"/>
  <c r="Y23" i="7"/>
  <c r="I2" i="15"/>
  <c r="J3" i="14"/>
  <c r="M37" i="7"/>
  <c r="AV3" i="7"/>
  <c r="BL3" i="7"/>
  <c r="G4" i="7"/>
  <c r="G6" i="15"/>
  <c r="K39" i="7"/>
  <c r="V5" i="7"/>
  <c r="AD5" i="7"/>
  <c r="AL5" i="7"/>
  <c r="AT5" i="7"/>
  <c r="BR5" i="7"/>
  <c r="F5" i="15"/>
  <c r="G4" i="14"/>
  <c r="J40" i="7"/>
  <c r="U6" i="7"/>
  <c r="AK6" i="7"/>
  <c r="R4" i="14" s="1"/>
  <c r="BA6" i="7"/>
  <c r="BQ6" i="7"/>
  <c r="BY6" i="7"/>
  <c r="C4" i="15"/>
  <c r="D41" i="7"/>
  <c r="E4" i="15"/>
  <c r="I41" i="7"/>
  <c r="AB7" i="7"/>
  <c r="AJ7" i="7"/>
  <c r="AR7" i="7"/>
  <c r="BP7" i="7"/>
  <c r="S8" i="7"/>
  <c r="AA8" i="7"/>
  <c r="AC8" i="7" s="1"/>
  <c r="AI8" i="7"/>
  <c r="AQ8" i="7"/>
  <c r="AS8" i="7" s="1"/>
  <c r="AY8" i="7"/>
  <c r="BO8" i="7"/>
  <c r="CE8" i="7"/>
  <c r="CG8" i="7" s="1"/>
  <c r="R9" i="7"/>
  <c r="G10" i="7"/>
  <c r="I11" i="14"/>
  <c r="H10" i="15"/>
  <c r="L44" i="7"/>
  <c r="CF10" i="7"/>
  <c r="BX10" i="7"/>
  <c r="AU10" i="7"/>
  <c r="AW10" i="7" s="1"/>
  <c r="BR11" i="7"/>
  <c r="D7" i="14"/>
  <c r="C9" i="15"/>
  <c r="D46" i="7"/>
  <c r="CE12" i="7"/>
  <c r="CG12" i="7" s="1"/>
  <c r="F9" i="15"/>
  <c r="G7" i="14"/>
  <c r="J46" i="7"/>
  <c r="BG12" i="7"/>
  <c r="CD12" i="7"/>
  <c r="BV12" i="7"/>
  <c r="AH12" i="7"/>
  <c r="CK12" i="7"/>
  <c r="AK12" i="7"/>
  <c r="BJ12" i="7"/>
  <c r="G13" i="7"/>
  <c r="E8" i="14"/>
  <c r="H49" i="7"/>
  <c r="W18" i="7"/>
  <c r="CI18" i="7"/>
  <c r="T12" i="14" s="1"/>
  <c r="G19" i="7"/>
  <c r="J54" i="7"/>
  <c r="BG20" i="7"/>
  <c r="CD20" i="7"/>
  <c r="BV20" i="7"/>
  <c r="AH20" i="7"/>
  <c r="CA20" i="7"/>
  <c r="BQ20" i="7"/>
  <c r="AD20" i="7"/>
  <c r="BA20" i="7"/>
  <c r="CK20" i="7"/>
  <c r="BL20" i="7"/>
  <c r="AI23" i="7"/>
  <c r="CE23" i="7"/>
  <c r="CG23" i="7" s="1"/>
  <c r="H41" i="7"/>
  <c r="B2" i="15"/>
  <c r="C3" i="14"/>
  <c r="A37" i="7"/>
  <c r="J2" i="15"/>
  <c r="K3" i="14"/>
  <c r="N37" i="7"/>
  <c r="AO3" i="7"/>
  <c r="H6" i="15"/>
  <c r="L39" i="7"/>
  <c r="AU5" i="7"/>
  <c r="AW5" i="7" s="1"/>
  <c r="BS5" i="7"/>
  <c r="G5" i="15"/>
  <c r="H4" i="14"/>
  <c r="AL6" i="7"/>
  <c r="S4" i="14" s="1"/>
  <c r="BR6" i="7"/>
  <c r="F4" i="15"/>
  <c r="J41" i="7"/>
  <c r="U7" i="7"/>
  <c r="W4" i="15" s="1"/>
  <c r="AK7" i="7"/>
  <c r="BA7" i="7"/>
  <c r="BQ7" i="7"/>
  <c r="BY7" i="7"/>
  <c r="T8" i="7"/>
  <c r="AB8" i="7"/>
  <c r="AJ8" i="7"/>
  <c r="AR8" i="7"/>
  <c r="BP8" i="7"/>
  <c r="E6" i="14"/>
  <c r="D3" i="15"/>
  <c r="S9" i="7"/>
  <c r="BN9" i="7"/>
  <c r="J11" i="14"/>
  <c r="I10" i="15"/>
  <c r="M44" i="7"/>
  <c r="T10" i="7"/>
  <c r="S10" i="7"/>
  <c r="AL10" i="7"/>
  <c r="AV10" i="7"/>
  <c r="BR10" i="7"/>
  <c r="CB10" i="7"/>
  <c r="B11" i="15"/>
  <c r="A45" i="7"/>
  <c r="S46" i="7"/>
  <c r="G9" i="15"/>
  <c r="H7" i="14"/>
  <c r="K46" i="7"/>
  <c r="BW12" i="7"/>
  <c r="BM12" i="7"/>
  <c r="AL12" i="7"/>
  <c r="BK12" i="7"/>
  <c r="BY12" i="7"/>
  <c r="F8" i="14"/>
  <c r="I49" i="7"/>
  <c r="AN15" i="7"/>
  <c r="M51" i="7"/>
  <c r="T17" i="7"/>
  <c r="BO18" i="7"/>
  <c r="D54" i="7"/>
  <c r="CE20" i="7"/>
  <c r="CG20" i="7" s="1"/>
  <c r="BJ20" i="7"/>
  <c r="U21" i="7"/>
  <c r="AO23" i="7"/>
  <c r="J37" i="7"/>
  <c r="I46" i="7"/>
  <c r="P9" i="10"/>
  <c r="W9" i="10" s="1"/>
  <c r="F15" i="10"/>
  <c r="Q9" i="10" s="1"/>
  <c r="X9" i="10" s="1"/>
  <c r="BW20" i="7"/>
  <c r="AL20" i="7"/>
  <c r="BG22" i="7"/>
  <c r="I15" i="10"/>
  <c r="R9" i="10"/>
  <c r="Y9" i="10" s="1"/>
  <c r="H15" i="10"/>
  <c r="F19" i="10"/>
  <c r="Q13" i="10" s="1"/>
  <c r="X13" i="10" s="1"/>
  <c r="P13" i="10"/>
  <c r="W13" i="10" s="1"/>
  <c r="AL13" i="12"/>
  <c r="AL28" i="12" s="1"/>
  <c r="AR10" i="12"/>
  <c r="AR24" i="12" s="1"/>
  <c r="AK13" i="12"/>
  <c r="AK28" i="12" s="1"/>
  <c r="AA19" i="12"/>
  <c r="AS19" i="12"/>
  <c r="AS5" i="12"/>
  <c r="D10" i="15"/>
  <c r="E11" i="14"/>
  <c r="AA10" i="7"/>
  <c r="AC10" i="7" s="1"/>
  <c r="AI10" i="7"/>
  <c r="AQ10" i="7"/>
  <c r="AS10" i="7" s="1"/>
  <c r="AY10" i="7"/>
  <c r="AX11" i="7"/>
  <c r="AZ11" i="7" s="1"/>
  <c r="BF11" i="7"/>
  <c r="B9" i="15"/>
  <c r="C7" i="14"/>
  <c r="A46" i="7"/>
  <c r="J9" i="15"/>
  <c r="K7" i="14"/>
  <c r="AO12" i="7"/>
  <c r="I8" i="15"/>
  <c r="J9" i="14"/>
  <c r="M47" i="7"/>
  <c r="I5" i="14"/>
  <c r="L48" i="7"/>
  <c r="AU14" i="7"/>
  <c r="AW14" i="7" s="1"/>
  <c r="H8" i="14"/>
  <c r="K49" i="7"/>
  <c r="R51" i="7"/>
  <c r="E12" i="14"/>
  <c r="H52" i="7"/>
  <c r="AQ18" i="7"/>
  <c r="AS18" i="7" s="1"/>
  <c r="D12" i="15"/>
  <c r="E13" i="14"/>
  <c r="H53" i="7"/>
  <c r="W20" i="7"/>
  <c r="G20" i="7"/>
  <c r="BS20" i="7"/>
  <c r="BM20" i="7"/>
  <c r="AJ21" i="7"/>
  <c r="BP21" i="7"/>
  <c r="H22" i="7"/>
  <c r="W22" i="7"/>
  <c r="G22" i="7"/>
  <c r="BX22" i="7"/>
  <c r="J50" i="7"/>
  <c r="J51" i="7"/>
  <c r="C10" i="15"/>
  <c r="D11" i="14"/>
  <c r="D44" i="7"/>
  <c r="E10" i="15"/>
  <c r="F11" i="14"/>
  <c r="AB10" i="7"/>
  <c r="AJ10" i="7"/>
  <c r="AR10" i="7"/>
  <c r="BP10" i="7"/>
  <c r="D11" i="15"/>
  <c r="H45" i="7"/>
  <c r="AA11" i="7"/>
  <c r="AC11" i="7" s="1"/>
  <c r="AI11" i="7"/>
  <c r="AQ11" i="7"/>
  <c r="AS11" i="7" s="1"/>
  <c r="AY11" i="7"/>
  <c r="CE11" i="7"/>
  <c r="CG11" i="7" s="1"/>
  <c r="C9" i="14"/>
  <c r="B8" i="15"/>
  <c r="A47" i="7"/>
  <c r="J5" i="14"/>
  <c r="M48" i="7"/>
  <c r="G15" i="7"/>
  <c r="I8" i="14"/>
  <c r="L49" i="7"/>
  <c r="S51" i="7"/>
  <c r="D12" i="14"/>
  <c r="D52" i="7"/>
  <c r="F12" i="14"/>
  <c r="I52" i="7"/>
  <c r="V19" i="7"/>
  <c r="S20" i="7"/>
  <c r="CI20" i="7"/>
  <c r="BC20" i="7"/>
  <c r="AO20" i="7"/>
  <c r="CB20" i="7"/>
  <c r="H55" i="7"/>
  <c r="Y21" i="7"/>
  <c r="X21" i="7"/>
  <c r="Z21" i="7" s="1"/>
  <c r="AK21" i="7"/>
  <c r="BA21" i="7"/>
  <c r="AD22" i="7"/>
  <c r="CA57" i="7"/>
  <c r="CC57" i="7" s="1"/>
  <c r="K51" i="7"/>
  <c r="K52" i="7"/>
  <c r="H9" i="10"/>
  <c r="J9" i="10" s="1"/>
  <c r="I9" i="10"/>
  <c r="E11" i="15"/>
  <c r="I45" i="7"/>
  <c r="AB11" i="7"/>
  <c r="AJ11" i="7"/>
  <c r="AR11" i="7"/>
  <c r="BP11" i="7"/>
  <c r="D9" i="15"/>
  <c r="E7" i="14"/>
  <c r="C5" i="14"/>
  <c r="A48" i="7"/>
  <c r="J8" i="14"/>
  <c r="M49" i="7"/>
  <c r="O50" i="7"/>
  <c r="S52" i="7"/>
  <c r="G12" i="14"/>
  <c r="J52" i="7"/>
  <c r="C12" i="15"/>
  <c r="D13" i="14"/>
  <c r="D53" i="7"/>
  <c r="G13" i="14"/>
  <c r="F12" i="15"/>
  <c r="I55" i="7"/>
  <c r="BF21" i="7"/>
  <c r="AX21" i="7"/>
  <c r="AZ21" i="7" s="1"/>
  <c r="BU21" i="7"/>
  <c r="BE21" i="7"/>
  <c r="BT21" i="7"/>
  <c r="AN21" i="7"/>
  <c r="AF21" i="7"/>
  <c r="BZ21" i="7"/>
  <c r="BJ21" i="7"/>
  <c r="AM21" i="7"/>
  <c r="G56" i="7"/>
  <c r="BL22" i="7"/>
  <c r="CI22" i="7"/>
  <c r="CA22" i="7"/>
  <c r="BC22" i="7"/>
  <c r="AH22" i="7"/>
  <c r="BN22" i="7"/>
  <c r="CD22" i="7"/>
  <c r="D45" i="7"/>
  <c r="L51" i="7"/>
  <c r="J53" i="7"/>
  <c r="X3" i="10"/>
  <c r="F5" i="10"/>
  <c r="Q6" i="10" s="1"/>
  <c r="X6" i="10" s="1"/>
  <c r="G12" i="15"/>
  <c r="H13" i="14"/>
  <c r="BR20" i="7"/>
  <c r="J55" i="7"/>
  <c r="CD21" i="7"/>
  <c r="BV21" i="7"/>
  <c r="AH21" i="7"/>
  <c r="CK21" i="7"/>
  <c r="BL21" i="7"/>
  <c r="AT21" i="7"/>
  <c r="AD21" i="7"/>
  <c r="BG21" i="7"/>
  <c r="H56" i="7"/>
  <c r="Y22" i="7"/>
  <c r="X22" i="7"/>
  <c r="Z22" i="7" s="1"/>
  <c r="K53" i="7"/>
  <c r="K54" i="7"/>
  <c r="I12" i="15"/>
  <c r="J13" i="14"/>
  <c r="M53" i="7"/>
  <c r="AU20" i="7"/>
  <c r="AW20" i="7" s="1"/>
  <c r="AL21" i="7"/>
  <c r="BR21" i="7"/>
  <c r="CH21" i="7"/>
  <c r="CJ21" i="7" s="1"/>
  <c r="AD56" i="7"/>
  <c r="CG56" i="7"/>
  <c r="AK22" i="7"/>
  <c r="BA22" i="7"/>
  <c r="BI22" i="7"/>
  <c r="BQ22" i="7"/>
  <c r="BP57" i="7"/>
  <c r="AJ57" i="7"/>
  <c r="AB57" i="7"/>
  <c r="BG57" i="7"/>
  <c r="AI57" i="7"/>
  <c r="AA57" i="7"/>
  <c r="AC57" i="7" s="1"/>
  <c r="BV57" i="7"/>
  <c r="BF57" i="7"/>
  <c r="R57" i="7"/>
  <c r="BU57" i="7"/>
  <c r="BL57" i="7"/>
  <c r="AN57" i="7"/>
  <c r="AF57" i="7"/>
  <c r="X57" i="7"/>
  <c r="BB57" i="7"/>
  <c r="AE57" i="7"/>
  <c r="BA57" i="7"/>
  <c r="AU57" i="7"/>
  <c r="BQ57" i="7"/>
  <c r="AT57" i="7"/>
  <c r="AV57" i="7" s="1"/>
  <c r="W57" i="7"/>
  <c r="Y57" i="7" s="1"/>
  <c r="T23" i="7"/>
  <c r="AB23" i="7"/>
  <c r="AJ23" i="7"/>
  <c r="AR23" i="7"/>
  <c r="BH23" i="7"/>
  <c r="BP23" i="7"/>
  <c r="BX23" i="7"/>
  <c r="CF23" i="7"/>
  <c r="P18" i="10"/>
  <c r="P19" i="10" s="1"/>
  <c r="P20" i="10" s="1"/>
  <c r="Y3" i="10"/>
  <c r="W18" i="10" s="1"/>
  <c r="W19" i="10" s="1"/>
  <c r="W20" i="10" s="1"/>
  <c r="H5" i="10"/>
  <c r="R6" i="10"/>
  <c r="Y6" i="10" s="1"/>
  <c r="I5" i="10"/>
  <c r="BH57" i="7"/>
  <c r="BW57" i="7"/>
  <c r="AP57" i="7"/>
  <c r="Z57" i="7"/>
  <c r="BM57" i="7"/>
  <c r="AW57" i="7"/>
  <c r="AG57" i="7"/>
  <c r="BZ57" i="7"/>
  <c r="BC57" i="7"/>
  <c r="AD57" i="7"/>
  <c r="BR57" i="7"/>
  <c r="AK23" i="7"/>
  <c r="BA23" i="7"/>
  <c r="BQ23" i="7"/>
  <c r="CG57" i="7"/>
  <c r="AV21" i="7"/>
  <c r="BE56" i="7"/>
  <c r="O56" i="7"/>
  <c r="BO56" i="7"/>
  <c r="AU22" i="7"/>
  <c r="AW22" i="7" s="1"/>
  <c r="BS22" i="7"/>
  <c r="BX57" i="7"/>
  <c r="BN57" i="7"/>
  <c r="AH57" i="7"/>
  <c r="BD57" i="7"/>
  <c r="BS57" i="7"/>
  <c r="V23" i="7"/>
  <c r="AL23" i="7"/>
  <c r="AT23" i="7"/>
  <c r="BR23" i="7"/>
  <c r="AR18" i="12"/>
  <c r="Q56" i="7"/>
  <c r="AV22" i="7"/>
  <c r="G23" i="7"/>
  <c r="BO57" i="7"/>
  <c r="AQ57" i="7"/>
  <c r="AS57" i="7" s="1"/>
  <c r="AX57" i="7"/>
  <c r="AZ57" i="7" s="1"/>
  <c r="BE57" i="7"/>
  <c r="CB57" i="7"/>
  <c r="BT57" i="7"/>
  <c r="BY57" i="7"/>
  <c r="W23" i="7"/>
  <c r="AU23" i="7"/>
  <c r="AW23" i="7" s="1"/>
  <c r="BS23" i="7"/>
  <c r="CA23" i="7"/>
  <c r="AM57" i="7"/>
  <c r="AO57" i="7" s="1"/>
  <c r="P12" i="10"/>
  <c r="W12" i="10" s="1"/>
  <c r="F20" i="10"/>
  <c r="Q12" i="10" s="1"/>
  <c r="X12" i="10" s="1"/>
  <c r="H22" i="10"/>
  <c r="J22" i="10" s="1"/>
  <c r="I22" i="10"/>
  <c r="F13" i="14"/>
  <c r="E12" i="15"/>
  <c r="I53" i="7"/>
  <c r="T19" i="7"/>
  <c r="AO22" i="7"/>
  <c r="CC22" i="7"/>
  <c r="CK22" i="7"/>
  <c r="AR57" i="7"/>
  <c r="CE57" i="7"/>
  <c r="AY57" i="7"/>
  <c r="CD57" i="7"/>
  <c r="CF57" i="7" s="1"/>
  <c r="Q57" i="7"/>
  <c r="P57" i="7"/>
  <c r="AF23" i="7"/>
  <c r="AN23" i="7"/>
  <c r="AV23" i="7"/>
  <c r="BL23" i="7"/>
  <c r="BT23" i="7"/>
  <c r="CB23" i="7"/>
  <c r="F25" i="9"/>
  <c r="E25" i="9"/>
  <c r="I17" i="10"/>
  <c r="H17" i="10"/>
  <c r="J17" i="10" s="1"/>
  <c r="R13" i="10"/>
  <c r="Y13" i="10" s="1"/>
  <c r="I19" i="10"/>
  <c r="H19" i="10"/>
  <c r="H4" i="10"/>
  <c r="J4" i="10" s="1"/>
  <c r="I4" i="10"/>
  <c r="H8" i="10"/>
  <c r="J8" i="10" s="1"/>
  <c r="I8" i="10"/>
  <c r="H12" i="10"/>
  <c r="I12" i="10"/>
  <c r="J16" i="10"/>
  <c r="AS7" i="12"/>
  <c r="AD8" i="12"/>
  <c r="AT7" i="12" s="1"/>
  <c r="AP13" i="12"/>
  <c r="AP27" i="12" s="1"/>
  <c r="AN13" i="12"/>
  <c r="AM24" i="12"/>
  <c r="AM16" i="12" s="1"/>
  <c r="AM2" i="12"/>
  <c r="H20" i="10"/>
  <c r="I20" i="10"/>
  <c r="R11" i="10"/>
  <c r="Y11" i="10" s="1"/>
  <c r="I16" i="10"/>
  <c r="AO21" i="12"/>
  <c r="AO7" i="12"/>
  <c r="AR9" i="12"/>
  <c r="AR23" i="12" s="1"/>
  <c r="AL11" i="12"/>
  <c r="AL26" i="12" s="1"/>
  <c r="AK11" i="12"/>
  <c r="AK26" i="12" s="1"/>
  <c r="AJ12" i="12"/>
  <c r="AJ27" i="12" s="1"/>
  <c r="AR11" i="12"/>
  <c r="AR25" i="12" s="1"/>
  <c r="AP10" i="12"/>
  <c r="AP24" i="12" s="1"/>
  <c r="AN10" i="12"/>
  <c r="F12" i="10"/>
  <c r="Q8" i="10" s="1"/>
  <c r="X8" i="10" s="1"/>
  <c r="I13" i="10"/>
  <c r="AR12" i="12"/>
  <c r="AR26" i="12" s="1"/>
  <c r="AL9" i="12"/>
  <c r="AQ7" i="12"/>
  <c r="AR14" i="12"/>
  <c r="AR28" i="12" s="1"/>
  <c r="AQ20" i="12"/>
  <c r="Y12" i="9"/>
  <c r="I3" i="10"/>
  <c r="F6" i="10"/>
  <c r="H21" i="10"/>
  <c r="J21" i="10" s="1"/>
  <c r="AP14" i="12"/>
  <c r="AP28" i="12" s="1"/>
  <c r="AN14" i="12"/>
  <c r="AJ25" i="12"/>
  <c r="AK10" i="12"/>
  <c r="AQ13" i="12"/>
  <c r="AQ27" i="12" s="1"/>
  <c r="AQ14" i="12"/>
  <c r="AQ28" i="12" s="1"/>
  <c r="Y12" i="19"/>
  <c r="X24" i="13"/>
  <c r="X18" i="13"/>
  <c r="X12" i="13"/>
  <c r="X6" i="13"/>
  <c r="X19" i="13"/>
  <c r="AO12" i="12"/>
  <c r="AO26" i="12" s="1"/>
  <c r="X13" i="13"/>
  <c r="AQ12" i="12"/>
  <c r="AQ26" i="12" s="1"/>
  <c r="AQ9" i="12"/>
  <c r="AQ23" i="12" s="1"/>
  <c r="AO11" i="12"/>
  <c r="AO25" i="12" s="1"/>
  <c r="AB25" i="13"/>
  <c r="AB13" i="13"/>
  <c r="AB7" i="13"/>
  <c r="AB6" i="13"/>
  <c r="AB24" i="13"/>
  <c r="AB18" i="13"/>
  <c r="Z20" i="18"/>
  <c r="AQ11" i="12"/>
  <c r="AQ25" i="12" s="1"/>
  <c r="AP20" i="12"/>
  <c r="AP16" i="12" s="1"/>
  <c r="AN20" i="12"/>
  <c r="AO20" i="12" s="1"/>
  <c r="X25" i="13"/>
  <c r="Y14" i="18"/>
  <c r="Z14" i="18"/>
  <c r="X16" i="18"/>
  <c r="AD15" i="13"/>
  <c r="AD9" i="13"/>
  <c r="AD27" i="13"/>
  <c r="Y11" i="18"/>
  <c r="Z11" i="18"/>
  <c r="Y16" i="19"/>
  <c r="U16" i="19"/>
  <c r="T16" i="19"/>
  <c r="W16" i="19"/>
  <c r="V16" i="19"/>
  <c r="S16" i="19"/>
  <c r="X16" i="19" s="1"/>
  <c r="R16" i="13"/>
  <c r="R10" i="13"/>
  <c r="R4" i="13"/>
  <c r="R22" i="13"/>
  <c r="V14" i="17"/>
  <c r="U14" i="17"/>
  <c r="T14" i="17"/>
  <c r="Y14" i="17" s="1"/>
  <c r="N14" i="17"/>
  <c r="M14" i="17"/>
  <c r="V13" i="16"/>
  <c r="U13" i="16"/>
  <c r="T13" i="16"/>
  <c r="Y13" i="16" s="1"/>
  <c r="N13" i="16"/>
  <c r="X18" i="18"/>
  <c r="Y18" i="19"/>
  <c r="S20" i="16"/>
  <c r="R20" i="16"/>
  <c r="Q20" i="16"/>
  <c r="P20" i="16"/>
  <c r="B13" i="21"/>
  <c r="B10" i="21" s="1"/>
  <c r="B32" i="21"/>
  <c r="AF3" i="13"/>
  <c r="AF21" i="13"/>
  <c r="N20" i="16"/>
  <c r="V18" i="17"/>
  <c r="U18" i="17"/>
  <c r="T18" i="17"/>
  <c r="Y18" i="17" s="1"/>
  <c r="N18" i="17"/>
  <c r="Z19" i="18"/>
  <c r="Y19" i="18"/>
  <c r="W20" i="18"/>
  <c r="V20" i="18"/>
  <c r="U20" i="18"/>
  <c r="T20" i="18"/>
  <c r="Z19" i="13"/>
  <c r="Y6" i="16"/>
  <c r="Y6" i="17"/>
  <c r="S11" i="17"/>
  <c r="R11" i="17"/>
  <c r="Q11" i="17"/>
  <c r="P11" i="17"/>
  <c r="S20" i="18"/>
  <c r="X20" i="18" s="1"/>
  <c r="Y15" i="19"/>
  <c r="Z25" i="13"/>
  <c r="Y11" i="16"/>
  <c r="Y18" i="16"/>
  <c r="Y10" i="17"/>
  <c r="Y17" i="17"/>
  <c r="Y20" i="17"/>
  <c r="Y20" i="18"/>
  <c r="X21" i="18"/>
  <c r="T4" i="13"/>
  <c r="T10" i="13"/>
  <c r="W17" i="18"/>
  <c r="V17" i="18"/>
  <c r="U17" i="18"/>
  <c r="T17" i="18"/>
  <c r="S17" i="18"/>
  <c r="Y21" i="18"/>
  <c r="Z21" i="18"/>
  <c r="V14" i="16"/>
  <c r="U14" i="16"/>
  <c r="T14" i="16"/>
  <c r="N14" i="16"/>
  <c r="Y12" i="18"/>
  <c r="M17" i="18"/>
  <c r="Z17" i="18" s="1"/>
  <c r="C22" i="21"/>
  <c r="C26" i="21" s="1"/>
  <c r="C17" i="21"/>
  <c r="C37" i="21" s="1"/>
  <c r="Y19" i="19"/>
  <c r="N15" i="16"/>
  <c r="S6" i="17"/>
  <c r="M15" i="17"/>
  <c r="M19" i="17"/>
  <c r="S20" i="17"/>
  <c r="W18" i="18"/>
  <c r="M19" i="18"/>
  <c r="X17" i="19"/>
  <c r="U18" i="19"/>
  <c r="T18" i="19"/>
  <c r="X18" i="19" s="1"/>
  <c r="X12" i="20"/>
  <c r="X17" i="20"/>
  <c r="C39" i="21"/>
  <c r="C24" i="21"/>
  <c r="C28" i="21" s="1"/>
  <c r="T15" i="16"/>
  <c r="N15" i="17"/>
  <c r="N19" i="17"/>
  <c r="S19" i="18"/>
  <c r="X19" i="18" s="1"/>
  <c r="U15" i="16"/>
  <c r="N17" i="16"/>
  <c r="T15" i="17"/>
  <c r="Y15" i="17" s="1"/>
  <c r="P19" i="17"/>
  <c r="Y19" i="17" s="1"/>
  <c r="T19" i="18"/>
  <c r="Y21" i="19"/>
  <c r="B31" i="21"/>
  <c r="C30" i="21"/>
  <c r="D30" i="21" s="1"/>
  <c r="B17" i="21"/>
  <c r="B39" i="21" s="1"/>
  <c r="C38" i="21"/>
  <c r="X19" i="19"/>
  <c r="U20" i="19"/>
  <c r="T20" i="19"/>
  <c r="X20" i="19" s="1"/>
  <c r="X16" i="20"/>
  <c r="X21" i="20"/>
  <c r="J8" i="21"/>
  <c r="B24" i="21"/>
  <c r="D16" i="21"/>
  <c r="C21" i="21"/>
  <c r="AJ19" i="7" l="1"/>
  <c r="S19" i="7"/>
  <c r="AR17" i="7"/>
  <c r="CF19" i="7"/>
  <c r="S12" i="15" s="1"/>
  <c r="CI15" i="7"/>
  <c r="BV19" i="7"/>
  <c r="X19" i="7"/>
  <c r="Z19" i="7" s="1"/>
  <c r="BW19" i="7"/>
  <c r="AL15" i="7"/>
  <c r="CH17" i="7"/>
  <c r="CJ17" i="7" s="1"/>
  <c r="AV19" i="7"/>
  <c r="AT15" i="7"/>
  <c r="AE44" i="7"/>
  <c r="D11" i="19"/>
  <c r="Y16" i="18"/>
  <c r="AR6" i="12"/>
  <c r="W16" i="10"/>
  <c r="W17" i="10" s="1"/>
  <c r="W21" i="10" s="1"/>
  <c r="BP19" i="7"/>
  <c r="Q10" i="10"/>
  <c r="X10" i="10" s="1"/>
  <c r="AN19" i="7"/>
  <c r="BH19" i="7"/>
  <c r="CE19" i="7"/>
  <c r="S13" i="14" s="1"/>
  <c r="U13" i="14" s="1"/>
  <c r="U16" i="7"/>
  <c r="F24" i="9"/>
  <c r="E24" i="9"/>
  <c r="AR19" i="7"/>
  <c r="AF19" i="7"/>
  <c r="AT19" i="7"/>
  <c r="BN19" i="7"/>
  <c r="CH19" i="7"/>
  <c r="CJ19" i="7" s="1"/>
  <c r="D7" i="9"/>
  <c r="AB19" i="7"/>
  <c r="AY19" i="7"/>
  <c r="AK19" i="7"/>
  <c r="BS19" i="7"/>
  <c r="D22" i="9"/>
  <c r="Q5" i="10"/>
  <c r="X5" i="10" s="1"/>
  <c r="J14" i="10"/>
  <c r="AQ19" i="7"/>
  <c r="AS19" i="7" s="1"/>
  <c r="AL19" i="7"/>
  <c r="BL19" i="7"/>
  <c r="AU19" i="7"/>
  <c r="AW19" i="7" s="1"/>
  <c r="AH19" i="7"/>
  <c r="BA44" i="7"/>
  <c r="AI19" i="7"/>
  <c r="CB19" i="7"/>
  <c r="BG19" i="7"/>
  <c r="BO19" i="7"/>
  <c r="BI19" i="7"/>
  <c r="S3" i="10"/>
  <c r="J3" i="10"/>
  <c r="Y15" i="18"/>
  <c r="AJ9" i="12"/>
  <c r="AJ2" i="12" s="1"/>
  <c r="P14" i="10"/>
  <c r="AA19" i="7"/>
  <c r="AC19" i="7" s="1"/>
  <c r="BT19" i="7"/>
  <c r="BX19" i="7"/>
  <c r="AJ16" i="7"/>
  <c r="BK44" i="7"/>
  <c r="BA13" i="7"/>
  <c r="CC13" i="7"/>
  <c r="AD13" i="7"/>
  <c r="AV13" i="7"/>
  <c r="AK16" i="7"/>
  <c r="BR13" i="7"/>
  <c r="CE13" i="7"/>
  <c r="CG13" i="7" s="1"/>
  <c r="AP13" i="7"/>
  <c r="AL13" i="7"/>
  <c r="BG13" i="7"/>
  <c r="Q8" i="15" s="1"/>
  <c r="BI4" i="7"/>
  <c r="CB13" i="7"/>
  <c r="CK13" i="7"/>
  <c r="BM13" i="7"/>
  <c r="BV13" i="7"/>
  <c r="AL16" i="7"/>
  <c r="CI4" i="7"/>
  <c r="BR17" i="7"/>
  <c r="BQ17" i="7"/>
  <c r="BA4" i="7"/>
  <c r="AK13" i="7"/>
  <c r="BQ13" i="7"/>
  <c r="D11" i="18"/>
  <c r="BK4" i="7"/>
  <c r="CH4" i="7"/>
  <c r="CJ4" i="7" s="1"/>
  <c r="AK4" i="7"/>
  <c r="BP4" i="7"/>
  <c r="E22" i="12"/>
  <c r="Q22" i="12" s="1"/>
  <c r="BC4" i="7"/>
  <c r="BR4" i="7"/>
  <c r="BH4" i="7"/>
  <c r="BS4" i="7"/>
  <c r="AU4" i="7"/>
  <c r="AW4" i="7" s="1"/>
  <c r="AL4" i="7"/>
  <c r="AR4" i="7"/>
  <c r="AM4" i="7"/>
  <c r="AJ4" i="7"/>
  <c r="D19" i="9"/>
  <c r="E19" i="9" s="1"/>
  <c r="C10" i="2"/>
  <c r="AE4" i="7"/>
  <c r="AG4" i="7" s="1"/>
  <c r="BY4" i="7"/>
  <c r="AB4" i="7"/>
  <c r="D16" i="9"/>
  <c r="D10" i="20"/>
  <c r="AA44" i="7"/>
  <c r="AC44" i="7" s="1"/>
  <c r="D6" i="17"/>
  <c r="E9" i="12"/>
  <c r="Q9" i="12" s="1"/>
  <c r="D23" i="17"/>
  <c r="C9" i="7"/>
  <c r="C43" i="7" s="1"/>
  <c r="E4" i="12"/>
  <c r="Q4" i="12" s="1"/>
  <c r="BI17" i="7"/>
  <c r="AJ17" i="7"/>
  <c r="BC17" i="7"/>
  <c r="BL13" i="7"/>
  <c r="F11" i="5"/>
  <c r="U11" i="5" s="1"/>
  <c r="F28" i="5" s="1"/>
  <c r="U28" i="5" s="1"/>
  <c r="D11" i="20"/>
  <c r="C3" i="7"/>
  <c r="C37" i="7" s="1"/>
  <c r="D4" i="16"/>
  <c r="BA17" i="7"/>
  <c r="AB17" i="7"/>
  <c r="CI17" i="7"/>
  <c r="AK17" i="7"/>
  <c r="CH14" i="7"/>
  <c r="CJ14" i="7" s="1"/>
  <c r="AH13" i="7"/>
  <c r="D12" i="20"/>
  <c r="BZ13" i="7"/>
  <c r="BB17" i="7"/>
  <c r="BD17" i="7" s="1"/>
  <c r="CF17" i="7"/>
  <c r="S17" i="7"/>
  <c r="T13" i="14"/>
  <c r="AL17" i="7"/>
  <c r="BX17" i="7"/>
  <c r="BY54" i="7"/>
  <c r="BN13" i="7"/>
  <c r="Y17" i="7"/>
  <c r="CA13" i="7"/>
  <c r="CD13" i="7"/>
  <c r="C4" i="2"/>
  <c r="D17" i="18"/>
  <c r="E6" i="12"/>
  <c r="Q6" i="12" s="1"/>
  <c r="E25" i="12"/>
  <c r="Q25" i="12" s="1"/>
  <c r="AU17" i="7"/>
  <c r="AW17" i="7" s="1"/>
  <c r="BP17" i="7"/>
  <c r="AV17" i="7"/>
  <c r="AK37" i="7"/>
  <c r="BS17" i="7"/>
  <c r="BH17" i="7"/>
  <c r="BK14" i="7"/>
  <c r="D10" i="18"/>
  <c r="D4" i="19"/>
  <c r="D12" i="9"/>
  <c r="E12" i="9" s="1"/>
  <c r="D12" i="16"/>
  <c r="D4" i="17"/>
  <c r="F12" i="5"/>
  <c r="U12" i="5" s="1"/>
  <c r="F29" i="5" s="1"/>
  <c r="U29" i="5" s="1"/>
  <c r="D12" i="17"/>
  <c r="D4" i="18"/>
  <c r="D18" i="19"/>
  <c r="D10" i="19"/>
  <c r="AL18" i="7"/>
  <c r="CH15" i="7"/>
  <c r="CJ15" i="7" s="1"/>
  <c r="AY18" i="7"/>
  <c r="BR15" i="7"/>
  <c r="AF15" i="7"/>
  <c r="AB15" i="7"/>
  <c r="AU18" i="7"/>
  <c r="AW18" i="7" s="1"/>
  <c r="AD15" i="7"/>
  <c r="W44" i="7"/>
  <c r="Y44" i="7" s="1"/>
  <c r="D12" i="19"/>
  <c r="E15" i="12"/>
  <c r="Q15" i="12" s="1"/>
  <c r="BS15" i="7"/>
  <c r="AI18" i="7"/>
  <c r="CE18" i="7"/>
  <c r="CG18" i="7" s="1"/>
  <c r="BU15" i="7"/>
  <c r="BT15" i="7"/>
  <c r="BC18" i="7"/>
  <c r="AV18" i="7"/>
  <c r="AP18" i="7"/>
  <c r="CA15" i="7"/>
  <c r="AP15" i="7"/>
  <c r="F9" i="5"/>
  <c r="U9" i="5" s="1"/>
  <c r="F26" i="5" s="1"/>
  <c r="U26" i="5" s="1"/>
  <c r="BP18" i="7"/>
  <c r="AA18" i="7"/>
  <c r="AC18" i="7" s="1"/>
  <c r="S18" i="7"/>
  <c r="BN18" i="7"/>
  <c r="BA15" i="7"/>
  <c r="R8" i="14" s="1"/>
  <c r="BL15" i="7"/>
  <c r="C11" i="7"/>
  <c r="C45" i="7" s="1"/>
  <c r="BE13" i="7"/>
  <c r="Q9" i="14" s="1"/>
  <c r="BQ18" i="7"/>
  <c r="BC15" i="7"/>
  <c r="T8" i="14" s="1"/>
  <c r="BJ15" i="7"/>
  <c r="BA18" i="7"/>
  <c r="AV15" i="7"/>
  <c r="BH18" i="7"/>
  <c r="AU15" i="7"/>
  <c r="AW15" i="7" s="1"/>
  <c r="BZ15" i="7"/>
  <c r="BS18" i="7"/>
  <c r="CD15" i="7"/>
  <c r="E20" i="12"/>
  <c r="Q20" i="12" s="1"/>
  <c r="C5" i="7"/>
  <c r="C39" i="7" s="1"/>
  <c r="AK18" i="7"/>
  <c r="AR18" i="7"/>
  <c r="AE15" i="7"/>
  <c r="AG15" i="7" s="1"/>
  <c r="X15" i="7"/>
  <c r="Z15" i="7" s="1"/>
  <c r="CH18" i="7"/>
  <c r="CJ18" i="7" s="1"/>
  <c r="BX18" i="7"/>
  <c r="BQ15" i="7"/>
  <c r="D10" i="16"/>
  <c r="BR18" i="7"/>
  <c r="AJ18" i="7"/>
  <c r="AM15" i="7"/>
  <c r="CF18" i="7"/>
  <c r="AH15" i="7"/>
  <c r="BG18" i="7"/>
  <c r="CE15" i="7"/>
  <c r="CG15" i="7" s="1"/>
  <c r="D12" i="18"/>
  <c r="AB18" i="7"/>
  <c r="BW18" i="7"/>
  <c r="BK15" i="7"/>
  <c r="D10" i="17"/>
  <c r="BJ54" i="7"/>
  <c r="Y14" i="7"/>
  <c r="D8" i="20"/>
  <c r="AY13" i="7"/>
  <c r="D6" i="19"/>
  <c r="D15" i="16"/>
  <c r="BT54" i="7"/>
  <c r="D8" i="18"/>
  <c r="D15" i="9"/>
  <c r="F15" i="9" s="1"/>
  <c r="D15" i="17"/>
  <c r="CB54" i="7"/>
  <c r="D9" i="9"/>
  <c r="E9" i="9" s="1"/>
  <c r="C32" i="9" s="1"/>
  <c r="I32" i="9" s="1"/>
  <c r="D8" i="16"/>
  <c r="D11" i="9"/>
  <c r="F11" i="9" s="1"/>
  <c r="AQ13" i="7"/>
  <c r="AS13" i="7" s="1"/>
  <c r="D23" i="16"/>
  <c r="D18" i="20"/>
  <c r="BE54" i="7"/>
  <c r="D8" i="17"/>
  <c r="P54" i="7"/>
  <c r="AK54" i="7"/>
  <c r="BO54" i="7"/>
  <c r="CK14" i="7"/>
  <c r="AF16" i="7"/>
  <c r="X17" i="7"/>
  <c r="Z17" i="7" s="1"/>
  <c r="D17" i="9"/>
  <c r="F17" i="9" s="1"/>
  <c r="D8" i="19"/>
  <c r="BT13" i="7"/>
  <c r="D6" i="20"/>
  <c r="D18" i="18"/>
  <c r="AX54" i="7"/>
  <c r="AZ54" i="7" s="1"/>
  <c r="AQ54" i="7"/>
  <c r="AS54" i="7" s="1"/>
  <c r="AP17" i="7"/>
  <c r="C7" i="7"/>
  <c r="C41" i="7" s="1"/>
  <c r="D14" i="9"/>
  <c r="F14" i="9" s="1"/>
  <c r="C17" i="7"/>
  <c r="C51" i="7" s="1"/>
  <c r="X2" i="19"/>
  <c r="BD54" i="7"/>
  <c r="BS54" i="7"/>
  <c r="BI54" i="7"/>
  <c r="AH54" i="7"/>
  <c r="BX54" i="7"/>
  <c r="BN54" i="7"/>
  <c r="D21" i="21"/>
  <c r="E16" i="21"/>
  <c r="D19" i="21"/>
  <c r="D18" i="21"/>
  <c r="D20" i="21"/>
  <c r="Y2" i="18"/>
  <c r="AO16" i="12"/>
  <c r="J6" i="10"/>
  <c r="Q7" i="10"/>
  <c r="AL2" i="12"/>
  <c r="AL24" i="12"/>
  <c r="AL16" i="12" s="1"/>
  <c r="CA45" i="7"/>
  <c r="CC45" i="7" s="1"/>
  <c r="CE56" i="7"/>
  <c r="AP56" i="7"/>
  <c r="AU16" i="7"/>
  <c r="AW16" i="7" s="1"/>
  <c r="BB16" i="7"/>
  <c r="BD16" i="7" s="1"/>
  <c r="AV14" i="7"/>
  <c r="BA16" i="7"/>
  <c r="BS14" i="7"/>
  <c r="AR5" i="12"/>
  <c r="AT19" i="12"/>
  <c r="AT5" i="12"/>
  <c r="BQ46" i="7"/>
  <c r="BA46" i="7"/>
  <c r="BP46" i="7"/>
  <c r="AJ46" i="7"/>
  <c r="AB46" i="7"/>
  <c r="BG46" i="7"/>
  <c r="AI46" i="7"/>
  <c r="AA46" i="7"/>
  <c r="AC46" i="7" s="1"/>
  <c r="BV46" i="7"/>
  <c r="BF46" i="7"/>
  <c r="R46" i="7"/>
  <c r="AM46" i="7"/>
  <c r="AO46" i="7" s="1"/>
  <c r="W46" i="7"/>
  <c r="Y46" i="7" s="1"/>
  <c r="BB46" i="7"/>
  <c r="BL46" i="7"/>
  <c r="AF46" i="7"/>
  <c r="BK46" i="7"/>
  <c r="AU46" i="7"/>
  <c r="AE46" i="7"/>
  <c r="AN46" i="7"/>
  <c r="BU46" i="7"/>
  <c r="X46" i="7"/>
  <c r="AT46" i="7"/>
  <c r="AV46" i="7" s="1"/>
  <c r="AX16" i="7"/>
  <c r="AZ16" i="7" s="1"/>
  <c r="T41" i="7"/>
  <c r="V41" i="7" s="1"/>
  <c r="U41" i="7"/>
  <c r="S10" i="15"/>
  <c r="T11" i="14"/>
  <c r="BG54" i="7"/>
  <c r="BU54" i="7"/>
  <c r="BL54" i="7"/>
  <c r="AN54" i="7"/>
  <c r="AF54" i="7"/>
  <c r="X54" i="7"/>
  <c r="BK54" i="7"/>
  <c r="AU54" i="7"/>
  <c r="AM54" i="7"/>
  <c r="AO54" i="7" s="1"/>
  <c r="AE54" i="7"/>
  <c r="W54" i="7"/>
  <c r="Y54" i="7" s="1"/>
  <c r="AT54" i="7"/>
  <c r="AV54" i="7" s="1"/>
  <c r="AI54" i="7"/>
  <c r="BV54" i="7"/>
  <c r="BF54" i="7"/>
  <c r="R54" i="7"/>
  <c r="BB54" i="7"/>
  <c r="AB54" i="7"/>
  <c r="BQ54" i="7"/>
  <c r="AJ54" i="7"/>
  <c r="BP54" i="7"/>
  <c r="AA54" i="7"/>
  <c r="AC54" i="7" s="1"/>
  <c r="BA54" i="7"/>
  <c r="P9" i="15"/>
  <c r="O7" i="14"/>
  <c r="U11" i="14"/>
  <c r="R10" i="15"/>
  <c r="AR16" i="7"/>
  <c r="BL14" i="7"/>
  <c r="AQ16" i="7"/>
  <c r="AS16" i="7" s="1"/>
  <c r="AM14" i="7"/>
  <c r="Q6" i="14"/>
  <c r="N3" i="15"/>
  <c r="BV43" i="7"/>
  <c r="BF43" i="7"/>
  <c r="BU43" i="7"/>
  <c r="AB43" i="7"/>
  <c r="BQ43" i="7"/>
  <c r="BG43" i="7"/>
  <c r="AU43" i="7"/>
  <c r="AA43" i="7"/>
  <c r="AC43" i="7" s="1"/>
  <c r="BP43" i="7"/>
  <c r="AT43" i="7"/>
  <c r="AV43" i="7" s="1"/>
  <c r="AJ43" i="7"/>
  <c r="X43" i="7"/>
  <c r="AI43" i="7"/>
  <c r="W43" i="7"/>
  <c r="Y43" i="7" s="1"/>
  <c r="BL43" i="7"/>
  <c r="BB43" i="7"/>
  <c r="AF43" i="7"/>
  <c r="BA43" i="7"/>
  <c r="AN43" i="7"/>
  <c r="BK43" i="7"/>
  <c r="AM43" i="7"/>
  <c r="AO43" i="7" s="1"/>
  <c r="AE43" i="7"/>
  <c r="X14" i="7"/>
  <c r="Z14" i="7" s="1"/>
  <c r="BB44" i="7"/>
  <c r="BU44" i="7"/>
  <c r="BQ44" i="7"/>
  <c r="S14" i="7"/>
  <c r="H24" i="6"/>
  <c r="O42" i="7"/>
  <c r="AL42" i="7" s="1"/>
  <c r="BJ42" i="7"/>
  <c r="CB42" i="7"/>
  <c r="BY42" i="7"/>
  <c r="BO42" i="7"/>
  <c r="BE42" i="7"/>
  <c r="AQ42" i="7"/>
  <c r="AS42" i="7" s="1"/>
  <c r="AX42" i="7"/>
  <c r="AZ42" i="7" s="1"/>
  <c r="BT42" i="7"/>
  <c r="BO41" i="7"/>
  <c r="AQ41" i="7"/>
  <c r="AS41" i="7" s="1"/>
  <c r="CB41" i="7"/>
  <c r="BE41" i="7"/>
  <c r="O41" i="7"/>
  <c r="AL41" i="7" s="1"/>
  <c r="BY41" i="7"/>
  <c r="AX41" i="7"/>
  <c r="AZ41" i="7" s="1"/>
  <c r="BT41" i="7"/>
  <c r="BJ41" i="7"/>
  <c r="E22" i="6"/>
  <c r="M19" i="6"/>
  <c r="D21" i="19"/>
  <c r="D21" i="18"/>
  <c r="D18" i="16"/>
  <c r="D21" i="20"/>
  <c r="D18" i="17"/>
  <c r="E18" i="12"/>
  <c r="Q18" i="12" s="1"/>
  <c r="C20" i="7"/>
  <c r="C54" i="7" s="1"/>
  <c r="C20" i="2"/>
  <c r="F15" i="5"/>
  <c r="U15" i="5" s="1"/>
  <c r="F32" i="5" s="1"/>
  <c r="U32" i="5" s="1"/>
  <c r="AQ21" i="12"/>
  <c r="AQ2" i="12"/>
  <c r="AQ19" i="12"/>
  <c r="AQ16" i="12" s="1"/>
  <c r="D24" i="20"/>
  <c r="D24" i="19"/>
  <c r="D24" i="16"/>
  <c r="D24" i="18"/>
  <c r="D24" i="17"/>
  <c r="E27" i="12"/>
  <c r="Q27" i="12" s="1"/>
  <c r="C23" i="7"/>
  <c r="C57" i="7" s="1"/>
  <c r="C24" i="2"/>
  <c r="F12" i="9"/>
  <c r="F6" i="9"/>
  <c r="E6" i="9"/>
  <c r="J12" i="15"/>
  <c r="K13" i="14"/>
  <c r="U19" i="7"/>
  <c r="AO19" i="7"/>
  <c r="N53" i="7"/>
  <c r="T43" i="7"/>
  <c r="V43" i="7" s="1"/>
  <c r="AR46" i="7"/>
  <c r="CE46" i="7"/>
  <c r="AY46" i="7"/>
  <c r="CD46" i="7"/>
  <c r="CF46" i="7" s="1"/>
  <c r="Q46" i="7"/>
  <c r="P46" i="7"/>
  <c r="W8" i="15"/>
  <c r="X9" i="14"/>
  <c r="F38" i="7"/>
  <c r="AQ38" i="7" s="1"/>
  <c r="AS38" i="7" s="1"/>
  <c r="CB4" i="7"/>
  <c r="BT4" i="7"/>
  <c r="BL4" i="7"/>
  <c r="AN4" i="7"/>
  <c r="AF4" i="7"/>
  <c r="CA4" i="7"/>
  <c r="BZ4" i="7"/>
  <c r="BJ4" i="7"/>
  <c r="BB4" i="7"/>
  <c r="BD4" i="7" s="1"/>
  <c r="AT4" i="7"/>
  <c r="AD4" i="7"/>
  <c r="CF4" i="7"/>
  <c r="BX4" i="7"/>
  <c r="BV4" i="7"/>
  <c r="AY4" i="7"/>
  <c r="BU4" i="7"/>
  <c r="AX4" i="7"/>
  <c r="AZ4" i="7" s="1"/>
  <c r="AA4" i="7"/>
  <c r="AC4" i="7" s="1"/>
  <c r="BO4" i="7"/>
  <c r="CK4" i="7"/>
  <c r="BN4" i="7"/>
  <c r="AQ4" i="7"/>
  <c r="AS4" i="7" s="1"/>
  <c r="Y4" i="7"/>
  <c r="CE4" i="7"/>
  <c r="CG4" i="7" s="1"/>
  <c r="BM4" i="7"/>
  <c r="CD4" i="7"/>
  <c r="BG4" i="7"/>
  <c r="AI4" i="7"/>
  <c r="AH4" i="7"/>
  <c r="BF4" i="7"/>
  <c r="BE4" i="7"/>
  <c r="CC4" i="7"/>
  <c r="BW4" i="7"/>
  <c r="AA3" i="6"/>
  <c r="AR54" i="7"/>
  <c r="S12" i="10"/>
  <c r="Z12" i="10" s="1"/>
  <c r="J20" i="10"/>
  <c r="AP45" i="7"/>
  <c r="Z45" i="7"/>
  <c r="BM45" i="7"/>
  <c r="AW45" i="7"/>
  <c r="AG45" i="7"/>
  <c r="BC45" i="7"/>
  <c r="BH45" i="7"/>
  <c r="BW45" i="7"/>
  <c r="BR45" i="7"/>
  <c r="CG45" i="7"/>
  <c r="BZ45" i="7"/>
  <c r="AD45" i="7"/>
  <c r="Q3" i="15"/>
  <c r="Q13" i="15" s="1"/>
  <c r="Q14" i="15" s="1"/>
  <c r="Q15" i="15" s="1"/>
  <c r="Q16" i="15" s="1"/>
  <c r="R6" i="14"/>
  <c r="AD16" i="7"/>
  <c r="O48" i="7"/>
  <c r="AQ56" i="7"/>
  <c r="AS56" i="7" s="1"/>
  <c r="BC37" i="7"/>
  <c r="BZ37" i="7"/>
  <c r="BR37" i="7"/>
  <c r="AD37" i="7"/>
  <c r="CG37" i="7"/>
  <c r="BH37" i="7"/>
  <c r="BW37" i="7"/>
  <c r="AW37" i="7"/>
  <c r="Z37" i="7"/>
  <c r="BM37" i="7"/>
  <c r="AP37" i="7"/>
  <c r="AG37" i="7"/>
  <c r="V10" i="15"/>
  <c r="W11" i="14"/>
  <c r="BY44" i="7"/>
  <c r="BJ44" i="7"/>
  <c r="BT44" i="7"/>
  <c r="O44" i="7"/>
  <c r="AL44" i="7" s="1"/>
  <c r="BE44" i="7"/>
  <c r="BO44" i="7"/>
  <c r="AQ44" i="7"/>
  <c r="AS44" i="7" s="1"/>
  <c r="CB44" i="7"/>
  <c r="AX44" i="7"/>
  <c r="AZ44" i="7" s="1"/>
  <c r="BP41" i="7"/>
  <c r="AJ41" i="7"/>
  <c r="AB41" i="7"/>
  <c r="BG41" i="7"/>
  <c r="AI41" i="7"/>
  <c r="AA41" i="7"/>
  <c r="AC41" i="7" s="1"/>
  <c r="BF41" i="7"/>
  <c r="BQ41" i="7"/>
  <c r="AU41" i="7"/>
  <c r="AT41" i="7"/>
  <c r="AV41" i="7" s="1"/>
  <c r="X41" i="7"/>
  <c r="W41" i="7"/>
  <c r="Y41" i="7" s="1"/>
  <c r="BV41" i="7"/>
  <c r="BL41" i="7"/>
  <c r="BB41" i="7"/>
  <c r="AF41" i="7"/>
  <c r="BA41" i="7"/>
  <c r="BU41" i="7"/>
  <c r="R41" i="7"/>
  <c r="AN41" i="7"/>
  <c r="BK41" i="7"/>
  <c r="AM41" i="7"/>
  <c r="AO41" i="7" s="1"/>
  <c r="AE41" i="7"/>
  <c r="W5" i="15"/>
  <c r="X4" i="14"/>
  <c r="BJ16" i="7"/>
  <c r="CB14" i="7"/>
  <c r="BS44" i="7"/>
  <c r="BI44" i="7"/>
  <c r="BX44" i="7"/>
  <c r="AH44" i="7"/>
  <c r="BD44" i="7"/>
  <c r="BN44" i="7"/>
  <c r="W9" i="15"/>
  <c r="X7" i="14"/>
  <c r="AX45" i="7"/>
  <c r="AZ45" i="7" s="1"/>
  <c r="BE45" i="7"/>
  <c r="CB45" i="7"/>
  <c r="BT45" i="7"/>
  <c r="O45" i="7"/>
  <c r="AL45" i="7" s="1"/>
  <c r="AQ45" i="7"/>
  <c r="AS45" i="7" s="1"/>
  <c r="BY45" i="7"/>
  <c r="BO45" i="7"/>
  <c r="BJ45" i="7"/>
  <c r="AC6" i="7"/>
  <c r="N5" i="15" s="1"/>
  <c r="P5" i="15" s="1"/>
  <c r="BD40" i="7"/>
  <c r="BX40" i="7"/>
  <c r="BN40" i="7"/>
  <c r="BS40" i="7"/>
  <c r="AH40" i="7"/>
  <c r="BI40" i="7"/>
  <c r="AP16" i="7"/>
  <c r="AF14" i="7"/>
  <c r="O55" i="7"/>
  <c r="X44" i="7"/>
  <c r="AM44" i="7"/>
  <c r="AO44" i="7" s="1"/>
  <c r="N55" i="7"/>
  <c r="S55" i="7" s="1"/>
  <c r="AO21" i="7"/>
  <c r="T21" i="7"/>
  <c r="O37" i="7"/>
  <c r="AL37" i="7" s="1"/>
  <c r="BJ37" i="7"/>
  <c r="BY37" i="7"/>
  <c r="BO37" i="7"/>
  <c r="AQ37" i="7"/>
  <c r="AS37" i="7" s="1"/>
  <c r="AX37" i="7"/>
  <c r="AZ37" i="7" s="1"/>
  <c r="BT37" i="7"/>
  <c r="BE37" i="7"/>
  <c r="CB37" i="7"/>
  <c r="AR41" i="7"/>
  <c r="CE41" i="7"/>
  <c r="AY41" i="7"/>
  <c r="P41" i="7"/>
  <c r="CD41" i="7"/>
  <c r="CF41" i="7" s="1"/>
  <c r="Q41" i="7"/>
  <c r="F19" i="9"/>
  <c r="CA37" i="7"/>
  <c r="CC37" i="7" s="1"/>
  <c r="D20" i="20"/>
  <c r="D20" i="19"/>
  <c r="D17" i="17"/>
  <c r="D17" i="16"/>
  <c r="E21" i="12"/>
  <c r="Q21" i="12" s="1"/>
  <c r="D20" i="18"/>
  <c r="C19" i="7"/>
  <c r="C53" i="7" s="1"/>
  <c r="C19" i="2"/>
  <c r="F14" i="5"/>
  <c r="U14" i="5" s="1"/>
  <c r="F31" i="5" s="1"/>
  <c r="U31" i="5" s="1"/>
  <c r="AP4" i="7"/>
  <c r="D20" i="9"/>
  <c r="AA13" i="7"/>
  <c r="AC13" i="7" s="1"/>
  <c r="BP13" i="7"/>
  <c r="BU13" i="7"/>
  <c r="M15" i="6"/>
  <c r="D16" i="20"/>
  <c r="D13" i="17"/>
  <c r="D16" i="18"/>
  <c r="D16" i="19"/>
  <c r="E13" i="12"/>
  <c r="Q13" i="12" s="1"/>
  <c r="D13" i="16"/>
  <c r="C15" i="7"/>
  <c r="C49" i="7" s="1"/>
  <c r="F10" i="5"/>
  <c r="U10" i="5" s="1"/>
  <c r="F27" i="5" s="1"/>
  <c r="U27" i="5" s="1"/>
  <c r="C15" i="2"/>
  <c r="F48" i="7"/>
  <c r="AX48" i="7" s="1"/>
  <c r="AZ48" i="7" s="1"/>
  <c r="CC14" i="7"/>
  <c r="CI14" i="7"/>
  <c r="BC14" i="7"/>
  <c r="BA14" i="7"/>
  <c r="BN14" i="7"/>
  <c r="BX14" i="7"/>
  <c r="BJ14" i="7"/>
  <c r="AY14" i="7"/>
  <c r="AK14" i="7"/>
  <c r="BI14" i="7"/>
  <c r="BV14" i="7"/>
  <c r="AT14" i="7"/>
  <c r="BG14" i="7"/>
  <c r="BF14" i="7"/>
  <c r="CF14" i="7"/>
  <c r="BB14" i="7"/>
  <c r="BD14" i="7" s="1"/>
  <c r="CE14" i="7"/>
  <c r="CG14" i="7" s="1"/>
  <c r="CD14" i="7"/>
  <c r="AR14" i="7"/>
  <c r="BR14" i="7"/>
  <c r="AQ14" i="7"/>
  <c r="AS14" i="7" s="1"/>
  <c r="BQ14" i="7"/>
  <c r="BP14" i="7"/>
  <c r="AH14" i="7"/>
  <c r="AD14" i="7"/>
  <c r="R5" i="14" s="1"/>
  <c r="J11" i="15"/>
  <c r="N45" i="7"/>
  <c r="U11" i="7"/>
  <c r="W11" i="15" s="1"/>
  <c r="AO11" i="7"/>
  <c r="W11" i="7"/>
  <c r="V11" i="7"/>
  <c r="B33" i="21"/>
  <c r="BR56" i="7"/>
  <c r="Y11" i="17"/>
  <c r="AK25" i="12"/>
  <c r="AK16" i="12" s="1"/>
  <c r="AK2" i="12"/>
  <c r="J19" i="10"/>
  <c r="S13" i="10"/>
  <c r="Z13" i="10" s="1"/>
  <c r="AY56" i="7"/>
  <c r="BY56" i="7"/>
  <c r="BZ56" i="7"/>
  <c r="R12" i="15"/>
  <c r="T12" i="15" s="1"/>
  <c r="CG19" i="7"/>
  <c r="U45" i="7"/>
  <c r="T45" i="7"/>
  <c r="V45" i="7" s="1"/>
  <c r="CA44" i="7"/>
  <c r="CC44" i="7" s="1"/>
  <c r="O54" i="7"/>
  <c r="AL54" i="7" s="1"/>
  <c r="AR44" i="7"/>
  <c r="Q44" i="7"/>
  <c r="CE44" i="7"/>
  <c r="CD44" i="7"/>
  <c r="CF44" i="7" s="1"/>
  <c r="AY44" i="7"/>
  <c r="BY14" i="7"/>
  <c r="CA46" i="7"/>
  <c r="CC46" i="7" s="1"/>
  <c r="BM40" i="7"/>
  <c r="AW40" i="7"/>
  <c r="BZ40" i="7"/>
  <c r="BC40" i="7"/>
  <c r="AD40" i="7"/>
  <c r="CG40" i="7"/>
  <c r="BW40" i="7"/>
  <c r="AG40" i="7"/>
  <c r="Z40" i="7"/>
  <c r="BR40" i="7"/>
  <c r="AP40" i="7"/>
  <c r="BH40" i="7"/>
  <c r="BI39" i="7"/>
  <c r="BX39" i="7"/>
  <c r="BN39" i="7"/>
  <c r="AH39" i="7"/>
  <c r="BS39" i="7"/>
  <c r="BD39" i="7"/>
  <c r="BZ16" i="7"/>
  <c r="BM14" i="7"/>
  <c r="O9" i="15"/>
  <c r="P7" i="14"/>
  <c r="CD43" i="7"/>
  <c r="CF43" i="7" s="1"/>
  <c r="AR43" i="7"/>
  <c r="CE43" i="7"/>
  <c r="AY43" i="7"/>
  <c r="U40" i="7"/>
  <c r="T40" i="7"/>
  <c r="V40" i="7" s="1"/>
  <c r="O38" i="7"/>
  <c r="BD56" i="7"/>
  <c r="BS56" i="7"/>
  <c r="BI56" i="7"/>
  <c r="BX56" i="7"/>
  <c r="AH56" i="7"/>
  <c r="BN56" i="7"/>
  <c r="AN14" i="7"/>
  <c r="AX43" i="7"/>
  <c r="AZ43" i="7" s="1"/>
  <c r="BE43" i="7"/>
  <c r="CB43" i="7"/>
  <c r="O43" i="7"/>
  <c r="AL43" i="7" s="1"/>
  <c r="BY43" i="7"/>
  <c r="BO43" i="7"/>
  <c r="BT43" i="7"/>
  <c r="AQ43" i="7"/>
  <c r="AS43" i="7" s="1"/>
  <c r="BJ43" i="7"/>
  <c r="AY42" i="7"/>
  <c r="BY46" i="7"/>
  <c r="BO46" i="7"/>
  <c r="AQ46" i="7"/>
  <c r="AS46" i="7" s="1"/>
  <c r="AX46" i="7"/>
  <c r="AZ46" i="7" s="1"/>
  <c r="CB46" i="7"/>
  <c r="O46" i="7"/>
  <c r="AL46" i="7" s="1"/>
  <c r="BT46" i="7"/>
  <c r="BJ46" i="7"/>
  <c r="BE46" i="7"/>
  <c r="V5" i="15"/>
  <c r="W4" i="14"/>
  <c r="U5" i="15"/>
  <c r="V4" i="14"/>
  <c r="V14" i="14" s="1"/>
  <c r="AP6" i="7"/>
  <c r="R16" i="6"/>
  <c r="AT44" i="7"/>
  <c r="AV44" i="7" s="1"/>
  <c r="BV44" i="7"/>
  <c r="V21" i="7"/>
  <c r="AV16" i="7"/>
  <c r="AR39" i="7"/>
  <c r="CE39" i="7"/>
  <c r="AY39" i="7"/>
  <c r="CD39" i="7"/>
  <c r="CF39" i="7" s="1"/>
  <c r="Q39" i="7"/>
  <c r="P39" i="7"/>
  <c r="U4" i="15"/>
  <c r="AP7" i="7"/>
  <c r="R4" i="15" s="1"/>
  <c r="O3" i="14"/>
  <c r="N2" i="15"/>
  <c r="Z3" i="7"/>
  <c r="D8" i="9"/>
  <c r="D18" i="9"/>
  <c r="M24" i="6"/>
  <c r="D3" i="9"/>
  <c r="D10" i="9"/>
  <c r="P25" i="6"/>
  <c r="Q18" i="6"/>
  <c r="D13" i="9"/>
  <c r="Q10" i="15"/>
  <c r="R11" i="14"/>
  <c r="W7" i="14"/>
  <c r="V9" i="15"/>
  <c r="BK13" i="7"/>
  <c r="AX13" i="7"/>
  <c r="AZ13" i="7" s="1"/>
  <c r="J3" i="15"/>
  <c r="N43" i="7"/>
  <c r="R43" i="7" s="1"/>
  <c r="K6" i="14"/>
  <c r="AO9" i="7"/>
  <c r="V9" i="7"/>
  <c r="U9" i="7"/>
  <c r="T9" i="7"/>
  <c r="X13" i="7"/>
  <c r="Z13" i="7" s="1"/>
  <c r="AY54" i="7"/>
  <c r="S16" i="7"/>
  <c r="B29" i="9"/>
  <c r="E7" i="9"/>
  <c r="C29" i="9" s="1"/>
  <c r="F7" i="9"/>
  <c r="D29" i="9" s="1"/>
  <c r="K8" i="14"/>
  <c r="N49" i="7"/>
  <c r="Q49" i="7" s="1"/>
  <c r="T15" i="7"/>
  <c r="W8" i="14" s="1"/>
  <c r="AO15" i="7"/>
  <c r="U15" i="7"/>
  <c r="X8" i="14" s="1"/>
  <c r="BS42" i="7"/>
  <c r="BX42" i="7"/>
  <c r="BN42" i="7"/>
  <c r="BD42" i="7"/>
  <c r="AH42" i="7"/>
  <c r="BI42" i="7"/>
  <c r="E30" i="21"/>
  <c r="F30" i="21" s="1"/>
  <c r="D31" i="21"/>
  <c r="Y20" i="16"/>
  <c r="X2" i="18"/>
  <c r="S8" i="10"/>
  <c r="Z8" i="10" s="1"/>
  <c r="J12" i="10"/>
  <c r="V12" i="15"/>
  <c r="W13" i="14"/>
  <c r="P56" i="7"/>
  <c r="BJ56" i="7"/>
  <c r="BC56" i="7"/>
  <c r="AL14" i="7"/>
  <c r="CA41" i="7"/>
  <c r="CC41" i="7" s="1"/>
  <c r="T57" i="7"/>
  <c r="V57" i="7" s="1"/>
  <c r="U57" i="7"/>
  <c r="AE16" i="7"/>
  <c r="AG16" i="7" s="1"/>
  <c r="S11" i="7"/>
  <c r="Q38" i="7"/>
  <c r="AX14" i="7"/>
  <c r="AZ14" i="7" s="1"/>
  <c r="BQ39" i="7"/>
  <c r="BA39" i="7"/>
  <c r="BP39" i="7"/>
  <c r="AJ39" i="7"/>
  <c r="AB39" i="7"/>
  <c r="BG39" i="7"/>
  <c r="AI39" i="7"/>
  <c r="AA39" i="7"/>
  <c r="AC39" i="7" s="1"/>
  <c r="BV39" i="7"/>
  <c r="BF39" i="7"/>
  <c r="R39" i="7"/>
  <c r="BU39" i="7"/>
  <c r="BB39" i="7"/>
  <c r="AE39" i="7"/>
  <c r="AU39" i="7"/>
  <c r="X39" i="7"/>
  <c r="BL39" i="7"/>
  <c r="AT39" i="7"/>
  <c r="AV39" i="7" s="1"/>
  <c r="W39" i="7"/>
  <c r="Y39" i="7" s="1"/>
  <c r="BK39" i="7"/>
  <c r="AN39" i="7"/>
  <c r="AM39" i="7"/>
  <c r="AO39" i="7" s="1"/>
  <c r="AF39" i="7"/>
  <c r="Q52" i="7"/>
  <c r="BH14" i="7"/>
  <c r="BT14" i="7"/>
  <c r="BN45" i="7"/>
  <c r="AH45" i="7"/>
  <c r="BD45" i="7"/>
  <c r="BS45" i="7"/>
  <c r="BX45" i="7"/>
  <c r="BI45" i="7"/>
  <c r="CD42" i="7"/>
  <c r="CF42" i="7" s="1"/>
  <c r="U39" i="7"/>
  <c r="T39" i="7"/>
  <c r="V39" i="7" s="1"/>
  <c r="O52" i="7"/>
  <c r="O3" i="15"/>
  <c r="P6" i="14"/>
  <c r="T9" i="15"/>
  <c r="S7" i="14"/>
  <c r="AF44" i="7"/>
  <c r="AI44" i="7"/>
  <c r="AB44" i="7"/>
  <c r="V7" i="6"/>
  <c r="T44" i="7"/>
  <c r="V44" i="7" s="1"/>
  <c r="BU56" i="7"/>
  <c r="BL56" i="7"/>
  <c r="AN56" i="7"/>
  <c r="AF56" i="7"/>
  <c r="X56" i="7"/>
  <c r="BK56" i="7"/>
  <c r="AU56" i="7"/>
  <c r="AM56" i="7"/>
  <c r="AO56" i="7" s="1"/>
  <c r="AE56" i="7"/>
  <c r="W56" i="7"/>
  <c r="Y56" i="7" s="1"/>
  <c r="BB56" i="7"/>
  <c r="AT56" i="7"/>
  <c r="AV56" i="7" s="1"/>
  <c r="BQ56" i="7"/>
  <c r="BA56" i="7"/>
  <c r="BF56" i="7"/>
  <c r="AI56" i="7"/>
  <c r="BV56" i="7"/>
  <c r="AB56" i="7"/>
  <c r="BP56" i="7"/>
  <c r="AA56" i="7"/>
  <c r="AC56" i="7" s="1"/>
  <c r="R56" i="7"/>
  <c r="BG56" i="7"/>
  <c r="AJ56" i="7"/>
  <c r="E13" i="6"/>
  <c r="E27" i="6"/>
  <c r="P3" i="14"/>
  <c r="O2" i="15"/>
  <c r="V15" i="7"/>
  <c r="W15" i="7" s="1"/>
  <c r="B30" i="9"/>
  <c r="H30" i="9" s="1"/>
  <c r="F4" i="9"/>
  <c r="D30" i="9" s="1"/>
  <c r="J30" i="9" s="1"/>
  <c r="E4" i="9"/>
  <c r="C30" i="9" s="1"/>
  <c r="I30" i="9" s="1"/>
  <c r="BY13" i="7"/>
  <c r="AR13" i="7"/>
  <c r="BF13" i="7"/>
  <c r="Z12" i="9"/>
  <c r="AA12" i="9" s="1"/>
  <c r="Y13" i="7"/>
  <c r="F50" i="7"/>
  <c r="AD50" i="7" s="1"/>
  <c r="CA16" i="7"/>
  <c r="CK16" i="7"/>
  <c r="BW16" i="7"/>
  <c r="BL16" i="7"/>
  <c r="Y16" i="7"/>
  <c r="BV16" i="7"/>
  <c r="BH16" i="7"/>
  <c r="X16" i="7"/>
  <c r="Z16" i="7" s="1"/>
  <c r="CF16" i="7"/>
  <c r="BG16" i="7"/>
  <c r="AH16" i="7"/>
  <c r="CD16" i="7"/>
  <c r="BN16" i="7"/>
  <c r="AB16" i="7"/>
  <c r="BM16" i="7"/>
  <c r="AA16" i="7"/>
  <c r="AC16" i="7" s="1"/>
  <c r="CC16" i="7"/>
  <c r="AY16" i="7"/>
  <c r="CB16" i="7"/>
  <c r="BO16" i="7"/>
  <c r="AN16" i="7"/>
  <c r="BX16" i="7"/>
  <c r="X3" i="14"/>
  <c r="W2" i="15"/>
  <c r="E14" i="9"/>
  <c r="AA11" i="6"/>
  <c r="B40" i="21"/>
  <c r="X17" i="18"/>
  <c r="AO14" i="12"/>
  <c r="AO28" i="12" s="1"/>
  <c r="AN28" i="12"/>
  <c r="AN24" i="12"/>
  <c r="AO10" i="12"/>
  <c r="AO24" i="12" s="1"/>
  <c r="CD56" i="7"/>
  <c r="CF56" i="7" s="1"/>
  <c r="AK56" i="7"/>
  <c r="BH56" i="7"/>
  <c r="AL56" i="7"/>
  <c r="AG56" i="7"/>
  <c r="U56" i="7"/>
  <c r="T56" i="7"/>
  <c r="V56" i="7" s="1"/>
  <c r="BV45" i="7"/>
  <c r="BF45" i="7"/>
  <c r="R45" i="7"/>
  <c r="BU45" i="7"/>
  <c r="BL45" i="7"/>
  <c r="AN45" i="7"/>
  <c r="AF45" i="7"/>
  <c r="X45" i="7"/>
  <c r="BK45" i="7"/>
  <c r="AU45" i="7"/>
  <c r="AM45" i="7"/>
  <c r="AO45" i="7" s="1"/>
  <c r="AE45" i="7"/>
  <c r="W45" i="7"/>
  <c r="Y45" i="7" s="1"/>
  <c r="AB45" i="7"/>
  <c r="BG45" i="7"/>
  <c r="AA45" i="7"/>
  <c r="AC45" i="7" s="1"/>
  <c r="BB45" i="7"/>
  <c r="BQ45" i="7"/>
  <c r="BA45" i="7"/>
  <c r="BP45" i="7"/>
  <c r="AJ45" i="7"/>
  <c r="AI45" i="7"/>
  <c r="AT45" i="7"/>
  <c r="AV45" i="7" s="1"/>
  <c r="O49" i="7"/>
  <c r="BZ14" i="7"/>
  <c r="BH41" i="7"/>
  <c r="BW41" i="7"/>
  <c r="BR41" i="7"/>
  <c r="Z41" i="7"/>
  <c r="BZ41" i="7"/>
  <c r="BM41" i="7"/>
  <c r="BC41" i="7"/>
  <c r="AG41" i="7"/>
  <c r="AP41" i="7"/>
  <c r="AW41" i="7"/>
  <c r="AD41" i="7"/>
  <c r="CG41" i="7"/>
  <c r="BY39" i="7"/>
  <c r="BO39" i="7"/>
  <c r="AQ39" i="7"/>
  <c r="AS39" i="7" s="1"/>
  <c r="AX39" i="7"/>
  <c r="AZ39" i="7" s="1"/>
  <c r="BE39" i="7"/>
  <c r="BT39" i="7"/>
  <c r="BJ39" i="7"/>
  <c r="CB39" i="7"/>
  <c r="O39" i="7"/>
  <c r="AL39" i="7" s="1"/>
  <c r="AI16" i="7"/>
  <c r="AA14" i="7"/>
  <c r="AM16" i="7"/>
  <c r="T11" i="7"/>
  <c r="V11" i="15" s="1"/>
  <c r="AJ14" i="7"/>
  <c r="CA56" i="7"/>
  <c r="CC56" i="7" s="1"/>
  <c r="AI14" i="7"/>
  <c r="BE14" i="7"/>
  <c r="CE42" i="7"/>
  <c r="S37" i="7"/>
  <c r="P40" i="7"/>
  <c r="AR40" i="7"/>
  <c r="CE40" i="7"/>
  <c r="CD40" i="7"/>
  <c r="CF40" i="7" s="1"/>
  <c r="AY40" i="7"/>
  <c r="Q40" i="7"/>
  <c r="AN44" i="7"/>
  <c r="AU44" i="7"/>
  <c r="AJ44" i="7"/>
  <c r="U44" i="7"/>
  <c r="S4" i="7"/>
  <c r="O10" i="15"/>
  <c r="P11" i="14"/>
  <c r="U37" i="7"/>
  <c r="T37" i="7"/>
  <c r="V37" i="7" s="1"/>
  <c r="D22" i="20"/>
  <c r="D21" i="16"/>
  <c r="D22" i="19"/>
  <c r="E23" i="12"/>
  <c r="Q23" i="12" s="1"/>
  <c r="D21" i="17"/>
  <c r="D22" i="18"/>
  <c r="C21" i="7"/>
  <c r="C55" i="7" s="1"/>
  <c r="C22" i="2"/>
  <c r="S49" i="7"/>
  <c r="BK37" i="7"/>
  <c r="AU37" i="7"/>
  <c r="AM37" i="7"/>
  <c r="AO37" i="7" s="1"/>
  <c r="AE37" i="7"/>
  <c r="W37" i="7"/>
  <c r="Y37" i="7" s="1"/>
  <c r="BB37" i="7"/>
  <c r="AT37" i="7"/>
  <c r="AV37" i="7" s="1"/>
  <c r="BQ37" i="7"/>
  <c r="BA37" i="7"/>
  <c r="BP37" i="7"/>
  <c r="AJ37" i="7"/>
  <c r="AB37" i="7"/>
  <c r="BG37" i="7"/>
  <c r="AI37" i="7"/>
  <c r="AA37" i="7"/>
  <c r="AC37" i="7" s="1"/>
  <c r="BU37" i="7"/>
  <c r="AF37" i="7"/>
  <c r="X37" i="7"/>
  <c r="BL37" i="7"/>
  <c r="R37" i="7"/>
  <c r="BF37" i="7"/>
  <c r="AN37" i="7"/>
  <c r="BV37" i="7"/>
  <c r="BW14" i="7"/>
  <c r="BN43" i="7"/>
  <c r="AH43" i="7"/>
  <c r="BD43" i="7"/>
  <c r="BX43" i="7"/>
  <c r="BS43" i="7"/>
  <c r="BI43" i="7"/>
  <c r="D9" i="18"/>
  <c r="D9" i="20"/>
  <c r="D9" i="19"/>
  <c r="D9" i="16"/>
  <c r="D9" i="17"/>
  <c r="E10" i="12"/>
  <c r="Q10" i="12" s="1"/>
  <c r="C8" i="7"/>
  <c r="C42" i="7" s="1"/>
  <c r="C21" i="2"/>
  <c r="AP43" i="7"/>
  <c r="Z43" i="7"/>
  <c r="BM43" i="7"/>
  <c r="AW43" i="7"/>
  <c r="AG43" i="7"/>
  <c r="BR43" i="7"/>
  <c r="BH43" i="7"/>
  <c r="BZ43" i="7"/>
  <c r="BC43" i="7"/>
  <c r="BW43" i="7"/>
  <c r="CG43" i="7"/>
  <c r="AD43" i="7"/>
  <c r="D14" i="19"/>
  <c r="D19" i="16"/>
  <c r="D14" i="18"/>
  <c r="D19" i="17"/>
  <c r="D14" i="20"/>
  <c r="E19" i="12"/>
  <c r="Q19" i="12" s="1"/>
  <c r="C13" i="7"/>
  <c r="C47" i="7" s="1"/>
  <c r="C13" i="2"/>
  <c r="Y2" i="19"/>
  <c r="AB13" i="7"/>
  <c r="AE13" i="7"/>
  <c r="AG13" i="7" s="1"/>
  <c r="AO4" i="7"/>
  <c r="F52" i="7"/>
  <c r="AH52" i="7" s="1"/>
  <c r="BZ18" i="7"/>
  <c r="BJ18" i="7"/>
  <c r="AT18" i="7"/>
  <c r="AD18" i="7"/>
  <c r="BY18" i="7"/>
  <c r="BT18" i="7"/>
  <c r="AN18" i="7"/>
  <c r="X18" i="7"/>
  <c r="Z18" i="7" s="1"/>
  <c r="AM18" i="7"/>
  <c r="CD18" i="7"/>
  <c r="AX18" i="7"/>
  <c r="AZ18" i="7" s="1"/>
  <c r="AH18" i="7"/>
  <c r="BM18" i="7"/>
  <c r="CB18" i="7"/>
  <c r="BL18" i="7"/>
  <c r="AF18" i="7"/>
  <c r="CK18" i="7"/>
  <c r="R12" i="14" s="1"/>
  <c r="CA18" i="7"/>
  <c r="AO18" i="7"/>
  <c r="BV18" i="7"/>
  <c r="AE18" i="7"/>
  <c r="AG18" i="7" s="1"/>
  <c r="BU18" i="7"/>
  <c r="BK18" i="7"/>
  <c r="Y18" i="7"/>
  <c r="BF18" i="7"/>
  <c r="BE18" i="7"/>
  <c r="F55" i="7"/>
  <c r="BY55" i="7" s="1"/>
  <c r="BM21" i="7"/>
  <c r="CB21" i="7"/>
  <c r="BW21" i="7"/>
  <c r="AQ21" i="7"/>
  <c r="AS21" i="7" s="1"/>
  <c r="AA21" i="7"/>
  <c r="AC21" i="7" s="1"/>
  <c r="CI21" i="7"/>
  <c r="BC21" i="7"/>
  <c r="CE21" i="7"/>
  <c r="CG21" i="7" s="1"/>
  <c r="BO21" i="7"/>
  <c r="AY21" i="7"/>
  <c r="AI21" i="7"/>
  <c r="S21" i="7"/>
  <c r="CA21" i="7"/>
  <c r="AR21" i="7"/>
  <c r="BY21" i="7"/>
  <c r="AE21" i="7"/>
  <c r="AG21" i="7" s="1"/>
  <c r="BK21" i="7"/>
  <c r="AB21" i="7"/>
  <c r="BH21" i="7"/>
  <c r="AU21" i="7"/>
  <c r="AW21" i="7" s="1"/>
  <c r="BC42" i="7"/>
  <c r="BZ42" i="7"/>
  <c r="BR42" i="7"/>
  <c r="AD42" i="7"/>
  <c r="AW42" i="7"/>
  <c r="Z42" i="7"/>
  <c r="CG42" i="7"/>
  <c r="BW42" i="7"/>
  <c r="BM42" i="7"/>
  <c r="AG42" i="7"/>
  <c r="AP42" i="7"/>
  <c r="BH42" i="7"/>
  <c r="F22" i="9"/>
  <c r="E22" i="9"/>
  <c r="K5" i="14"/>
  <c r="N48" i="7"/>
  <c r="AO14" i="7"/>
  <c r="T14" i="7"/>
  <c r="W5" i="14" s="1"/>
  <c r="BE40" i="7"/>
  <c r="CB40" i="7"/>
  <c r="BT40" i="7"/>
  <c r="O40" i="7"/>
  <c r="AL40" i="7" s="1"/>
  <c r="BY40" i="7"/>
  <c r="BO40" i="7"/>
  <c r="AX40" i="7"/>
  <c r="AZ40" i="7" s="1"/>
  <c r="AQ40" i="7"/>
  <c r="AS40" i="7" s="1"/>
  <c r="BJ40" i="7"/>
  <c r="X2" i="20"/>
  <c r="Z18" i="18"/>
  <c r="Z2" i="18" s="1"/>
  <c r="AN16" i="12"/>
  <c r="AR56" i="7"/>
  <c r="AX56" i="7"/>
  <c r="AZ56" i="7" s="1"/>
  <c r="Y15" i="16"/>
  <c r="AN27" i="12"/>
  <c r="AO13" i="12"/>
  <c r="AO27" i="12" s="1"/>
  <c r="T54" i="7"/>
  <c r="V54" i="7" s="1"/>
  <c r="BT56" i="7"/>
  <c r="Z56" i="7"/>
  <c r="AW56" i="7"/>
  <c r="BQ16" i="7"/>
  <c r="AS21" i="12"/>
  <c r="AS16" i="12" s="1"/>
  <c r="AS2" i="12"/>
  <c r="J15" i="10"/>
  <c r="S9" i="10"/>
  <c r="Z9" i="10" s="1"/>
  <c r="BO14" i="7"/>
  <c r="T46" i="7"/>
  <c r="V46" i="7" s="1"/>
  <c r="BW54" i="7"/>
  <c r="BM54" i="7"/>
  <c r="AW54" i="7"/>
  <c r="AG54" i="7"/>
  <c r="BC54" i="7"/>
  <c r="BZ54" i="7"/>
  <c r="BH54" i="7"/>
  <c r="AD54" i="7"/>
  <c r="BR54" i="7"/>
  <c r="AP54" i="7"/>
  <c r="Z54" i="7"/>
  <c r="CG54" i="7"/>
  <c r="AT16" i="7"/>
  <c r="Q9" i="15"/>
  <c r="R7" i="14"/>
  <c r="U3" i="15"/>
  <c r="U13" i="15" s="1"/>
  <c r="V6" i="14"/>
  <c r="AP9" i="7"/>
  <c r="AR37" i="7"/>
  <c r="CE37" i="7"/>
  <c r="AY37" i="7"/>
  <c r="CD37" i="7"/>
  <c r="CF37" i="7" s="1"/>
  <c r="Q37" i="7"/>
  <c r="P37" i="7"/>
  <c r="O53" i="7"/>
  <c r="BU16" i="7"/>
  <c r="BK16" i="7"/>
  <c r="CD45" i="7"/>
  <c r="CF45" i="7" s="1"/>
  <c r="P45" i="7"/>
  <c r="AR45" i="7"/>
  <c r="CE45" i="7"/>
  <c r="AY45" i="7"/>
  <c r="Q45" i="7"/>
  <c r="BU40" i="7"/>
  <c r="BL40" i="7"/>
  <c r="BQ40" i="7"/>
  <c r="BG40" i="7"/>
  <c r="AN40" i="7"/>
  <c r="AF40" i="7"/>
  <c r="X40" i="7"/>
  <c r="BP40" i="7"/>
  <c r="BF40" i="7"/>
  <c r="AU40" i="7"/>
  <c r="AM40" i="7"/>
  <c r="AO40" i="7" s="1"/>
  <c r="AE40" i="7"/>
  <c r="W40" i="7"/>
  <c r="Y40" i="7" s="1"/>
  <c r="AT40" i="7"/>
  <c r="AV40" i="7" s="1"/>
  <c r="BB40" i="7"/>
  <c r="BK40" i="7"/>
  <c r="BA40" i="7"/>
  <c r="AJ40" i="7"/>
  <c r="AB40" i="7"/>
  <c r="AA40" i="7"/>
  <c r="AC40" i="7" s="1"/>
  <c r="BV40" i="7"/>
  <c r="AI40" i="7"/>
  <c r="R40" i="7"/>
  <c r="CE16" i="7"/>
  <c r="CG16" i="7" s="1"/>
  <c r="V14" i="7"/>
  <c r="BC44" i="7"/>
  <c r="CG44" i="7"/>
  <c r="BH44" i="7"/>
  <c r="AW44" i="7"/>
  <c r="Z44" i="7"/>
  <c r="BR44" i="7"/>
  <c r="AG44" i="7"/>
  <c r="AD44" i="7"/>
  <c r="BZ44" i="7"/>
  <c r="AP44" i="7"/>
  <c r="BW44" i="7"/>
  <c r="BM44" i="7"/>
  <c r="CA39" i="7"/>
  <c r="CC39" i="7" s="1"/>
  <c r="BS37" i="7"/>
  <c r="BI37" i="7"/>
  <c r="BX37" i="7"/>
  <c r="BN37" i="7"/>
  <c r="BD37" i="7"/>
  <c r="AH37" i="7"/>
  <c r="AK57" i="7"/>
  <c r="BK57" i="7"/>
  <c r="BJ57" i="7"/>
  <c r="BI57" i="7"/>
  <c r="BP16" i="7"/>
  <c r="U14" i="7"/>
  <c r="X5" i="14" s="1"/>
  <c r="BU14" i="7"/>
  <c r="AR42" i="7"/>
  <c r="S9" i="15"/>
  <c r="T7" i="14"/>
  <c r="BL44" i="7"/>
  <c r="BF44" i="7"/>
  <c r="BP44" i="7"/>
  <c r="O25" i="5"/>
  <c r="O19" i="5" s="1"/>
  <c r="N19" i="5"/>
  <c r="BC16" i="7"/>
  <c r="X4" i="7"/>
  <c r="Z4" i="7" s="1"/>
  <c r="D21" i="9"/>
  <c r="J8" i="15"/>
  <c r="K9" i="14"/>
  <c r="N47" i="7"/>
  <c r="R47" i="7" s="1"/>
  <c r="AO13" i="7"/>
  <c r="T13" i="7"/>
  <c r="V13" i="7"/>
  <c r="W13" i="7"/>
  <c r="D15" i="19"/>
  <c r="D15" i="20"/>
  <c r="D20" i="17"/>
  <c r="D15" i="18"/>
  <c r="D20" i="16"/>
  <c r="E17" i="12"/>
  <c r="Q17" i="12" s="1"/>
  <c r="C14" i="7"/>
  <c r="C48" i="7" s="1"/>
  <c r="C14" i="2"/>
  <c r="R4" i="6"/>
  <c r="S4" i="6" s="1"/>
  <c r="R13" i="6"/>
  <c r="D2" i="9"/>
  <c r="J10" i="15"/>
  <c r="K11" i="14"/>
  <c r="N44" i="7"/>
  <c r="V10" i="7"/>
  <c r="AO10" i="7"/>
  <c r="U10" i="7"/>
  <c r="BJ13" i="7"/>
  <c r="AM13" i="7"/>
  <c r="F53" i="7"/>
  <c r="BA53" i="7" s="1"/>
  <c r="CK19" i="7"/>
  <c r="BY19" i="7"/>
  <c r="BK19" i="7"/>
  <c r="AX19" i="7"/>
  <c r="AZ19" i="7" s="1"/>
  <c r="Y19" i="7"/>
  <c r="CI19" i="7"/>
  <c r="BJ19" i="7"/>
  <c r="BU19" i="7"/>
  <c r="BF19" i="7"/>
  <c r="BQ19" i="7"/>
  <c r="BM19" i="7"/>
  <c r="AM19" i="7"/>
  <c r="CD19" i="7"/>
  <c r="BE19" i="7"/>
  <c r="AE19" i="7"/>
  <c r="AG19" i="7" s="1"/>
  <c r="BC19" i="7"/>
  <c r="AD19" i="7"/>
  <c r="BA19" i="7"/>
  <c r="CA19" i="7"/>
  <c r="BZ19" i="7"/>
  <c r="BR19" i="7"/>
  <c r="BB19" i="7"/>
  <c r="BD19" i="7" s="1"/>
  <c r="D13" i="19"/>
  <c r="D11" i="16"/>
  <c r="D13" i="18"/>
  <c r="D13" i="20"/>
  <c r="D11" i="17"/>
  <c r="C12" i="7"/>
  <c r="C46" i="7" s="1"/>
  <c r="F8" i="5"/>
  <c r="U8" i="5" s="1"/>
  <c r="F25" i="5" s="1"/>
  <c r="U25" i="5" s="1"/>
  <c r="C12" i="2"/>
  <c r="AV4" i="7"/>
  <c r="BX41" i="7"/>
  <c r="BN41" i="7"/>
  <c r="BD41" i="7"/>
  <c r="AH41" i="7"/>
  <c r="BS41" i="7"/>
  <c r="BI41" i="7"/>
  <c r="B37" i="21"/>
  <c r="B38" i="21"/>
  <c r="S6" i="10"/>
  <c r="Z6" i="10" s="1"/>
  <c r="J5" i="10"/>
  <c r="T15" i="15"/>
  <c r="T16" i="15"/>
  <c r="H18" i="6"/>
  <c r="C40" i="21"/>
  <c r="C25" i="21"/>
  <c r="C29" i="21" s="1"/>
  <c r="C31" i="21" s="1"/>
  <c r="C32" i="21" s="1"/>
  <c r="Y14" i="16"/>
  <c r="U54" i="7"/>
  <c r="CB56" i="7"/>
  <c r="BW56" i="7"/>
  <c r="BM56" i="7"/>
  <c r="O51" i="7"/>
  <c r="BS16" i="7"/>
  <c r="P16" i="10"/>
  <c r="P17" i="10" s="1"/>
  <c r="P21" i="10" s="1"/>
  <c r="R52" i="7"/>
  <c r="BK52" i="7"/>
  <c r="BR16" i="7"/>
  <c r="BI16" i="7"/>
  <c r="CA54" i="7"/>
  <c r="CC54" i="7" s="1"/>
  <c r="Q51" i="7"/>
  <c r="AB14" i="7"/>
  <c r="P5" i="14" s="1"/>
  <c r="BI46" i="7"/>
  <c r="BX46" i="7"/>
  <c r="BN46" i="7"/>
  <c r="AH46" i="7"/>
  <c r="BS46" i="7"/>
  <c r="BD46" i="7"/>
  <c r="CA42" i="7"/>
  <c r="CC42" i="7" s="1"/>
  <c r="U46" i="7"/>
  <c r="S15" i="7"/>
  <c r="CG46" i="7"/>
  <c r="BH46" i="7"/>
  <c r="BW46" i="7"/>
  <c r="AP46" i="7"/>
  <c r="Z46" i="7"/>
  <c r="BC46" i="7"/>
  <c r="BR46" i="7"/>
  <c r="BM46" i="7"/>
  <c r="AW46" i="7"/>
  <c r="AG46" i="7"/>
  <c r="BZ46" i="7"/>
  <c r="AD46" i="7"/>
  <c r="CG39" i="7"/>
  <c r="BH39" i="7"/>
  <c r="BW39" i="7"/>
  <c r="AP39" i="7"/>
  <c r="Z39" i="7"/>
  <c r="BM39" i="7"/>
  <c r="AW39" i="7"/>
  <c r="AG39" i="7"/>
  <c r="AD39" i="7"/>
  <c r="BR39" i="7"/>
  <c r="BC39" i="7"/>
  <c r="BZ39" i="7"/>
  <c r="BF16" i="7"/>
  <c r="CA14" i="7"/>
  <c r="O47" i="7"/>
  <c r="BE16" i="7"/>
  <c r="AE14" i="7"/>
  <c r="AG14" i="7" s="1"/>
  <c r="BP48" i="7"/>
  <c r="AJ48" i="7"/>
  <c r="AB48" i="7"/>
  <c r="BG48" i="7"/>
  <c r="AI48" i="7"/>
  <c r="AA48" i="7"/>
  <c r="AC48" i="7" s="1"/>
  <c r="BV48" i="7"/>
  <c r="BF48" i="7"/>
  <c r="R48" i="7"/>
  <c r="BU48" i="7"/>
  <c r="BL48" i="7"/>
  <c r="AN48" i="7"/>
  <c r="AF48" i="7"/>
  <c r="X48" i="7"/>
  <c r="BB48" i="7"/>
  <c r="AE48" i="7"/>
  <c r="BA48" i="7"/>
  <c r="AU48" i="7"/>
  <c r="BQ48" i="7"/>
  <c r="AT48" i="7"/>
  <c r="AV48" i="7" s="1"/>
  <c r="W48" i="7"/>
  <c r="Y48" i="7" s="1"/>
  <c r="BK48" i="7"/>
  <c r="AM48" i="7"/>
  <c r="AO48" i="7" s="1"/>
  <c r="BT16" i="7"/>
  <c r="BG44" i="7"/>
  <c r="CI16" i="7"/>
  <c r="T38" i="7"/>
  <c r="V38" i="7" s="1"/>
  <c r="CA43" i="7"/>
  <c r="CC43" i="7" s="1"/>
  <c r="F51" i="7"/>
  <c r="BR51" i="7" s="1"/>
  <c r="CA17" i="7"/>
  <c r="BK17" i="7"/>
  <c r="AM17" i="7"/>
  <c r="AE17" i="7"/>
  <c r="AG17" i="7" s="1"/>
  <c r="BZ17" i="7"/>
  <c r="BJ17" i="7"/>
  <c r="AT17" i="7"/>
  <c r="AD17" i="7"/>
  <c r="BY17" i="7"/>
  <c r="CB17" i="7"/>
  <c r="BL17" i="7"/>
  <c r="AF17" i="7"/>
  <c r="BW17" i="7"/>
  <c r="BG17" i="7"/>
  <c r="AQ17" i="7"/>
  <c r="AS17" i="7" s="1"/>
  <c r="AA17" i="7"/>
  <c r="AC17" i="7" s="1"/>
  <c r="BV17" i="7"/>
  <c r="BF17" i="7"/>
  <c r="CK17" i="7"/>
  <c r="BU17" i="7"/>
  <c r="BE17" i="7"/>
  <c r="BT17" i="7"/>
  <c r="AN17" i="7"/>
  <c r="BO17" i="7"/>
  <c r="BN17" i="7"/>
  <c r="BM17" i="7"/>
  <c r="AY17" i="7"/>
  <c r="AX17" i="7"/>
  <c r="AZ17" i="7" s="1"/>
  <c r="CE17" i="7"/>
  <c r="CG17" i="7" s="1"/>
  <c r="AH17" i="7"/>
  <c r="CD17" i="7"/>
  <c r="CC17" i="7"/>
  <c r="AI17" i="7"/>
  <c r="E5" i="9"/>
  <c r="C33" i="9" s="1"/>
  <c r="B33" i="9"/>
  <c r="F5" i="9"/>
  <c r="D33" i="9" s="1"/>
  <c r="D19" i="19"/>
  <c r="D19" i="20"/>
  <c r="D16" i="17"/>
  <c r="D16" i="16"/>
  <c r="D19" i="18"/>
  <c r="E16" i="12"/>
  <c r="Q16" i="12" s="1"/>
  <c r="C18" i="7"/>
  <c r="C52" i="7" s="1"/>
  <c r="F13" i="5"/>
  <c r="U13" i="5" s="1"/>
  <c r="F30" i="5" s="1"/>
  <c r="U30" i="5" s="1"/>
  <c r="C18" i="2"/>
  <c r="F16" i="9"/>
  <c r="E16" i="9"/>
  <c r="R3" i="15"/>
  <c r="U6" i="14"/>
  <c r="D7" i="19"/>
  <c r="D7" i="20"/>
  <c r="D7" i="18"/>
  <c r="D7" i="17"/>
  <c r="E8" i="12"/>
  <c r="Q8" i="12" s="1"/>
  <c r="C6" i="7"/>
  <c r="C40" i="7" s="1"/>
  <c r="D7" i="16"/>
  <c r="C7" i="2"/>
  <c r="F47" i="7"/>
  <c r="AW47" i="7" s="1"/>
  <c r="CF13" i="7"/>
  <c r="BC13" i="7"/>
  <c r="S13" i="7"/>
  <c r="BB13" i="7"/>
  <c r="BD13" i="7" s="1"/>
  <c r="CI13" i="7"/>
  <c r="BH13" i="7"/>
  <c r="CH13" i="7"/>
  <c r="CJ13" i="7" s="1"/>
  <c r="AU13" i="7"/>
  <c r="AW13" i="7" s="1"/>
  <c r="BX13" i="7"/>
  <c r="AT13" i="7"/>
  <c r="BW13" i="7"/>
  <c r="BS13" i="7"/>
  <c r="BI13" i="7"/>
  <c r="AI13" i="7"/>
  <c r="N50" i="7"/>
  <c r="Q50" i="7" s="1"/>
  <c r="W16" i="7"/>
  <c r="AO16" i="7"/>
  <c r="N10" i="15"/>
  <c r="Q11" i="14"/>
  <c r="D5" i="20"/>
  <c r="D5" i="19"/>
  <c r="D5" i="16"/>
  <c r="D5" i="17"/>
  <c r="D5" i="18"/>
  <c r="E5" i="12"/>
  <c r="Q5" i="12" s="1"/>
  <c r="C4" i="7"/>
  <c r="C38" i="7" s="1"/>
  <c r="C5" i="2"/>
  <c r="F49" i="7"/>
  <c r="BM49" i="7" s="1"/>
  <c r="CB15" i="7"/>
  <c r="BB15" i="7"/>
  <c r="CF15" i="7"/>
  <c r="BF15" i="7"/>
  <c r="AR15" i="7"/>
  <c r="BP15" i="7"/>
  <c r="BE15" i="7"/>
  <c r="AQ15" i="7"/>
  <c r="AS15" i="7" s="1"/>
  <c r="CC15" i="7"/>
  <c r="BY15" i="7"/>
  <c r="BN15" i="7"/>
  <c r="AA15" i="7"/>
  <c r="AC15" i="7" s="1"/>
  <c r="BM15" i="7"/>
  <c r="AI15" i="7"/>
  <c r="BI15" i="7"/>
  <c r="BH15" i="7"/>
  <c r="Y15" i="7"/>
  <c r="CK15" i="7"/>
  <c r="AY15" i="7"/>
  <c r="P8" i="14" s="1"/>
  <c r="AX15" i="7"/>
  <c r="BX15" i="7"/>
  <c r="BW15" i="7"/>
  <c r="BV15" i="7"/>
  <c r="AK15" i="7"/>
  <c r="AJ15" i="7"/>
  <c r="AJ13" i="7"/>
  <c r="BO13" i="7"/>
  <c r="AN13" i="7"/>
  <c r="CC19" i="7"/>
  <c r="CD54" i="7"/>
  <c r="CF54" i="7" s="1"/>
  <c r="BB52" i="7" l="1"/>
  <c r="U38" i="7"/>
  <c r="AK38" i="7"/>
  <c r="F9" i="9"/>
  <c r="D32" i="9" s="1"/>
  <c r="J32" i="9" s="1"/>
  <c r="AR38" i="7"/>
  <c r="B32" i="9"/>
  <c r="H32" i="9" s="1"/>
  <c r="AA52" i="7"/>
  <c r="AC52" i="7" s="1"/>
  <c r="E15" i="9"/>
  <c r="CA48" i="7"/>
  <c r="CC48" i="7" s="1"/>
  <c r="Q47" i="7"/>
  <c r="Q16" i="10"/>
  <c r="Q17" i="10" s="1"/>
  <c r="R9" i="14"/>
  <c r="R14" i="14" s="1"/>
  <c r="R15" i="14" s="1"/>
  <c r="R16" i="14" s="1"/>
  <c r="R17" i="14" s="1"/>
  <c r="Q18" i="10"/>
  <c r="Q19" i="10" s="1"/>
  <c r="Q20" i="10" s="1"/>
  <c r="Z3" i="10"/>
  <c r="X18" i="10" s="1"/>
  <c r="X19" i="10" s="1"/>
  <c r="X20" i="10" s="1"/>
  <c r="AJ24" i="12"/>
  <c r="AJ16" i="12" s="1"/>
  <c r="BV50" i="7"/>
  <c r="BQ50" i="7"/>
  <c r="N8" i="15"/>
  <c r="N13" i="15" s="1"/>
  <c r="N14" i="15" s="1"/>
  <c r="AY38" i="7"/>
  <c r="BJ38" i="7"/>
  <c r="AY48" i="7"/>
  <c r="E11" i="9"/>
  <c r="BA50" i="7"/>
  <c r="AM50" i="7"/>
  <c r="AO50" i="7" s="1"/>
  <c r="BL52" i="7"/>
  <c r="CD48" i="7"/>
  <c r="CF48" i="7" s="1"/>
  <c r="E17" i="9"/>
  <c r="BO38" i="7"/>
  <c r="W50" i="7"/>
  <c r="Y50" i="7" s="1"/>
  <c r="AN50" i="7"/>
  <c r="CD50" i="7"/>
  <c r="CF50" i="7" s="1"/>
  <c r="AE50" i="7"/>
  <c r="CE50" i="7"/>
  <c r="AI50" i="7"/>
  <c r="BG50" i="7"/>
  <c r="AF50" i="7"/>
  <c r="X50" i="7"/>
  <c r="AB50" i="7"/>
  <c r="AM52" i="7"/>
  <c r="AO52" i="7" s="1"/>
  <c r="BJ53" i="7"/>
  <c r="BL50" i="7"/>
  <c r="AT50" i="7"/>
  <c r="AV50" i="7" s="1"/>
  <c r="AJ50" i="7"/>
  <c r="BU50" i="7"/>
  <c r="AU50" i="7"/>
  <c r="AU52" i="7"/>
  <c r="BN52" i="7"/>
  <c r="BQ52" i="7"/>
  <c r="AE52" i="7"/>
  <c r="BF52" i="7"/>
  <c r="BT53" i="7"/>
  <c r="BC53" i="7"/>
  <c r="AR48" i="7"/>
  <c r="BN48" i="7"/>
  <c r="BO48" i="7"/>
  <c r="P51" i="7"/>
  <c r="AW55" i="7"/>
  <c r="AJ52" i="7"/>
  <c r="BB50" i="7"/>
  <c r="BF50" i="7"/>
  <c r="BP50" i="7"/>
  <c r="CG55" i="7"/>
  <c r="AR50" i="7"/>
  <c r="BJ52" i="7"/>
  <c r="P38" i="7"/>
  <c r="AL38" i="7"/>
  <c r="BT38" i="7"/>
  <c r="CD38" i="7"/>
  <c r="CF38" i="7" s="1"/>
  <c r="CB38" i="7"/>
  <c r="BK50" i="7"/>
  <c r="AA50" i="7"/>
  <c r="AC50" i="7" s="1"/>
  <c r="BE38" i="7"/>
  <c r="BY38" i="7"/>
  <c r="AX38" i="7"/>
  <c r="AZ38" i="7" s="1"/>
  <c r="CE38" i="7"/>
  <c r="BT51" i="7"/>
  <c r="S12" i="14"/>
  <c r="U12" i="14" s="1"/>
  <c r="CE53" i="7"/>
  <c r="O13" i="15"/>
  <c r="O14" i="15" s="1"/>
  <c r="O16" i="15" s="1"/>
  <c r="AR53" i="7"/>
  <c r="BI48" i="7"/>
  <c r="BM52" i="7"/>
  <c r="BU49" i="7"/>
  <c r="BN49" i="7"/>
  <c r="AI53" i="7"/>
  <c r="AN53" i="7"/>
  <c r="AG53" i="7"/>
  <c r="BQ53" i="7"/>
  <c r="AR51" i="7"/>
  <c r="BA52" i="7"/>
  <c r="AT52" i="7"/>
  <c r="AV52" i="7" s="1"/>
  <c r="AN52" i="7"/>
  <c r="BJ51" i="7"/>
  <c r="U52" i="7"/>
  <c r="AD55" i="7"/>
  <c r="BS48" i="7"/>
  <c r="Z52" i="7"/>
  <c r="BL47" i="7"/>
  <c r="AH53" i="7"/>
  <c r="BZ50" i="7"/>
  <c r="W47" i="7"/>
  <c r="Y47" i="7" s="1"/>
  <c r="W52" i="7"/>
  <c r="Y52" i="7" s="1"/>
  <c r="BP52" i="7"/>
  <c r="BU52" i="7"/>
  <c r="T52" i="7"/>
  <c r="V52" i="7" s="1"/>
  <c r="BZ55" i="7"/>
  <c r="CA52" i="7"/>
  <c r="CC52" i="7" s="1"/>
  <c r="BL53" i="7"/>
  <c r="BX47" i="7"/>
  <c r="BD48" i="7"/>
  <c r="X55" i="7"/>
  <c r="CA49" i="7"/>
  <c r="CC49" i="7" s="1"/>
  <c r="Z50" i="7"/>
  <c r="AD48" i="7"/>
  <c r="AG47" i="7"/>
  <c r="AW51" i="7"/>
  <c r="AX49" i="7"/>
  <c r="AZ49" i="7" s="1"/>
  <c r="AH48" i="7"/>
  <c r="CA53" i="7"/>
  <c r="CC53" i="7" s="1"/>
  <c r="AU55" i="7"/>
  <c r="AK51" i="7"/>
  <c r="BT55" i="7"/>
  <c r="AG48" i="7"/>
  <c r="BM47" i="7"/>
  <c r="BH51" i="7"/>
  <c r="AL49" i="7"/>
  <c r="BB49" i="7"/>
  <c r="AA55" i="7"/>
  <c r="AC55" i="7" s="1"/>
  <c r="AL55" i="7"/>
  <c r="BJ47" i="7"/>
  <c r="AF52" i="7"/>
  <c r="BG52" i="7"/>
  <c r="BV52" i="7"/>
  <c r="BM55" i="7"/>
  <c r="AL50" i="7"/>
  <c r="AY50" i="7"/>
  <c r="AE53" i="7"/>
  <c r="CE48" i="7"/>
  <c r="AR52" i="7"/>
  <c r="BX48" i="7"/>
  <c r="CG52" i="7"/>
  <c r="AA49" i="7"/>
  <c r="AC49" i="7" s="1"/>
  <c r="BD51" i="7"/>
  <c r="AI55" i="7"/>
  <c r="BJ48" i="7"/>
  <c r="BY52" i="7"/>
  <c r="P52" i="7"/>
  <c r="BC52" i="7"/>
  <c r="AU49" i="7"/>
  <c r="BI51" i="7"/>
  <c r="AT55" i="7"/>
  <c r="AV55" i="7" s="1"/>
  <c r="AG49" i="7"/>
  <c r="AI52" i="7"/>
  <c r="X52" i="7"/>
  <c r="AB52" i="7"/>
  <c r="BX49" i="7"/>
  <c r="AG55" i="7"/>
  <c r="AL52" i="7"/>
  <c r="CE52" i="7"/>
  <c r="BH52" i="7"/>
  <c r="AB47" i="7"/>
  <c r="BG49" i="7"/>
  <c r="CE49" i="7"/>
  <c r="BB55" i="7"/>
  <c r="BC49" i="7"/>
  <c r="AQ48" i="7"/>
  <c r="AS48" i="7" s="1"/>
  <c r="D32" i="21"/>
  <c r="C33" i="21"/>
  <c r="R18" i="6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AD18" i="6" s="1"/>
  <c r="M18" i="6"/>
  <c r="AK44" i="7"/>
  <c r="R44" i="7"/>
  <c r="S44" i="7"/>
  <c r="I29" i="9"/>
  <c r="BT47" i="7"/>
  <c r="R50" i="7"/>
  <c r="AQ51" i="7"/>
  <c r="AS51" i="7" s="1"/>
  <c r="AL51" i="7"/>
  <c r="T4" i="6"/>
  <c r="F21" i="9"/>
  <c r="E21" i="9"/>
  <c r="T51" i="7"/>
  <c r="V51" i="7" s="1"/>
  <c r="AQ53" i="7"/>
  <c r="AS53" i="7" s="1"/>
  <c r="BY53" i="7"/>
  <c r="AH49" i="7"/>
  <c r="T53" i="7"/>
  <c r="V53" i="7" s="1"/>
  <c r="Z53" i="7"/>
  <c r="BC55" i="7"/>
  <c r="BR55" i="7"/>
  <c r="P47" i="7"/>
  <c r="BT49" i="7"/>
  <c r="BV53" i="7"/>
  <c r="AU53" i="7"/>
  <c r="BK53" i="7"/>
  <c r="CB52" i="7"/>
  <c r="AH47" i="7"/>
  <c r="AY52" i="7"/>
  <c r="AO2" i="12"/>
  <c r="BZ52" i="7"/>
  <c r="AP52" i="7"/>
  <c r="H29" i="9"/>
  <c r="BV47" i="7"/>
  <c r="AM47" i="7"/>
  <c r="AO47" i="7" s="1"/>
  <c r="E10" i="9"/>
  <c r="F10" i="9"/>
  <c r="AK52" i="7"/>
  <c r="BK49" i="7"/>
  <c r="AI49" i="7"/>
  <c r="BQ49" i="7"/>
  <c r="BS51" i="7"/>
  <c r="AE55" i="7"/>
  <c r="BG55" i="7"/>
  <c r="BN53" i="7"/>
  <c r="BZ49" i="7"/>
  <c r="BR50" i="7"/>
  <c r="AX55" i="7"/>
  <c r="AZ55" i="7" s="1"/>
  <c r="AW48" i="7"/>
  <c r="AL48" i="7"/>
  <c r="CG47" i="7"/>
  <c r="BM51" i="7"/>
  <c r="AD51" i="7"/>
  <c r="D24" i="21"/>
  <c r="H27" i="6"/>
  <c r="CA51" i="7"/>
  <c r="CC51" i="7" s="1"/>
  <c r="CB49" i="7"/>
  <c r="AT53" i="7"/>
  <c r="AV53" i="7" s="1"/>
  <c r="BF53" i="7"/>
  <c r="BU53" i="7"/>
  <c r="BI47" i="7"/>
  <c r="W6" i="14"/>
  <c r="V3" i="15"/>
  <c r="V13" i="15" s="1"/>
  <c r="BG47" i="7"/>
  <c r="AU47" i="7"/>
  <c r="E3" i="9"/>
  <c r="F3" i="9"/>
  <c r="CA47" i="7"/>
  <c r="CC47" i="7" s="1"/>
  <c r="BV49" i="7"/>
  <c r="AB49" i="7"/>
  <c r="W49" i="7"/>
  <c r="Y49" i="7" s="1"/>
  <c r="P49" i="7"/>
  <c r="BK55" i="7"/>
  <c r="AF55" i="7"/>
  <c r="AB55" i="7"/>
  <c r="BX52" i="7"/>
  <c r="BD53" i="7"/>
  <c r="AD49" i="7"/>
  <c r="AP50" i="7"/>
  <c r="AW50" i="7"/>
  <c r="AQ55" i="7"/>
  <c r="AS55" i="7" s="1"/>
  <c r="BM48" i="7"/>
  <c r="BY48" i="7"/>
  <c r="W12" i="15"/>
  <c r="X13" i="14"/>
  <c r="AD47" i="7"/>
  <c r="AP51" i="7"/>
  <c r="D17" i="21"/>
  <c r="D37" i="21" s="1"/>
  <c r="D44" i="21" s="1"/>
  <c r="D22" i="21"/>
  <c r="J29" i="9"/>
  <c r="Q43" i="7"/>
  <c r="H30" i="6"/>
  <c r="AL47" i="7"/>
  <c r="AE47" i="7"/>
  <c r="BW47" i="7"/>
  <c r="BB51" i="7"/>
  <c r="AA51" i="7"/>
  <c r="AC51" i="7" s="1"/>
  <c r="X51" i="7"/>
  <c r="BV51" i="7"/>
  <c r="AE51" i="7"/>
  <c r="AT51" i="7"/>
  <c r="AV51" i="7" s="1"/>
  <c r="BP51" i="7"/>
  <c r="BU51" i="7"/>
  <c r="BF51" i="7"/>
  <c r="BK51" i="7"/>
  <c r="AN51" i="7"/>
  <c r="AJ51" i="7"/>
  <c r="BQ51" i="7"/>
  <c r="AU51" i="7"/>
  <c r="AB51" i="7"/>
  <c r="AI51" i="7"/>
  <c r="AM51" i="7"/>
  <c r="AO51" i="7" s="1"/>
  <c r="BL51" i="7"/>
  <c r="W51" i="7"/>
  <c r="Y51" i="7" s="1"/>
  <c r="BG51" i="7"/>
  <c r="BA51" i="7"/>
  <c r="AF51" i="7"/>
  <c r="AL53" i="7"/>
  <c r="S8" i="15"/>
  <c r="S13" i="15" s="1"/>
  <c r="S14" i="15" s="1"/>
  <c r="T9" i="14"/>
  <c r="T14" i="14" s="1"/>
  <c r="T15" i="14" s="1"/>
  <c r="AQ47" i="7"/>
  <c r="AS47" i="7" s="1"/>
  <c r="BE47" i="7"/>
  <c r="AY51" i="7"/>
  <c r="BO51" i="7"/>
  <c r="F2" i="9"/>
  <c r="E2" i="9"/>
  <c r="BE53" i="7"/>
  <c r="BI49" i="7"/>
  <c r="AP53" i="7"/>
  <c r="AW53" i="7"/>
  <c r="Z55" i="7"/>
  <c r="P53" i="7"/>
  <c r="AK48" i="7"/>
  <c r="S48" i="7"/>
  <c r="P50" i="7"/>
  <c r="AQ49" i="7"/>
  <c r="AS49" i="7" s="1"/>
  <c r="BE49" i="7"/>
  <c r="W53" i="7"/>
  <c r="Y53" i="7" s="1"/>
  <c r="AA53" i="7"/>
  <c r="AC53" i="7" s="1"/>
  <c r="AB53" i="7"/>
  <c r="BT52" i="7"/>
  <c r="BS47" i="7"/>
  <c r="BR52" i="7"/>
  <c r="G30" i="21"/>
  <c r="H30" i="21" s="1"/>
  <c r="F31" i="21"/>
  <c r="W3" i="15"/>
  <c r="W13" i="15" s="1"/>
  <c r="X6" i="14"/>
  <c r="BF47" i="7"/>
  <c r="BA47" i="7"/>
  <c r="BK47" i="7"/>
  <c r="H32" i="6"/>
  <c r="R49" i="7"/>
  <c r="AJ49" i="7"/>
  <c r="AE49" i="7"/>
  <c r="BL55" i="7"/>
  <c r="BU55" i="7"/>
  <c r="AJ55" i="7"/>
  <c r="BD52" i="7"/>
  <c r="BS53" i="7"/>
  <c r="AP49" i="7"/>
  <c r="BH49" i="7"/>
  <c r="BM50" i="7"/>
  <c r="U48" i="7"/>
  <c r="BO55" i="7"/>
  <c r="CG48" i="7"/>
  <c r="Z48" i="7"/>
  <c r="BT48" i="7"/>
  <c r="BR47" i="7"/>
  <c r="BW51" i="7"/>
  <c r="BZ51" i="7"/>
  <c r="D38" i="21"/>
  <c r="D45" i="21" s="1"/>
  <c r="D23" i="21"/>
  <c r="AK43" i="7"/>
  <c r="S43" i="7"/>
  <c r="AY47" i="7"/>
  <c r="BU47" i="7"/>
  <c r="AK53" i="7"/>
  <c r="S53" i="7"/>
  <c r="E21" i="6"/>
  <c r="H22" i="6"/>
  <c r="BD15" i="7"/>
  <c r="S8" i="14" s="1"/>
  <c r="CD51" i="7"/>
  <c r="CF51" i="7" s="1"/>
  <c r="U51" i="7"/>
  <c r="U53" i="7"/>
  <c r="BO47" i="7"/>
  <c r="CE51" i="7"/>
  <c r="BY51" i="7"/>
  <c r="V8" i="15"/>
  <c r="W9" i="14"/>
  <c r="BO53" i="7"/>
  <c r="BS49" i="7"/>
  <c r="BM53" i="7"/>
  <c r="AD53" i="7"/>
  <c r="AP55" i="7"/>
  <c r="Q53" i="7"/>
  <c r="T47" i="7"/>
  <c r="V47" i="7" s="1"/>
  <c r="AC14" i="7"/>
  <c r="O5" i="14" s="1"/>
  <c r="Q5" i="14" s="1"/>
  <c r="CD47" i="7"/>
  <c r="CF47" i="7" s="1"/>
  <c r="BJ49" i="7"/>
  <c r="BB53" i="7"/>
  <c r="AM53" i="7"/>
  <c r="AO53" i="7" s="1"/>
  <c r="AJ53" i="7"/>
  <c r="CA50" i="7"/>
  <c r="CC50" i="7" s="1"/>
  <c r="BI50" i="7"/>
  <c r="BT50" i="7"/>
  <c r="BN50" i="7"/>
  <c r="BJ50" i="7"/>
  <c r="U50" i="7"/>
  <c r="BD50" i="7"/>
  <c r="AX50" i="7"/>
  <c r="AZ50" i="7" s="1"/>
  <c r="AH50" i="7"/>
  <c r="CB50" i="7"/>
  <c r="BY50" i="7"/>
  <c r="BE50" i="7"/>
  <c r="BO50" i="7"/>
  <c r="T50" i="7"/>
  <c r="V50" i="7" s="1"/>
  <c r="BS50" i="7"/>
  <c r="AQ50" i="7"/>
  <c r="AS50" i="7" s="1"/>
  <c r="BX50" i="7"/>
  <c r="W7" i="6"/>
  <c r="BE52" i="7"/>
  <c r="BD47" i="7"/>
  <c r="CD52" i="7"/>
  <c r="CF52" i="7" s="1"/>
  <c r="T55" i="7"/>
  <c r="V55" i="7" s="1"/>
  <c r="AD52" i="7"/>
  <c r="AI47" i="7"/>
  <c r="BQ47" i="7"/>
  <c r="X47" i="7"/>
  <c r="F18" i="9"/>
  <c r="E18" i="9"/>
  <c r="X49" i="7"/>
  <c r="AT49" i="7"/>
  <c r="AV49" i="7" s="1"/>
  <c r="AM49" i="7"/>
  <c r="AO49" i="7" s="1"/>
  <c r="BN51" i="7"/>
  <c r="AR49" i="7"/>
  <c r="W55" i="7"/>
  <c r="Y55" i="7" s="1"/>
  <c r="R55" i="7"/>
  <c r="BP55" i="7"/>
  <c r="BI52" i="7"/>
  <c r="BX53" i="7"/>
  <c r="BW49" i="7"/>
  <c r="BR49" i="7"/>
  <c r="AG50" i="7"/>
  <c r="BW50" i="7"/>
  <c r="F20" i="9"/>
  <c r="E20" i="9"/>
  <c r="T48" i="7"/>
  <c r="V48" i="7" s="1"/>
  <c r="BC48" i="7"/>
  <c r="AP48" i="7"/>
  <c r="CB48" i="7"/>
  <c r="AB3" i="6"/>
  <c r="BH47" i="7"/>
  <c r="BZ47" i="7"/>
  <c r="AT21" i="12"/>
  <c r="AT2" i="12"/>
  <c r="CG51" i="7"/>
  <c r="BC51" i="7"/>
  <c r="E20" i="21"/>
  <c r="E19" i="21"/>
  <c r="E18" i="21"/>
  <c r="E21" i="21"/>
  <c r="F16" i="21"/>
  <c r="BN47" i="7"/>
  <c r="BP47" i="7"/>
  <c r="R8" i="15"/>
  <c r="R13" i="15" s="1"/>
  <c r="R14" i="15" s="1"/>
  <c r="U9" i="14"/>
  <c r="BE51" i="7"/>
  <c r="BR53" i="7"/>
  <c r="P55" i="7"/>
  <c r="CA55" i="7"/>
  <c r="CC55" i="7" s="1"/>
  <c r="BX55" i="7"/>
  <c r="BN55" i="7"/>
  <c r="AH55" i="7"/>
  <c r="AR55" i="7"/>
  <c r="CD55" i="7"/>
  <c r="CF55" i="7" s="1"/>
  <c r="BD55" i="7"/>
  <c r="CE55" i="7"/>
  <c r="BS55" i="7"/>
  <c r="AY55" i="7"/>
  <c r="BI55" i="7"/>
  <c r="AX47" i="7"/>
  <c r="AZ47" i="7" s="1"/>
  <c r="CB51" i="7"/>
  <c r="R13" i="14"/>
  <c r="Q12" i="15"/>
  <c r="W10" i="15"/>
  <c r="X11" i="14"/>
  <c r="S13" i="6"/>
  <c r="R14" i="6"/>
  <c r="CB53" i="7"/>
  <c r="BD49" i="7"/>
  <c r="BW53" i="7"/>
  <c r="BH53" i="7"/>
  <c r="BW55" i="7"/>
  <c r="CD53" i="7"/>
  <c r="CF53" i="7" s="1"/>
  <c r="U47" i="7"/>
  <c r="CE47" i="7"/>
  <c r="BO49" i="7"/>
  <c r="X53" i="7"/>
  <c r="BG53" i="7"/>
  <c r="BP53" i="7"/>
  <c r="X14" i="14"/>
  <c r="P48" i="7"/>
  <c r="AQ52" i="7"/>
  <c r="AS52" i="7" s="1"/>
  <c r="AX52" i="7"/>
  <c r="AZ52" i="7" s="1"/>
  <c r="U55" i="7"/>
  <c r="AG52" i="7"/>
  <c r="AK49" i="7"/>
  <c r="T49" i="7"/>
  <c r="V49" i="7" s="1"/>
  <c r="AJ47" i="7"/>
  <c r="AT47" i="7"/>
  <c r="AV47" i="7" s="1"/>
  <c r="AF47" i="7"/>
  <c r="B31" i="9"/>
  <c r="H31" i="9" s="1"/>
  <c r="F8" i="9"/>
  <c r="D31" i="9" s="1"/>
  <c r="J31" i="9" s="1"/>
  <c r="E8" i="9"/>
  <c r="C31" i="9" s="1"/>
  <c r="I31" i="9" s="1"/>
  <c r="Q25" i="6"/>
  <c r="BA49" i="7"/>
  <c r="BF49" i="7"/>
  <c r="AN49" i="7"/>
  <c r="AH51" i="7"/>
  <c r="CD49" i="7"/>
  <c r="CF49" i="7" s="1"/>
  <c r="AM55" i="7"/>
  <c r="AO55" i="7" s="1"/>
  <c r="BF55" i="7"/>
  <c r="BA55" i="7"/>
  <c r="BS52" i="7"/>
  <c r="BI53" i="7"/>
  <c r="AK45" i="7"/>
  <c r="S45" i="7"/>
  <c r="Z49" i="7"/>
  <c r="AW49" i="7"/>
  <c r="CG50" i="7"/>
  <c r="BH50" i="7"/>
  <c r="BE55" i="7"/>
  <c r="BJ55" i="7"/>
  <c r="BZ48" i="7"/>
  <c r="BW48" i="7"/>
  <c r="BE48" i="7"/>
  <c r="AP47" i="7"/>
  <c r="BC47" i="7"/>
  <c r="AT16" i="12"/>
  <c r="AG51" i="7"/>
  <c r="X7" i="10"/>
  <c r="Q14" i="10"/>
  <c r="D25" i="21"/>
  <c r="D40" i="21"/>
  <c r="D47" i="21" s="1"/>
  <c r="AZ15" i="7"/>
  <c r="O8" i="14" s="1"/>
  <c r="AB11" i="6"/>
  <c r="P9" i="14"/>
  <c r="P14" i="14" s="1"/>
  <c r="P15" i="14" s="1"/>
  <c r="O8" i="15"/>
  <c r="AK55" i="7"/>
  <c r="Q55" i="7"/>
  <c r="AK50" i="7"/>
  <c r="S50" i="7"/>
  <c r="CB47" i="7"/>
  <c r="BY47" i="7"/>
  <c r="AX51" i="7"/>
  <c r="AZ51" i="7" s="1"/>
  <c r="AK47" i="7"/>
  <c r="S47" i="7"/>
  <c r="AX53" i="7"/>
  <c r="AZ53" i="7" s="1"/>
  <c r="BZ53" i="7"/>
  <c r="CG53" i="7"/>
  <c r="BH55" i="7"/>
  <c r="AY53" i="7"/>
  <c r="AR47" i="7"/>
  <c r="BY49" i="7"/>
  <c r="AF53" i="7"/>
  <c r="R53" i="7"/>
  <c r="Q48" i="7"/>
  <c r="BO52" i="7"/>
  <c r="BW52" i="7"/>
  <c r="AW52" i="7"/>
  <c r="U49" i="7"/>
  <c r="AA47" i="7"/>
  <c r="AC47" i="7" s="1"/>
  <c r="BB47" i="7"/>
  <c r="AN47" i="7"/>
  <c r="F13" i="9"/>
  <c r="E13" i="9"/>
  <c r="Q3" i="14"/>
  <c r="P2" i="15"/>
  <c r="P13" i="15" s="1"/>
  <c r="P14" i="15" s="1"/>
  <c r="R25" i="6"/>
  <c r="S16" i="6"/>
  <c r="P43" i="7"/>
  <c r="P44" i="7"/>
  <c r="AF49" i="7"/>
  <c r="BP49" i="7"/>
  <c r="BL49" i="7"/>
  <c r="BX51" i="7"/>
  <c r="AY49" i="7"/>
  <c r="AN55" i="7"/>
  <c r="BV55" i="7"/>
  <c r="BQ55" i="7"/>
  <c r="CG49" i="7"/>
  <c r="BC50" i="7"/>
  <c r="CB55" i="7"/>
  <c r="BR48" i="7"/>
  <c r="BH48" i="7"/>
  <c r="BG38" i="7"/>
  <c r="BA38" i="7"/>
  <c r="BX38" i="7"/>
  <c r="CA38" i="7"/>
  <c r="CC38" i="7" s="1"/>
  <c r="X38" i="7"/>
  <c r="BQ38" i="7"/>
  <c r="Z38" i="7"/>
  <c r="BW38" i="7"/>
  <c r="AH38" i="7"/>
  <c r="BV38" i="7"/>
  <c r="BK38" i="7"/>
  <c r="AB38" i="7"/>
  <c r="BM38" i="7"/>
  <c r="CG38" i="7"/>
  <c r="BD38" i="7"/>
  <c r="BR38" i="7"/>
  <c r="BF38" i="7"/>
  <c r="AU38" i="7"/>
  <c r="BP38" i="7"/>
  <c r="AW38" i="7"/>
  <c r="BS38" i="7"/>
  <c r="BB38" i="7"/>
  <c r="AM38" i="7"/>
  <c r="AO38" i="7" s="1"/>
  <c r="AA38" i="7"/>
  <c r="AC38" i="7" s="1"/>
  <c r="AG38" i="7"/>
  <c r="BI38" i="7"/>
  <c r="BU38" i="7"/>
  <c r="AE38" i="7"/>
  <c r="BC38" i="7"/>
  <c r="AI38" i="7"/>
  <c r="BH38" i="7"/>
  <c r="BL38" i="7"/>
  <c r="W38" i="7"/>
  <c r="Y38" i="7" s="1"/>
  <c r="BZ38" i="7"/>
  <c r="AN38" i="7"/>
  <c r="AJ38" i="7"/>
  <c r="AF38" i="7"/>
  <c r="AT38" i="7"/>
  <c r="AV38" i="7" s="1"/>
  <c r="AP38" i="7"/>
  <c r="AD38" i="7"/>
  <c r="BN38" i="7"/>
  <c r="Z47" i="7"/>
  <c r="AR21" i="12"/>
  <c r="AR19" i="12"/>
  <c r="AR16" i="12" s="1"/>
  <c r="AR2" i="12"/>
  <c r="Z51" i="7"/>
  <c r="P26" i="6"/>
  <c r="Q5" i="6" s="1"/>
  <c r="O15" i="15" l="1"/>
  <c r="Q21" i="10"/>
  <c r="J34" i="9"/>
  <c r="B34" i="9"/>
  <c r="H34" i="9"/>
  <c r="R15" i="15"/>
  <c r="R16" i="15"/>
  <c r="Q8" i="14"/>
  <c r="O14" i="14"/>
  <c r="O15" i="14" s="1"/>
  <c r="T16" i="14"/>
  <c r="T17" i="14"/>
  <c r="U8" i="14"/>
  <c r="U14" i="14" s="1"/>
  <c r="U15" i="14" s="1"/>
  <c r="S14" i="14"/>
  <c r="S15" i="14" s="1"/>
  <c r="P17" i="14"/>
  <c r="P16" i="14"/>
  <c r="U4" i="6"/>
  <c r="E38" i="21"/>
  <c r="E23" i="21"/>
  <c r="E27" i="21" s="1"/>
  <c r="AC3" i="6"/>
  <c r="AD3" i="6" s="1"/>
  <c r="M7" i="6"/>
  <c r="S15" i="15"/>
  <c r="S16" i="15"/>
  <c r="D34" i="9"/>
  <c r="H29" i="6"/>
  <c r="E37" i="21"/>
  <c r="E22" i="21"/>
  <c r="E26" i="21" s="1"/>
  <c r="E17" i="21"/>
  <c r="E39" i="21" s="1"/>
  <c r="E24" i="21"/>
  <c r="E28" i="21" s="1"/>
  <c r="D39" i="21"/>
  <c r="D46" i="21" s="1"/>
  <c r="E40" i="21"/>
  <c r="E25" i="21"/>
  <c r="E29" i="21" s="1"/>
  <c r="S25" i="6"/>
  <c r="T16" i="6"/>
  <c r="T13" i="6"/>
  <c r="S14" i="6"/>
  <c r="H31" i="21"/>
  <c r="I30" i="21"/>
  <c r="Q26" i="6"/>
  <c r="R5" i="6" s="1"/>
  <c r="R26" i="6" s="1"/>
  <c r="S5" i="6" s="1"/>
  <c r="S26" i="6" s="1"/>
  <c r="T5" i="6" s="1"/>
  <c r="I34" i="9"/>
  <c r="D33" i="21"/>
  <c r="C34" i="9"/>
  <c r="P15" i="15"/>
  <c r="P16" i="15"/>
  <c r="X14" i="10"/>
  <c r="X16" i="10"/>
  <c r="X17" i="10" s="1"/>
  <c r="X21" i="10" s="1"/>
  <c r="N15" i="15"/>
  <c r="N16" i="15"/>
  <c r="Q14" i="14"/>
  <c r="Q15" i="14" s="1"/>
  <c r="AB14" i="6"/>
  <c r="AC11" i="6"/>
  <c r="F19" i="21"/>
  <c r="F20" i="21"/>
  <c r="F21" i="21"/>
  <c r="F18" i="21"/>
  <c r="G16" i="21"/>
  <c r="W14" i="14"/>
  <c r="I31" i="21" l="1"/>
  <c r="J30" i="21"/>
  <c r="K30" i="21" s="1"/>
  <c r="AC14" i="6"/>
  <c r="M11" i="6"/>
  <c r="V4" i="6"/>
  <c r="F23" i="21"/>
  <c r="Q16" i="14"/>
  <c r="Q17" i="14"/>
  <c r="O16" i="14"/>
  <c r="O17" i="14"/>
  <c r="G18" i="21"/>
  <c r="G20" i="21"/>
  <c r="G19" i="21"/>
  <c r="G21" i="21"/>
  <c r="H16" i="21"/>
  <c r="U13" i="6"/>
  <c r="T14" i="6"/>
  <c r="T26" i="6" s="1"/>
  <c r="U5" i="6" s="1"/>
  <c r="F39" i="21"/>
  <c r="F24" i="21"/>
  <c r="F37" i="21"/>
  <c r="F22" i="21"/>
  <c r="F17" i="21"/>
  <c r="F38" i="21" s="1"/>
  <c r="U16" i="6"/>
  <c r="T25" i="6"/>
  <c r="E33" i="6"/>
  <c r="U16" i="14"/>
  <c r="U17" i="14"/>
  <c r="F40" i="21"/>
  <c r="F25" i="21"/>
  <c r="E31" i="21"/>
  <c r="E32" i="21" s="1"/>
  <c r="S17" i="14"/>
  <c r="S16" i="14"/>
  <c r="G24" i="21" l="1"/>
  <c r="G28" i="21" s="1"/>
  <c r="G22" i="21"/>
  <c r="G26" i="21" s="1"/>
  <c r="G17" i="21"/>
  <c r="G40" i="21" s="1"/>
  <c r="V13" i="6"/>
  <c r="U14" i="6"/>
  <c r="L30" i="21"/>
  <c r="M30" i="21" s="1"/>
  <c r="K31" i="21"/>
  <c r="W4" i="6"/>
  <c r="H21" i="21"/>
  <c r="I16" i="21"/>
  <c r="H20" i="21"/>
  <c r="H19" i="21"/>
  <c r="H18" i="21"/>
  <c r="E33" i="21"/>
  <c r="F32" i="21"/>
  <c r="V16" i="6"/>
  <c r="U25" i="6"/>
  <c r="G41" i="21"/>
  <c r="G25" i="21"/>
  <c r="G29" i="21" s="1"/>
  <c r="E30" i="6"/>
  <c r="G23" i="21"/>
  <c r="G27" i="21" s="1"/>
  <c r="G31" i="21" l="1"/>
  <c r="G38" i="21"/>
  <c r="F33" i="21"/>
  <c r="G32" i="21"/>
  <c r="G37" i="21"/>
  <c r="V25" i="6"/>
  <c r="W16" i="6"/>
  <c r="N30" i="21"/>
  <c r="O30" i="21" s="1"/>
  <c r="M31" i="21"/>
  <c r="I20" i="21"/>
  <c r="I18" i="21"/>
  <c r="I21" i="21"/>
  <c r="J16" i="21"/>
  <c r="I19" i="21"/>
  <c r="H25" i="21"/>
  <c r="E29" i="6"/>
  <c r="G39" i="21"/>
  <c r="H17" i="21"/>
  <c r="H38" i="21" s="1"/>
  <c r="H22" i="21"/>
  <c r="H23" i="21"/>
  <c r="U26" i="6"/>
  <c r="V5" i="6" s="1"/>
  <c r="H24" i="21"/>
  <c r="W13" i="6"/>
  <c r="X4" i="6" s="1"/>
  <c r="V14" i="6"/>
  <c r="I38" i="21" l="1"/>
  <c r="I23" i="21"/>
  <c r="G33" i="21"/>
  <c r="H32" i="21"/>
  <c r="W25" i="6"/>
  <c r="X16" i="6"/>
  <c r="H37" i="21"/>
  <c r="I22" i="21"/>
  <c r="I17" i="21"/>
  <c r="I37" i="21" s="1"/>
  <c r="I24" i="21"/>
  <c r="I39" i="21"/>
  <c r="V26" i="6"/>
  <c r="W5" i="6" s="1"/>
  <c r="W26" i="6" s="1"/>
  <c r="X5" i="6" s="1"/>
  <c r="X13" i="6"/>
  <c r="W14" i="6"/>
  <c r="J19" i="21"/>
  <c r="J18" i="21"/>
  <c r="J21" i="21"/>
  <c r="K16" i="21"/>
  <c r="J20" i="21"/>
  <c r="H40" i="21"/>
  <c r="O31" i="21"/>
  <c r="P30" i="21"/>
  <c r="Q30" i="21" s="1"/>
  <c r="I41" i="21"/>
  <c r="I40" i="21"/>
  <c r="I25" i="21"/>
  <c r="H39" i="21"/>
  <c r="Y16" i="6" l="1"/>
  <c r="X25" i="6"/>
  <c r="J24" i="21"/>
  <c r="J28" i="21" s="1"/>
  <c r="K18" i="21"/>
  <c r="K21" i="21"/>
  <c r="L16" i="21"/>
  <c r="K19" i="21"/>
  <c r="K20" i="21"/>
  <c r="H33" i="21"/>
  <c r="I32" i="21"/>
  <c r="J40" i="21"/>
  <c r="J25" i="21"/>
  <c r="J29" i="21" s="1"/>
  <c r="J37" i="21"/>
  <c r="J22" i="21"/>
  <c r="J26" i="21" s="1"/>
  <c r="J31" i="21" s="1"/>
  <c r="J17" i="21"/>
  <c r="J39" i="21" s="1"/>
  <c r="J38" i="21"/>
  <c r="J23" i="21"/>
  <c r="J27" i="21" s="1"/>
  <c r="Y13" i="6"/>
  <c r="X14" i="6"/>
  <c r="X26" i="6" s="1"/>
  <c r="Y5" i="6" s="1"/>
  <c r="Q31" i="21"/>
  <c r="R30" i="21"/>
  <c r="S30" i="21" s="1"/>
  <c r="Y4" i="6"/>
  <c r="Z4" i="6" s="1"/>
  <c r="L21" i="21" l="1"/>
  <c r="M16" i="21"/>
  <c r="L19" i="21"/>
  <c r="L18" i="21"/>
  <c r="L20" i="21"/>
  <c r="K25" i="21"/>
  <c r="Z13" i="6"/>
  <c r="Y14" i="6"/>
  <c r="Y26" i="6" s="1"/>
  <c r="Z5" i="6" s="1"/>
  <c r="J32" i="21"/>
  <c r="I33" i="21"/>
  <c r="K24" i="21"/>
  <c r="Y25" i="6"/>
  <c r="Z16" i="6"/>
  <c r="T30" i="21"/>
  <c r="U30" i="21" s="1"/>
  <c r="S31" i="21"/>
  <c r="K22" i="21"/>
  <c r="K17" i="21"/>
  <c r="K37" i="21" s="1"/>
  <c r="AA4" i="6"/>
  <c r="K38" i="21"/>
  <c r="K23" i="21"/>
  <c r="Z25" i="6" l="1"/>
  <c r="AA16" i="6"/>
  <c r="K40" i="21"/>
  <c r="L17" i="21"/>
  <c r="L37" i="21"/>
  <c r="L22" i="21"/>
  <c r="L26" i="21" s="1"/>
  <c r="L31" i="21" s="1"/>
  <c r="L39" i="21"/>
  <c r="L24" i="21"/>
  <c r="L28" i="21" s="1"/>
  <c r="K39" i="21"/>
  <c r="K32" i="21"/>
  <c r="J33" i="21"/>
  <c r="L25" i="21"/>
  <c r="L29" i="21" s="1"/>
  <c r="L40" i="21"/>
  <c r="AB4" i="6"/>
  <c r="AC4" i="6" s="1"/>
  <c r="AD4" i="6" s="1"/>
  <c r="L38" i="21"/>
  <c r="L23" i="21"/>
  <c r="L27" i="21" s="1"/>
  <c r="M20" i="21"/>
  <c r="M19" i="21"/>
  <c r="N16" i="21"/>
  <c r="M18" i="21"/>
  <c r="M21" i="21"/>
  <c r="V30" i="21"/>
  <c r="W30" i="21" s="1"/>
  <c r="U31" i="21"/>
  <c r="AA13" i="6"/>
  <c r="Z14" i="6"/>
  <c r="Z26" i="6" s="1"/>
  <c r="AA5" i="6" s="1"/>
  <c r="N19" i="21" l="1"/>
  <c r="O16" i="21"/>
  <c r="N18" i="21"/>
  <c r="N20" i="21"/>
  <c r="N21" i="21"/>
  <c r="W31" i="21"/>
  <c r="X30" i="21"/>
  <c r="Y30" i="21" s="1"/>
  <c r="M25" i="21"/>
  <c r="L32" i="21"/>
  <c r="K33" i="21"/>
  <c r="AA25" i="6"/>
  <c r="AB16" i="6"/>
  <c r="M37" i="21"/>
  <c r="M22" i="21"/>
  <c r="M17" i="21"/>
  <c r="M40" i="21" s="1"/>
  <c r="M38" i="21"/>
  <c r="M23" i="21"/>
  <c r="M39" i="21"/>
  <c r="M24" i="21"/>
  <c r="AA14" i="6"/>
  <c r="M14" i="6" s="1"/>
  <c r="M13" i="6"/>
  <c r="N22" i="21" l="1"/>
  <c r="N26" i="21" s="1"/>
  <c r="N17" i="21"/>
  <c r="N37" i="21" s="1"/>
  <c r="Y31" i="21"/>
  <c r="Z30" i="21"/>
  <c r="AA30" i="21" s="1"/>
  <c r="M32" i="21"/>
  <c r="L33" i="21"/>
  <c r="E12" i="6"/>
  <c r="E26" i="6"/>
  <c r="B13" i="6"/>
  <c r="AB25" i="6"/>
  <c r="AC16" i="6"/>
  <c r="N39" i="21"/>
  <c r="N24" i="21"/>
  <c r="N28" i="21" s="1"/>
  <c r="N23" i="21"/>
  <c r="N27" i="21" s="1"/>
  <c r="N38" i="21"/>
  <c r="A15" i="6"/>
  <c r="B9" i="6"/>
  <c r="B10" i="6"/>
  <c r="B6" i="6"/>
  <c r="B12" i="6"/>
  <c r="B8" i="6"/>
  <c r="B7" i="6"/>
  <c r="B11" i="6"/>
  <c r="N40" i="21"/>
  <c r="N25" i="21"/>
  <c r="N29" i="21" s="1"/>
  <c r="O18" i="21"/>
  <c r="O20" i="21"/>
  <c r="P16" i="21"/>
  <c r="O19" i="21"/>
  <c r="O21" i="21"/>
  <c r="AA26" i="6"/>
  <c r="AB5" i="6" s="1"/>
  <c r="P21" i="21" l="1"/>
  <c r="Q16" i="21"/>
  <c r="P20" i="21"/>
  <c r="P18" i="21"/>
  <c r="P19" i="21"/>
  <c r="AB30" i="21"/>
  <c r="AC30" i="21" s="1"/>
  <c r="AA31" i="21"/>
  <c r="O25" i="21"/>
  <c r="O23" i="21"/>
  <c r="O22" i="21"/>
  <c r="O17" i="21"/>
  <c r="O40" i="21" s="1"/>
  <c r="B14" i="6"/>
  <c r="AD16" i="6"/>
  <c r="AC25" i="6"/>
  <c r="M33" i="21"/>
  <c r="E10" i="6"/>
  <c r="O39" i="21"/>
  <c r="O24" i="21"/>
  <c r="N31" i="21"/>
  <c r="N32" i="21" s="1"/>
  <c r="AB26" i="6"/>
  <c r="AC5" i="6" s="1"/>
  <c r="AC26" i="6" s="1"/>
  <c r="AD5" i="6" s="1"/>
  <c r="E24" i="6"/>
  <c r="N33" i="21" l="1"/>
  <c r="O32" i="21"/>
  <c r="P38" i="21"/>
  <c r="P23" i="21"/>
  <c r="P27" i="21" s="1"/>
  <c r="AD25" i="6"/>
  <c r="M25" i="6" s="1"/>
  <c r="M16" i="6"/>
  <c r="O37" i="21"/>
  <c r="P37" i="21"/>
  <c r="P17" i="21"/>
  <c r="P22" i="21"/>
  <c r="P26" i="21" s="1"/>
  <c r="E35" i="6"/>
  <c r="P39" i="21"/>
  <c r="P24" i="21"/>
  <c r="P28" i="21" s="1"/>
  <c r="AD30" i="21"/>
  <c r="AC31" i="21"/>
  <c r="O38" i="21"/>
  <c r="Q20" i="21"/>
  <c r="Q24" i="21" s="1"/>
  <c r="Q18" i="21"/>
  <c r="Q19" i="21"/>
  <c r="Q23" i="21" s="1"/>
  <c r="Q21" i="21"/>
  <c r="Q25" i="21" s="1"/>
  <c r="R16" i="21"/>
  <c r="F24" i="6"/>
  <c r="AD26" i="6"/>
  <c r="P25" i="21"/>
  <c r="P29" i="21" s="1"/>
  <c r="P40" i="21"/>
  <c r="A35" i="6" l="1"/>
  <c r="B31" i="6"/>
  <c r="B26" i="6"/>
  <c r="B29" i="6"/>
  <c r="B30" i="6"/>
  <c r="B28" i="6"/>
  <c r="B24" i="6"/>
  <c r="B32" i="6"/>
  <c r="B27" i="6"/>
  <c r="M26" i="6"/>
  <c r="R19" i="21"/>
  <c r="R23" i="21" s="1"/>
  <c r="R27" i="21" s="1"/>
  <c r="R18" i="21"/>
  <c r="R21" i="21"/>
  <c r="R25" i="21" s="1"/>
  <c r="R29" i="21" s="1"/>
  <c r="S16" i="21"/>
  <c r="R20" i="21"/>
  <c r="R24" i="21" s="1"/>
  <c r="R28" i="21" s="1"/>
  <c r="F6" i="6"/>
  <c r="F18" i="6"/>
  <c r="F8" i="6"/>
  <c r="F16" i="6"/>
  <c r="F17" i="6"/>
  <c r="F19" i="6"/>
  <c r="F7" i="6"/>
  <c r="F34" i="6"/>
  <c r="F15" i="6"/>
  <c r="F5" i="6"/>
  <c r="F11" i="6"/>
  <c r="F31" i="6"/>
  <c r="F32" i="6"/>
  <c r="F25" i="6"/>
  <c r="F27" i="6"/>
  <c r="F13" i="6"/>
  <c r="F22" i="6"/>
  <c r="F21" i="6"/>
  <c r="F33" i="6"/>
  <c r="F30" i="6"/>
  <c r="F29" i="6"/>
  <c r="F35" i="6" s="1"/>
  <c r="F26" i="6"/>
  <c r="F12" i="6"/>
  <c r="Q17" i="21"/>
  <c r="Q22" i="21"/>
  <c r="F10" i="6"/>
  <c r="P31" i="21"/>
  <c r="P32" i="21" s="1"/>
  <c r="O33" i="21"/>
  <c r="B25" i="6"/>
  <c r="H28" i="6"/>
  <c r="P33" i="21" l="1"/>
  <c r="Q32" i="21"/>
  <c r="S18" i="21"/>
  <c r="S21" i="21"/>
  <c r="S25" i="21" s="1"/>
  <c r="T16" i="21"/>
  <c r="S19" i="21"/>
  <c r="S23" i="21" s="1"/>
  <c r="S20" i="21"/>
  <c r="S24" i="21" s="1"/>
  <c r="R17" i="21"/>
  <c r="R22" i="21"/>
  <c r="R26" i="21" s="1"/>
  <c r="R31" i="21" s="1"/>
  <c r="B33" i="6"/>
  <c r="H26" i="6"/>
  <c r="S22" i="21" l="1"/>
  <c r="S17" i="21"/>
  <c r="T21" i="21"/>
  <c r="T25" i="21" s="1"/>
  <c r="T29" i="21" s="1"/>
  <c r="U16" i="21"/>
  <c r="T19" i="21"/>
  <c r="T23" i="21" s="1"/>
  <c r="T27" i="21" s="1"/>
  <c r="T18" i="21"/>
  <c r="T20" i="21"/>
  <c r="T24" i="21" s="1"/>
  <c r="T28" i="21" s="1"/>
  <c r="H16" i="6"/>
  <c r="R32" i="21"/>
  <c r="Q33" i="21"/>
  <c r="U20" i="21" l="1"/>
  <c r="U24" i="21" s="1"/>
  <c r="U19" i="21"/>
  <c r="U23" i="21" s="1"/>
  <c r="U18" i="21"/>
  <c r="U21" i="21"/>
  <c r="U25" i="21" s="1"/>
  <c r="V16" i="21"/>
  <c r="S32" i="21"/>
  <c r="R33" i="21"/>
  <c r="H10" i="6"/>
  <c r="T17" i="21"/>
  <c r="T22" i="21"/>
  <c r="T26" i="21" s="1"/>
  <c r="T31" i="21" s="1"/>
  <c r="V19" i="21" l="1"/>
  <c r="V23" i="21" s="1"/>
  <c r="V27" i="21" s="1"/>
  <c r="V20" i="21"/>
  <c r="V24" i="21" s="1"/>
  <c r="V28" i="21" s="1"/>
  <c r="V21" i="21"/>
  <c r="V25" i="21" s="1"/>
  <c r="V29" i="21" s="1"/>
  <c r="V18" i="21"/>
  <c r="W16" i="21"/>
  <c r="T32" i="21"/>
  <c r="S33" i="21"/>
  <c r="U22" i="21"/>
  <c r="U17" i="21"/>
  <c r="H35" i="6"/>
  <c r="V22" i="21" l="1"/>
  <c r="V26" i="21" s="1"/>
  <c r="V31" i="21" s="1"/>
  <c r="V17" i="21"/>
  <c r="I11" i="6"/>
  <c r="I13" i="6"/>
  <c r="I35" i="6"/>
  <c r="I14" i="6"/>
  <c r="I7" i="6"/>
  <c r="I12" i="6"/>
  <c r="I6" i="6"/>
  <c r="I23" i="6"/>
  <c r="I15" i="6"/>
  <c r="I31" i="6"/>
  <c r="I5" i="6"/>
  <c r="I19" i="6"/>
  <c r="I24" i="6"/>
  <c r="I18" i="6"/>
  <c r="I22" i="6"/>
  <c r="I32" i="6"/>
  <c r="I30" i="6"/>
  <c r="I27" i="6"/>
  <c r="I29" i="6"/>
  <c r="H36" i="6"/>
  <c r="I28" i="6"/>
  <c r="I26" i="6"/>
  <c r="I16" i="6"/>
  <c r="U32" i="21"/>
  <c r="T33" i="21"/>
  <c r="W18" i="21"/>
  <c r="W20" i="21"/>
  <c r="W24" i="21" s="1"/>
  <c r="W19" i="21"/>
  <c r="W23" i="21" s="1"/>
  <c r="W21" i="21"/>
  <c r="W25" i="21" s="1"/>
  <c r="X16" i="21"/>
  <c r="I10" i="6"/>
  <c r="X21" i="21" l="1"/>
  <c r="X25" i="21" s="1"/>
  <c r="X29" i="21" s="1"/>
  <c r="Y16" i="21"/>
  <c r="X20" i="21"/>
  <c r="X24" i="21" s="1"/>
  <c r="X28" i="21" s="1"/>
  <c r="X19" i="21"/>
  <c r="X23" i="21" s="1"/>
  <c r="X27" i="21" s="1"/>
  <c r="X18" i="21"/>
  <c r="W22" i="21"/>
  <c r="W17" i="21"/>
  <c r="U33" i="21"/>
  <c r="V32" i="21"/>
  <c r="X17" i="21" l="1"/>
  <c r="X22" i="21"/>
  <c r="X26" i="21" s="1"/>
  <c r="X31" i="21" s="1"/>
  <c r="Y20" i="21"/>
  <c r="Y24" i="21" s="1"/>
  <c r="Y18" i="21"/>
  <c r="Y21" i="21"/>
  <c r="Y25" i="21" s="1"/>
  <c r="Z16" i="21"/>
  <c r="Y19" i="21"/>
  <c r="Y23" i="21" s="1"/>
  <c r="V33" i="21"/>
  <c r="W32" i="21"/>
  <c r="Z19" i="21" l="1"/>
  <c r="Z23" i="21" s="1"/>
  <c r="Z27" i="21" s="1"/>
  <c r="Z18" i="21"/>
  <c r="Z21" i="21"/>
  <c r="Z25" i="21" s="1"/>
  <c r="Z29" i="21" s="1"/>
  <c r="AA16" i="21"/>
  <c r="Z20" i="21"/>
  <c r="Z24" i="21" s="1"/>
  <c r="Z28" i="21" s="1"/>
  <c r="Y22" i="21"/>
  <c r="Y17" i="21"/>
  <c r="W33" i="21"/>
  <c r="X32" i="21"/>
  <c r="AA18" i="21" l="1"/>
  <c r="AA21" i="21"/>
  <c r="AA25" i="21" s="1"/>
  <c r="AB16" i="21"/>
  <c r="AA20" i="21"/>
  <c r="AA24" i="21" s="1"/>
  <c r="AA19" i="21"/>
  <c r="AA23" i="21" s="1"/>
  <c r="Z22" i="21"/>
  <c r="Z26" i="21" s="1"/>
  <c r="Z31" i="21" s="1"/>
  <c r="Z17" i="21"/>
  <c r="X33" i="21"/>
  <c r="Y32" i="21"/>
  <c r="AB21" i="21" l="1"/>
  <c r="AB25" i="21" s="1"/>
  <c r="AB29" i="21" s="1"/>
  <c r="AC16" i="21"/>
  <c r="AB19" i="21"/>
  <c r="AB23" i="21" s="1"/>
  <c r="AB27" i="21" s="1"/>
  <c r="AB18" i="21"/>
  <c r="AB20" i="21"/>
  <c r="AB24" i="21" s="1"/>
  <c r="AB28" i="21" s="1"/>
  <c r="Z32" i="21"/>
  <c r="Y33" i="21"/>
  <c r="AA22" i="21"/>
  <c r="AA17" i="21"/>
  <c r="AA32" i="21" l="1"/>
  <c r="Z33" i="21"/>
  <c r="AB17" i="21"/>
  <c r="AB22" i="21"/>
  <c r="AB26" i="21" s="1"/>
  <c r="AB31" i="21" s="1"/>
  <c r="AC20" i="21"/>
  <c r="AC24" i="21" s="1"/>
  <c r="AC19" i="21"/>
  <c r="AC23" i="21" s="1"/>
  <c r="AD16" i="21"/>
  <c r="AC18" i="21"/>
  <c r="AC21" i="21"/>
  <c r="AC25" i="21" s="1"/>
  <c r="AC22" i="21" l="1"/>
  <c r="AC17" i="21"/>
  <c r="AD19" i="21"/>
  <c r="AD23" i="21" s="1"/>
  <c r="AD27" i="21" s="1"/>
  <c r="AD18" i="21"/>
  <c r="AD21" i="21"/>
  <c r="AD25" i="21" s="1"/>
  <c r="AD29" i="21" s="1"/>
  <c r="AD20" i="21"/>
  <c r="AD24" i="21" s="1"/>
  <c r="AD28" i="21" s="1"/>
  <c r="AB32" i="21"/>
  <c r="AA33" i="21"/>
  <c r="AC32" i="21" l="1"/>
  <c r="AB33" i="21"/>
  <c r="AD22" i="21"/>
  <c r="AD26" i="21" s="1"/>
  <c r="AD31" i="21" s="1"/>
  <c r="AD17" i="21"/>
  <c r="AC33" i="21" l="1"/>
  <c r="AD32" i="21"/>
  <c r="AD33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G8" authorId="0" shapeId="0" xr:uid="{00000000-0006-0000-05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5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500-00000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H19" authorId="0" shapeId="0" xr:uid="{00000000-0006-0000-0500-00000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incluye sueldo primera semana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8" authorId="0" shapeId="0" xr:uid="{00000000-0006-0000-06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8" authorId="0" shapeId="0" xr:uid="{00000000-0006-0000-06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1" authorId="0" shapeId="0" xr:uid="{00000000-0006-0000-0A00-000001000000}">
      <text>
        <r>
          <rPr>
            <sz val="8"/>
            <rFont val="Tahoma"/>
            <family val="2"/>
          </rPr>
          <t>Lid*Lid*Exp</t>
        </r>
      </text>
    </comment>
    <comment ref="I3" authorId="0" shapeId="0" xr:uid="{00000000-0006-0000-0A00-000002000000}">
      <text>
        <r>
          <rPr>
            <sz val="8"/>
            <rFont val="Tahoma"/>
            <family val="2"/>
          </rPr>
          <t>Lid*Lid*Exp</t>
        </r>
      </text>
    </comment>
    <comment ref="I12" authorId="0" shapeId="0" xr:uid="{00000000-0006-0000-0A00-000003000000}">
      <text>
        <r>
          <rPr>
            <sz val="8"/>
            <rFont val="Tahoma"/>
            <family val="2"/>
          </rPr>
          <t>Lid*Lid*Exp</t>
        </r>
      </text>
    </comment>
    <comment ref="I24" authorId="0" shapeId="0" xr:uid="{00000000-0006-0000-0A00-000004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X1" authorId="0" shapeId="0" xr:uid="{00000000-0006-0000-0B00-000004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AY1" authorId="0" shapeId="0" xr:uid="{00000000-0006-0000-0B00-000005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8" authorId="0" shapeId="0" xr:uid="{00000000-0006-0000-0B00-000002000000}">
      <text>
        <r>
          <rPr>
            <b/>
            <sz val="8"/>
            <rFont val="Tahoma"/>
            <family val="2"/>
          </rPr>
          <t>Debe ser bajo, muy bajo</t>
        </r>
      </text>
    </comment>
    <comment ref="G10" authorId="0" shapeId="0" xr:uid="{00000000-0006-0000-0B00-000003000000}">
      <text>
        <r>
          <rPr>
            <b/>
            <sz val="8"/>
            <rFont val="Tahoma"/>
            <family val="2"/>
          </rPr>
          <t>Debe ser bajo, muy bajo</t>
        </r>
      </text>
    </comment>
    <comment ref="G18" authorId="0" shapeId="0" xr:uid="{00000000-0006-0000-0B00-000001000000}">
      <text>
        <r>
          <rPr>
            <b/>
            <sz val="8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<sst xmlns="http://schemas.openxmlformats.org/spreadsheetml/2006/main" count="2245" uniqueCount="691">
  <si>
    <t>Fecha Actualizacion</t>
  </si>
  <si>
    <t>Mejor Partido</t>
  </si>
  <si>
    <t>Casa</t>
  </si>
  <si>
    <t>529hts</t>
  </si>
  <si>
    <t>Obiwan-Antioch</t>
  </si>
  <si>
    <t>F-N</t>
  </si>
  <si>
    <t>532hts</t>
  </si>
  <si>
    <t>FC Mariannah - Obiwan</t>
  </si>
  <si>
    <t>Porteria Imbatuda</t>
  </si>
  <si>
    <t>Més Partits Jugats</t>
  </si>
  <si>
    <t>Gols Marcats</t>
  </si>
  <si>
    <t>G/P</t>
  </si>
  <si>
    <t>Millor Qualificació</t>
  </si>
  <si>
    <t>Dominik Gehmacher</t>
  </si>
  <si>
    <t>POR</t>
  </si>
  <si>
    <t>Elliot Romweber</t>
  </si>
  <si>
    <t>DL</t>
  </si>
  <si>
    <t>Julián Limón</t>
  </si>
  <si>
    <t>DV</t>
  </si>
  <si>
    <t>14*</t>
  </si>
  <si>
    <t>Lorenzo Calosso</t>
  </si>
  <si>
    <t>DAV</t>
  </si>
  <si>
    <t>Tony Hammond</t>
  </si>
  <si>
    <t>Eugene Toney</t>
  </si>
  <si>
    <t>DC</t>
  </si>
  <si>
    <t>11,5*</t>
  </si>
  <si>
    <t>Robert Lawhon</t>
  </si>
  <si>
    <t>Stephen Buschelman</t>
  </si>
  <si>
    <t>MED</t>
  </si>
  <si>
    <t>Stacy Zobbe</t>
  </si>
  <si>
    <t>EXT</t>
  </si>
  <si>
    <t>林 (Lin) 光维 (Guangwei)</t>
  </si>
  <si>
    <t>Julian Limón</t>
  </si>
  <si>
    <t>Clayton Rojas</t>
  </si>
  <si>
    <t>Philip Alston</t>
  </si>
  <si>
    <t>Gerolf Kerschl</t>
  </si>
  <si>
    <t>Duncan Toh</t>
  </si>
  <si>
    <t>DEF</t>
  </si>
  <si>
    <t>Hardy Kjærulff</t>
  </si>
  <si>
    <t>Carlos Ramirez</t>
  </si>
  <si>
    <t>Ke'Shawn Helms</t>
  </si>
  <si>
    <t>11*</t>
  </si>
  <si>
    <t>Bendegúz Pinczehelyi</t>
  </si>
  <si>
    <t>Eric Gross</t>
  </si>
  <si>
    <t>Lawrence Bauman</t>
  </si>
  <si>
    <t>Més vegades Capità</t>
  </si>
  <si>
    <t>Baudalio Bartolache</t>
  </si>
  <si>
    <t>10,5*</t>
  </si>
  <si>
    <t>Pavan Trivedi</t>
  </si>
  <si>
    <t>10*</t>
  </si>
  <si>
    <t>Allen Horn</t>
  </si>
  <si>
    <t>Jakob-Peter Kechele</t>
  </si>
  <si>
    <t>9*</t>
  </si>
  <si>
    <t>Will Gelifini</t>
  </si>
  <si>
    <t>8,5*</t>
  </si>
  <si>
    <t>Juan Alberto Carmona</t>
  </si>
  <si>
    <t>Pavan Trivadi</t>
  </si>
  <si>
    <t>Félix Lasprilla</t>
  </si>
  <si>
    <t>Ian Stone</t>
  </si>
  <si>
    <t>8*</t>
  </si>
  <si>
    <t>John Wesner</t>
  </si>
  <si>
    <t>Steve Olson</t>
  </si>
  <si>
    <t>DEF/DV</t>
  </si>
  <si>
    <t>Stefano Sbattelia</t>
  </si>
  <si>
    <t>Marian Dondarewski</t>
  </si>
  <si>
    <t>Milan Amico</t>
  </si>
  <si>
    <t>Rickey Forsyth</t>
  </si>
  <si>
    <t>Marian Bondarewski</t>
  </si>
  <si>
    <t>Patryk Tuderek</t>
  </si>
  <si>
    <t>Michael Smith</t>
  </si>
  <si>
    <t>Gerald Piscaer</t>
  </si>
  <si>
    <t>Fernando Mendieta</t>
  </si>
  <si>
    <t>Lamar Cherry</t>
  </si>
  <si>
    <t>Javier Brock</t>
  </si>
  <si>
    <t>Ilmars Vanags</t>
  </si>
  <si>
    <t>Valério Godoi</t>
  </si>
  <si>
    <t>Valentino Gardner</t>
  </si>
  <si>
    <t>Hector Garzón</t>
  </si>
  <si>
    <t>Lenny Albers</t>
  </si>
  <si>
    <t>Eric Deus</t>
  </si>
  <si>
    <t>Stellan Swardborn</t>
  </si>
  <si>
    <t>Luka Tutoric</t>
  </si>
  <si>
    <t>Mieczysław Grupiński</t>
  </si>
  <si>
    <t>Jarkko Vartainen</t>
  </si>
  <si>
    <t>Nfin</t>
  </si>
  <si>
    <t>POS</t>
  </si>
  <si>
    <t>h34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</si>
  <si>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</si>
  <si>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</si>
  <si>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</si>
  <si>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</si>
  <si>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</si>
  <si>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</si>
  <si>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</si>
  <si>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</si>
  <si>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</si>
  <si>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</si>
  <si>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</si>
  <si>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Fcompra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</si>
  <si>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</si>
  <si>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</si>
  <si>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</si>
  <si>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</si>
  <si>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</si>
  <si>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</si>
  <si>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</si>
  <si>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</si>
  <si>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</si>
  <si>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</si>
  <si>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</si>
  <si>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</si>
  <si>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</si>
  <si>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</si>
  <si>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Ability</t>
  </si>
  <si>
    <t>JMn</t>
  </si>
  <si>
    <t>JMx</t>
  </si>
  <si>
    <t>CA</t>
  </si>
  <si>
    <t>TL</t>
  </si>
  <si>
    <t>PEN</t>
  </si>
  <si>
    <t>BPiA</t>
  </si>
  <si>
    <t>BPiD</t>
  </si>
  <si>
    <t>BPMin</t>
  </si>
  <si>
    <t>BPMax</t>
  </si>
  <si>
    <t>Ag</t>
  </si>
  <si>
    <t>Ho</t>
  </si>
  <si>
    <t>%_T</t>
  </si>
  <si>
    <t>Ede</t>
  </si>
  <si>
    <t>Eju</t>
  </si>
  <si>
    <t>Ean</t>
  </si>
  <si>
    <t>EBP</t>
  </si>
  <si>
    <t>DLD</t>
  </si>
  <si>
    <t>DLN</t>
  </si>
  <si>
    <t>DCN</t>
  </si>
  <si>
    <t>DCL</t>
  </si>
  <si>
    <t>DCO</t>
  </si>
  <si>
    <t>INN</t>
  </si>
  <si>
    <t>IND</t>
  </si>
  <si>
    <t>EN</t>
  </si>
  <si>
    <t>ED</t>
  </si>
  <si>
    <t>EM</t>
  </si>
  <si>
    <t>DD</t>
  </si>
  <si>
    <t>LastWeek</t>
  </si>
  <si>
    <t>Coste (m€)</t>
  </si>
  <si>
    <t>#30</t>
  </si>
  <si>
    <t>D. Gehmacher</t>
  </si>
  <si>
    <t>#1</t>
  </si>
  <si>
    <t>IMP</t>
  </si>
  <si>
    <t>#40</t>
  </si>
  <si>
    <t>E. Toney</t>
  </si>
  <si>
    <t>Cantera</t>
  </si>
  <si>
    <t>#36</t>
  </si>
  <si>
    <t>F. Lasprilla</t>
  </si>
  <si>
    <t>#31</t>
  </si>
  <si>
    <t>E. Romweber</t>
  </si>
  <si>
    <t>#35</t>
  </si>
  <si>
    <t>S. Buschelman</t>
  </si>
  <si>
    <t>TEC</t>
  </si>
  <si>
    <t>#2</t>
  </si>
  <si>
    <t>L. Tutorić</t>
  </si>
  <si>
    <t>CAB</t>
  </si>
  <si>
    <t>S. Swärdborn</t>
  </si>
  <si>
    <t>#19</t>
  </si>
  <si>
    <t>A. Grimaud</t>
  </si>
  <si>
    <t>RAP</t>
  </si>
  <si>
    <t>#22</t>
  </si>
  <si>
    <t>V. Gardner</t>
  </si>
  <si>
    <t>#3</t>
  </si>
  <si>
    <t>S. Embe</t>
  </si>
  <si>
    <t>#4</t>
  </si>
  <si>
    <t>E. Deus</t>
  </si>
  <si>
    <t>#16</t>
  </si>
  <si>
    <t>I. Vanags</t>
  </si>
  <si>
    <t>#8</t>
  </si>
  <si>
    <t>I. Stone</t>
  </si>
  <si>
    <t>#14</t>
  </si>
  <si>
    <t>G. Piscaer</t>
  </si>
  <si>
    <t>#9</t>
  </si>
  <si>
    <t>M. Bondarewski</t>
  </si>
  <si>
    <t>#12</t>
  </si>
  <si>
    <t>P. Tuderek</t>
  </si>
  <si>
    <t>#10</t>
  </si>
  <si>
    <t>R. Forsyth</t>
  </si>
  <si>
    <t>POT</t>
  </si>
  <si>
    <t>#11</t>
  </si>
  <si>
    <t>J-P. Kechele</t>
  </si>
  <si>
    <t>#29</t>
  </si>
  <si>
    <t>S. Zobbe</t>
  </si>
  <si>
    <t>#28</t>
  </si>
  <si>
    <t>P .Trivadi</t>
  </si>
  <si>
    <t>COMPLETAMENTE ENTRENADOS!</t>
  </si>
  <si>
    <t>PROMOCIONADOS HISTORIA</t>
  </si>
  <si>
    <t>Edad</t>
  </si>
  <si>
    <t>Esp</t>
  </si>
  <si>
    <t>Asc</t>
  </si>
  <si>
    <t>Fecha</t>
  </si>
  <si>
    <t>Pot</t>
  </si>
  <si>
    <t>JUG</t>
  </si>
  <si>
    <t>LAT</t>
  </si>
  <si>
    <t>PAS</t>
  </si>
  <si>
    <t>ANO</t>
  </si>
  <si>
    <t>BP</t>
  </si>
  <si>
    <t>u20</t>
  </si>
  <si>
    <t>Cap</t>
  </si>
  <si>
    <t>Ca</t>
  </si>
  <si>
    <t>PRIMER EQUIPO</t>
  </si>
  <si>
    <t>Info</t>
  </si>
  <si>
    <t>Habilidades</t>
  </si>
  <si>
    <t>Pot P</t>
  </si>
  <si>
    <t>Pot Def</t>
  </si>
  <si>
    <t>Pot Jug</t>
  </si>
  <si>
    <t>Pot Lat</t>
  </si>
  <si>
    <t>Pot Ano</t>
  </si>
  <si>
    <t>Pot Pas</t>
  </si>
  <si>
    <t>P_BP</t>
  </si>
  <si>
    <t>D. Toh</t>
  </si>
  <si>
    <t>Payne Fields</t>
  </si>
  <si>
    <t>no</t>
  </si>
  <si>
    <t>Agradable i Popular (2-4)</t>
  </si>
  <si>
    <t>B. Bartolache</t>
  </si>
  <si>
    <t>Brendon Hackler</t>
  </si>
  <si>
    <t>C.Ramirez</t>
  </si>
  <si>
    <t>Colton Marcum</t>
  </si>
  <si>
    <t>FC+1</t>
  </si>
  <si>
    <t>Polèmic (1)</t>
  </si>
  <si>
    <t>Jean Carlos Carrasquero</t>
  </si>
  <si>
    <t>E. Gross</t>
  </si>
  <si>
    <t xml:space="preserve">RELEVANTES </t>
  </si>
  <si>
    <t>E.Romweber</t>
  </si>
  <si>
    <t>L. Cherry</t>
  </si>
  <si>
    <t>N. Umair</t>
  </si>
  <si>
    <t>Scotty Duncan</t>
  </si>
  <si>
    <t>C. Rojas</t>
  </si>
  <si>
    <t>Dalton Lindsey</t>
  </si>
  <si>
    <t>ns/nc</t>
  </si>
  <si>
    <t>J. Limon</t>
  </si>
  <si>
    <t>RELLENOS</t>
  </si>
  <si>
    <t>F. Mendieta</t>
  </si>
  <si>
    <t>L. Bauman</t>
  </si>
  <si>
    <t>K. Helms</t>
  </si>
  <si>
    <t>Thomas Williams</t>
  </si>
  <si>
    <t>M. Amico</t>
  </si>
  <si>
    <t>Coby Shaw</t>
  </si>
  <si>
    <t>FC</t>
  </si>
  <si>
    <t>W. Gelifini</t>
  </si>
  <si>
    <t>DeAndre O'Grady</t>
  </si>
  <si>
    <t>S. Buscleman</t>
  </si>
  <si>
    <t>John Castonguay</t>
  </si>
  <si>
    <t>FF-2</t>
  </si>
  <si>
    <t>E. Munguia</t>
  </si>
  <si>
    <t>Malcom Harrigan</t>
  </si>
  <si>
    <t>FF+1</t>
  </si>
  <si>
    <t>G. McGrary</t>
  </si>
  <si>
    <t>Hunter Handel</t>
  </si>
  <si>
    <t>FF+2</t>
  </si>
  <si>
    <t>E. Acosta</t>
  </si>
  <si>
    <t>Colin Murray</t>
  </si>
  <si>
    <t>G. Meza</t>
  </si>
  <si>
    <t>Mick Taylor</t>
  </si>
  <si>
    <t>C. A. Nuñez</t>
  </si>
  <si>
    <t>Bob Jernigan</t>
  </si>
  <si>
    <t>R. Bravo</t>
  </si>
  <si>
    <t>Leandro La Cruz</t>
  </si>
  <si>
    <t>FC+5</t>
  </si>
  <si>
    <t>M. Smith</t>
  </si>
  <si>
    <t>Evan Kohls</t>
  </si>
  <si>
    <t>A. Ong</t>
  </si>
  <si>
    <t>Craig Cali</t>
  </si>
  <si>
    <t>B. Copenhaver</t>
  </si>
  <si>
    <t>Actualización</t>
  </si>
  <si>
    <t>R. Gottfried</t>
  </si>
  <si>
    <t>Capitan</t>
  </si>
  <si>
    <t>P. Trivedi</t>
  </si>
  <si>
    <t>Davis</t>
  </si>
  <si>
    <t>E. Larm</t>
  </si>
  <si>
    <t>D. Amos</t>
  </si>
  <si>
    <t>J. Haskins</t>
  </si>
  <si>
    <t>M. Iverson</t>
  </si>
  <si>
    <t>P. Glenn</t>
  </si>
  <si>
    <t>M. Wells</t>
  </si>
  <si>
    <t>S. Gendron</t>
  </si>
  <si>
    <t>T.J. Burgess</t>
  </si>
  <si>
    <t>D. Bennett</t>
  </si>
  <si>
    <t>Donnie Leffler</t>
  </si>
  <si>
    <t>Victor Chavez</t>
  </si>
  <si>
    <t>B. Moriarty</t>
  </si>
  <si>
    <t>Talon Johnson</t>
  </si>
  <si>
    <t>B. Filler</t>
  </si>
  <si>
    <t>Henry Melillo</t>
  </si>
  <si>
    <t>H. Garzón</t>
  </si>
  <si>
    <t>D. Batchelor</t>
  </si>
  <si>
    <t>T. Robinson</t>
  </si>
  <si>
    <t>Chase Belanger</t>
  </si>
  <si>
    <t>Josh Bilbrey</t>
  </si>
  <si>
    <t>Javonte Patrick</t>
  </si>
  <si>
    <t>Randal Meister</t>
  </si>
  <si>
    <t>D. Waller</t>
  </si>
  <si>
    <t>Z. Fretwell</t>
  </si>
  <si>
    <t>Kelvin Lake</t>
  </si>
  <si>
    <t>Braxton Rose</t>
  </si>
  <si>
    <t>Adrian Ramsey</t>
  </si>
  <si>
    <t>Brent Braunstein</t>
  </si>
  <si>
    <t>Diego Mancilla</t>
  </si>
  <si>
    <t>Adrien Kudo</t>
  </si>
  <si>
    <t>Keith Simonsen</t>
  </si>
  <si>
    <t>C. Sternberg</t>
  </si>
  <si>
    <t>A. M. Fuente</t>
  </si>
  <si>
    <t>Wilson Barragán</t>
  </si>
  <si>
    <t>Dillon Newton</t>
  </si>
  <si>
    <t>Dustin Sessoms</t>
  </si>
  <si>
    <t>Virgilio Cerrud</t>
  </si>
  <si>
    <t>Jerry McGuigan</t>
  </si>
  <si>
    <t>Kurt Bond</t>
  </si>
  <si>
    <t>K. Guzman</t>
  </si>
  <si>
    <t>Gregory Soo</t>
  </si>
  <si>
    <t>Michael Martin</t>
  </si>
  <si>
    <t>5,0-5,9</t>
  </si>
  <si>
    <t>Ernie Majors</t>
  </si>
  <si>
    <t>Derrick Rawson</t>
  </si>
  <si>
    <t>Beau Gaudreau</t>
  </si>
  <si>
    <t>Nicholas Fout</t>
  </si>
  <si>
    <t>Chas Hulbert</t>
  </si>
  <si>
    <t>Randy Carter</t>
  </si>
  <si>
    <t>Steven Glenn</t>
  </si>
  <si>
    <t>Cody Kenny</t>
  </si>
  <si>
    <t>Daniel Miller</t>
  </si>
  <si>
    <t>Helmi Abdou</t>
  </si>
  <si>
    <t>Kyle Failla</t>
  </si>
  <si>
    <t>Eugene Ylanan</t>
  </si>
  <si>
    <t>Terry Risinger</t>
  </si>
  <si>
    <t>Emmanuel Allen</t>
  </si>
  <si>
    <t>Paul James</t>
  </si>
  <si>
    <t>Chaz Sutton</t>
  </si>
  <si>
    <t>Cam Funk</t>
  </si>
  <si>
    <t>Toni Leventhal</t>
  </si>
  <si>
    <t>Parker Pond</t>
  </si>
  <si>
    <t>Billy Davidson</t>
  </si>
  <si>
    <t>Kenneth Coomes</t>
  </si>
  <si>
    <t>Zach Arruda</t>
  </si>
  <si>
    <t>Craig Dunaj</t>
  </si>
  <si>
    <t>Rudolph Waymire</t>
  </si>
  <si>
    <t>Jared Martin</t>
  </si>
  <si>
    <t>Hans Wolf</t>
  </si>
  <si>
    <t>Clayton Roberson</t>
  </si>
  <si>
    <t>Coleman Blake</t>
  </si>
  <si>
    <t>Lance Carr</t>
  </si>
  <si>
    <t>Johnny Davis</t>
  </si>
  <si>
    <t>Alex Baker</t>
  </si>
  <si>
    <t>Collin Pemberton</t>
  </si>
  <si>
    <t>Sorena Rajabzadeh</t>
  </si>
  <si>
    <t>Chester Lanford</t>
  </si>
  <si>
    <t>Num</t>
  </si>
  <si>
    <t>Nombre</t>
  </si>
  <si>
    <t>ESP</t>
  </si>
  <si>
    <t>Años</t>
  </si>
  <si>
    <t>Sueldo</t>
  </si>
  <si>
    <t>S+20%</t>
  </si>
  <si>
    <t>DEFENSA</t>
  </si>
  <si>
    <t>Ordre</t>
  </si>
  <si>
    <t>JUGADAS</t>
  </si>
  <si>
    <t>2 Temporadas Jugadas</t>
  </si>
  <si>
    <t>IMP/CAB</t>
  </si>
  <si>
    <t>1 Temporada Anotacion</t>
  </si>
  <si>
    <t>Fichar Portero+Defensas</t>
  </si>
  <si>
    <t>Total</t>
  </si>
  <si>
    <t>Defensa y BP</t>
  </si>
  <si>
    <t>#5</t>
  </si>
  <si>
    <t>Temp</t>
  </si>
  <si>
    <t>#6</t>
  </si>
  <si>
    <t>#7</t>
  </si>
  <si>
    <t>Inners</t>
  </si>
  <si>
    <t>#13</t>
  </si>
  <si>
    <t>RAP/IMP/CAB</t>
  </si>
  <si>
    <t>Portero</t>
  </si>
  <si>
    <t>Defensa</t>
  </si>
  <si>
    <t>Delantero</t>
  </si>
  <si>
    <t>CAB/IMP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</si>
  <si>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</si>
  <si>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</si>
  <si>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</si>
  <si>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</si>
  <si>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</si>
  <si>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</si>
  <si>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</si>
  <si>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</si>
  <si>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</si>
  <si>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</si>
  <si>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</si>
  <si>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</si>
  <si>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</si>
  <si>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</si>
  <si>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</si>
  <si>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</si>
  <si>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</si>
  <si>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</si>
  <si>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</si>
  <si>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</si>
  <si>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</si>
  <si>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</si>
  <si>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</si>
  <si>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</si>
  <si>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</si>
  <si>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</si>
  <si>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</si>
  <si>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</si>
  <si>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</si>
  <si>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</si>
  <si>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</si>
  <si>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</si>
  <si>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</si>
  <si>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</si>
  <si>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</si>
  <si>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</si>
  <si>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Reservas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</si>
  <si>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</si>
  <si>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</si>
  <si>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</si>
  <si>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</si>
  <si>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</si>
  <si>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</si>
  <si>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</si>
  <si>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</si>
  <si>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</si>
  <si>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</si>
  <si>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</si>
  <si>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</si>
  <si>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</si>
  <si>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</si>
  <si>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</si>
  <si>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</si>
  <si>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</si>
  <si>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</si>
  <si>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</si>
  <si>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</si>
  <si>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</si>
  <si>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</si>
  <si>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</si>
  <si>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</si>
  <si>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</si>
  <si>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</si>
  <si>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</si>
  <si>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</si>
  <si>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</si>
  <si>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</si>
  <si>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</si>
  <si>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</si>
  <si>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</si>
  <si>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</si>
  <si>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</si>
  <si>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</si>
  <si>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</si>
  <si>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</si>
  <si>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</si>
  <si>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</si>
  <si>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</si>
  <si>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32(17)</t>
  </si>
  <si>
    <t>30(35)</t>
  </si>
  <si>
    <t>28(105)</t>
  </si>
  <si>
    <t>28(108)</t>
  </si>
  <si>
    <t>27(90)</t>
  </si>
  <si>
    <t>26(74)</t>
  </si>
  <si>
    <t>23(11)</t>
  </si>
  <si>
    <t>TOTAL</t>
  </si>
  <si>
    <t>Resistencia11</t>
  </si>
  <si>
    <t>Forma11</t>
  </si>
  <si>
    <t>Experiencia11</t>
  </si>
  <si>
    <t>Hibridación</t>
  </si>
  <si>
    <t xml:space="preserve">Evaluación 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</si>
  <si>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</si>
  <si>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</si>
  <si>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</si>
  <si>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</si>
  <si>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</si>
  <si>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</si>
  <si>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</si>
  <si>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</si>
  <si>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</si>
  <si>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EXTN</t>
  </si>
  <si>
    <t>EHM</t>
  </si>
  <si>
    <t>FechaCompra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</si>
  <si>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</si>
  <si>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</si>
  <si>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</si>
  <si>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</si>
  <si>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</si>
  <si>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</si>
  <si>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</si>
  <si>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</si>
  <si>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</si>
  <si>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Zona</t>
  </si>
  <si>
    <t>%</t>
  </si>
  <si>
    <t>Def Central</t>
  </si>
  <si>
    <t>Def Lat</t>
  </si>
  <si>
    <t>Medio</t>
  </si>
  <si>
    <t>At Lateral</t>
  </si>
  <si>
    <t>At Central</t>
  </si>
  <si>
    <t>Evalución sin FORMA</t>
  </si>
  <si>
    <t>N_CA</t>
  </si>
  <si>
    <t>Min</t>
  </si>
  <si>
    <t>Max</t>
  </si>
  <si>
    <t>TL Calculator</t>
  </si>
  <si>
    <t>CA_Calculator</t>
  </si>
  <si>
    <t>Defensas</t>
  </si>
  <si>
    <t>edad</t>
  </si>
  <si>
    <t>LS</t>
  </si>
  <si>
    <t>xpe/17 + (xpc * lid^2) ^ (2/3) / 30</t>
  </si>
  <si>
    <t>Xpe</t>
  </si>
  <si>
    <t>Xpe/16,5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</si>
  <si>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</si>
  <si>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</si>
  <si>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</si>
  <si>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</si>
  <si>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</si>
  <si>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</si>
  <si>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27</t>
  </si>
  <si>
    <t>(xpc * lid^2) ^ (2/3) / 30</t>
  </si>
  <si>
    <t>lid es el liderazgo del capitán</t>
  </si>
  <si>
    <t>liderazgo x liderazgo x experiencia</t>
  </si>
  <si>
    <t>Valor lider de "RED BARON"</t>
  </si>
  <si>
    <t>h33</t>
  </si>
  <si>
    <t>CMin</t>
  </si>
  <si>
    <t>CMax</t>
  </si>
  <si>
    <t>Fechallegada</t>
  </si>
  <si>
    <t>FechaTransformación</t>
  </si>
  <si>
    <t>FechaDespido</t>
  </si>
  <si>
    <t>CosteFichaje</t>
  </si>
  <si>
    <t>SueldoJug</t>
  </si>
  <si>
    <t>SueldoEnt</t>
  </si>
  <si>
    <t>CosteTransformación</t>
  </si>
  <si>
    <t>CosteTotal</t>
  </si>
  <si>
    <t>CosteTemporada</t>
  </si>
  <si>
    <t>TempEntrenador</t>
  </si>
  <si>
    <t>ENT</t>
  </si>
  <si>
    <t>S. Sbattelia</t>
  </si>
  <si>
    <t>S. Pignot</t>
  </si>
  <si>
    <t>I. Seccarecci</t>
  </si>
  <si>
    <t>Subnivel Min Seccarecci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</si>
  <si>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</si>
  <si>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</si>
  <si>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</si>
  <si>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</si>
  <si>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</si>
  <si>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</si>
  <si>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</si>
  <si>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</si>
  <si>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</si>
  <si>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</si>
  <si>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</si>
  <si>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</si>
  <si>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</si>
  <si>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</si>
  <si>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</si>
  <si>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</si>
  <si>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</si>
  <si>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</si>
  <si>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</si>
  <si>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</si>
  <si>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</si>
  <si>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</si>
  <si>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</si>
  <si>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</si>
  <si>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</si>
  <si>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</si>
  <si>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</si>
  <si>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</si>
  <si>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</si>
  <si>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</si>
  <si>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</si>
  <si>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</si>
  <si>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</si>
  <si>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</si>
  <si>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</si>
  <si>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</si>
  <si>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</si>
  <si>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</si>
  <si>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</si>
  <si>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</si>
  <si>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</si>
  <si>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</si>
  <si>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</si>
  <si>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</si>
  <si>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</si>
  <si>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</si>
  <si>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</si>
  <si>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</si>
  <si>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</si>
  <si>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</si>
  <si>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</si>
  <si>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</si>
  <si>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</si>
  <si>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</si>
  <si>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</si>
  <si>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</si>
  <si>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</si>
  <si>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</si>
  <si>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</si>
  <si>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</si>
  <si>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Ojo, no es directo a calis, es un % para comparar entre varias POS</t>
  </si>
  <si>
    <t>Niveles¿?</t>
  </si>
  <si>
    <t>CALCULADO</t>
  </si>
  <si>
    <t>10niveles</t>
  </si>
  <si>
    <t>15niveles</t>
  </si>
  <si>
    <t>DEFLat1</t>
  </si>
  <si>
    <t>DEFLat2</t>
  </si>
  <si>
    <t>DEFCen</t>
  </si>
  <si>
    <t>MEDIO</t>
  </si>
  <si>
    <t>AtLat1</t>
  </si>
  <si>
    <t>AtLat2</t>
  </si>
  <si>
    <t>AtCen</t>
  </si>
  <si>
    <t>BPIAt</t>
  </si>
  <si>
    <t>BPIDf</t>
  </si>
  <si>
    <t>CEN</t>
  </si>
  <si>
    <t>IDEF</t>
  </si>
  <si>
    <t>EXhM</t>
  </si>
  <si>
    <t>Maximo</t>
  </si>
  <si>
    <t>FORMACION</t>
  </si>
  <si>
    <t>Entrenamiento</t>
  </si>
  <si>
    <t>Sem/1L</t>
  </si>
  <si>
    <t>TODAS</t>
  </si>
  <si>
    <t>PORTERIA</t>
  </si>
  <si>
    <t>352BI</t>
  </si>
  <si>
    <t>LATERAL</t>
  </si>
  <si>
    <t>PASES</t>
  </si>
  <si>
    <t>253BI</t>
  </si>
  <si>
    <t>442CA</t>
  </si>
  <si>
    <t>541CA</t>
  </si>
  <si>
    <t>p</t>
  </si>
  <si>
    <t>DELCEN</t>
  </si>
  <si>
    <t>BPA</t>
  </si>
  <si>
    <t>BPD</t>
  </si>
  <si>
    <t>LATN</t>
  </si>
  <si>
    <t>CENN</t>
  </si>
  <si>
    <t>Ent.NEUTRO</t>
  </si>
  <si>
    <t>Ent.DEF</t>
  </si>
  <si>
    <t>Ent.OF</t>
  </si>
  <si>
    <t>DCHL</t>
  </si>
  <si>
    <t>F.Actu</t>
  </si>
  <si>
    <t>352Id</t>
  </si>
  <si>
    <t>541Id</t>
  </si>
  <si>
    <t>#</t>
  </si>
  <si>
    <t>R16,6%</t>
  </si>
  <si>
    <t>CEOf</t>
  </si>
  <si>
    <t>ChL</t>
  </si>
  <si>
    <t>WBN</t>
  </si>
  <si>
    <t>EXN</t>
  </si>
  <si>
    <t>Id-MED</t>
  </si>
  <si>
    <t>B. Pinczehelyi</t>
  </si>
  <si>
    <t>R12,5%</t>
  </si>
  <si>
    <t>Hab</t>
  </si>
  <si>
    <t>TL-100%</t>
  </si>
  <si>
    <t>TL-R16,6%</t>
  </si>
  <si>
    <t>TL-50%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</si>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</sst>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0.0%"/>
    <numFmt numFmtId="167" formatCode="_-* #,##0\ &quot;€&quot;_-;\-* #,##0\ &quot;€&quot;_-;_-* &quot;-&quot;??\ &quot;€&quot;_-;_-@_-"/>
    <numFmt numFmtId="168" formatCode="_-* #,##0\ [$€-C0A]_-;\-* #,##0\ [$€-C0A]_-;_-* &quot;-&quot;??\ [$€-C0A]_-;_-@_-"/>
    <numFmt numFmtId="169" formatCode="_-* #,##0.00\ [$€-C0A]_-;\-* #,##0.00\ [$€-C0A]_-;_-* &quot;-&quot;??\ [$€-C0A]_-;_-@_-"/>
    <numFmt numFmtId="170" formatCode="_-* #,##0\ _€_-;\-* #,##0\ _€_-;_-* &quot;-&quot;??\ _€_-;_-@_-"/>
    <numFmt numFmtId="171" formatCode="0.0"/>
    <numFmt numFmtId="172" formatCode="0.000"/>
    <numFmt numFmtId="173" formatCode="_-* #,##0.0\ _€_-;\-* #,##0.0\ _€_-;_-* &quot;-&quot;??\ _€_-;_-@_-"/>
    <numFmt numFmtId="174" formatCode="0.0000"/>
    <numFmt numFmtId="175" formatCode="0.00000"/>
    <numFmt numFmtId="176" formatCode="0\ %"/>
    <numFmt numFmtId="177" formatCode="_-* #,##0\ [$€-C0A]_-;\-* #,##0\ [$€-C0A]_-;_-* \-??\ [$€-C0A]_-;_-@_-"/>
    <numFmt numFmtId="178" formatCode="_-* #,##0.00\ [$€-C0A]_-;\-* #,##0.00\ [$€-C0A]_-;_-* \-??\ [$€-C0A]_-;_-@_-"/>
    <numFmt numFmtId="179" formatCode="_-* #,##0\ _€_-;\-* #,##0\ _€_-;_-* \-??\ _€_-;_-@_-"/>
    <numFmt numFmtId="180" formatCode="_-* #,##0&quot; €&quot;_-;\-* #,##0&quot; €&quot;_-;_-* \-??&quot; €&quot;_-;_-@_-"/>
    <numFmt numFmtId="181" formatCode="_-* #,##0.0\ _€_-;\-* #,##0.0\ _€_-;_-* &quot;-&quot;?\ _€_-;_-@_-"/>
    <numFmt numFmtId="182" formatCode="m/d/yyyy"/>
    <numFmt numFmtId="183" formatCode="dd/mm/yyyy;@"/>
  </numFmts>
  <fonts count="5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FF0000"/>
      <name val="Calibri"/>
      <family val="2"/>
    </font>
    <font>
      <sz val="8"/>
      <color rgb="FF000000"/>
      <name val="Verdana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0000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000000"/>
      <name val="Calibri"/>
      <family val="2"/>
    </font>
    <font>
      <b/>
      <sz val="8"/>
      <color rgb="FFFFFFFF"/>
      <name val="Verdana"/>
      <family val="2"/>
    </font>
    <font>
      <b/>
      <i/>
      <u/>
      <sz val="8"/>
      <color rgb="FFFFFFFF"/>
      <name val="Verdana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8"/>
      <color rgb="FF000000"/>
      <name val="Verdana"/>
      <family val="2"/>
    </font>
    <font>
      <sz val="9"/>
      <color rgb="FF000000"/>
      <name val="Calibri"/>
      <family val="2"/>
    </font>
    <font>
      <i/>
      <u/>
      <sz val="11"/>
      <color rgb="FF000000"/>
      <name val="Calibri"/>
      <family val="2"/>
    </font>
    <font>
      <sz val="8"/>
      <color rgb="FF974706"/>
      <name val="Verdana"/>
      <family val="2"/>
    </font>
    <font>
      <b/>
      <sz val="12"/>
      <color rgb="FFFF0000"/>
      <name val="Calibri"/>
      <family val="2"/>
    </font>
    <font>
      <b/>
      <sz val="13.5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00B050"/>
      <name val="Verdana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b/>
      <u/>
      <sz val="11"/>
      <color rgb="FFFFFFFF"/>
      <name val="Calibri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b/>
      <i/>
      <u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u/>
      <sz val="14"/>
      <color rgb="FF000000"/>
      <name val="Arial"/>
      <family val="2"/>
    </font>
    <font>
      <b/>
      <i/>
      <u/>
      <sz val="12"/>
      <color rgb="FFFF0000"/>
      <name val="Calibri"/>
      <family val="2"/>
    </font>
    <font>
      <b/>
      <sz val="11"/>
      <color rgb="FF385724"/>
      <name val="Calibri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535353"/>
      <name val="Calibri"/>
      <family val="2"/>
    </font>
    <font>
      <b/>
      <sz val="11"/>
      <color rgb="FF548235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</fonts>
  <fills count="116">
    <fill>
      <patternFill patternType="none"/>
    </fill>
    <fill>
      <patternFill patternType="gray125"/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0FFFF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8DB4E2"/>
        <bgColor rgb="FFFFFFFF"/>
      </patternFill>
    </fill>
  </fills>
  <borders count="1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33333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333333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44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0" fontId="52" fillId="0" borderId="0"/>
    <xf numFmtId="0" fontId="32" fillId="0" borderId="0"/>
    <xf numFmtId="176" fontId="52" fillId="0" borderId="0"/>
  </cellStyleXfs>
  <cellXfs count="520">
    <xf numFmtId="0" fontId="0" fillId="0" borderId="0" xfId="0"/>
    <xf numFmtId="0" fontId="52" fillId="0" borderId="0" xfId="4"/>
    <xf numFmtId="0" fontId="32" fillId="0" borderId="0" xfId="5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 wrapText="1"/>
    </xf>
    <xf numFmtId="0" fontId="0" fillId="3" borderId="5" xfId="0" applyFill="1" applyBorder="1"/>
    <xf numFmtId="0" fontId="3" fillId="4" borderId="6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/>
    <xf numFmtId="0" fontId="4" fillId="5" borderId="8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1" fontId="0" fillId="8" borderId="11" xfId="0" applyNumberFormat="1" applyFill="1" applyBorder="1"/>
    <xf numFmtId="1" fontId="0" fillId="9" borderId="12" xfId="0" applyNumberFormat="1" applyFill="1" applyBorder="1"/>
    <xf numFmtId="166" fontId="0" fillId="10" borderId="13" xfId="2" applyNumberFormat="1" applyFill="1" applyBorder="1"/>
    <xf numFmtId="167" fontId="0" fillId="0" borderId="1" xfId="1" applyNumberFormat="1" applyBorder="1"/>
    <xf numFmtId="166" fontId="0" fillId="11" borderId="14" xfId="2" applyNumberFormat="1" applyFill="1" applyBorder="1"/>
    <xf numFmtId="166" fontId="0" fillId="12" borderId="15" xfId="2" applyNumberFormat="1" applyFill="1" applyBorder="1"/>
    <xf numFmtId="0" fontId="0" fillId="0" borderId="0" xfId="0" applyAlignment="1">
      <alignment wrapText="1"/>
    </xf>
    <xf numFmtId="168" fontId="0" fillId="12" borderId="15" xfId="0" applyNumberFormat="1" applyFill="1" applyBorder="1" applyAlignment="1">
      <alignment wrapText="1"/>
    </xf>
    <xf numFmtId="168" fontId="0" fillId="12" borderId="15" xfId="0" applyNumberFormat="1" applyFill="1" applyBorder="1"/>
    <xf numFmtId="0" fontId="5" fillId="13" borderId="16" xfId="0" applyFont="1" applyFill="1" applyBorder="1" applyAlignment="1">
      <alignment horizontal="right"/>
    </xf>
    <xf numFmtId="168" fontId="1" fillId="14" borderId="17" xfId="0" applyNumberFormat="1" applyFont="1" applyFill="1" applyBorder="1"/>
    <xf numFmtId="0" fontId="1" fillId="15" borderId="18" xfId="0" applyFont="1" applyFill="1" applyBorder="1" applyAlignment="1">
      <alignment horizontal="center"/>
    </xf>
    <xf numFmtId="0" fontId="0" fillId="16" borderId="19" xfId="0" applyFill="1" applyBorder="1"/>
    <xf numFmtId="1" fontId="0" fillId="16" borderId="19" xfId="0" applyNumberFormat="1" applyFill="1" applyBorder="1"/>
    <xf numFmtId="0" fontId="0" fillId="13" borderId="16" xfId="0" applyFill="1" applyBorder="1" applyAlignment="1">
      <alignment horizontal="right"/>
    </xf>
    <xf numFmtId="1" fontId="0" fillId="13" borderId="16" xfId="0" applyNumberFormat="1" applyFill="1" applyBorder="1"/>
    <xf numFmtId="0" fontId="0" fillId="17" borderId="20" xfId="0" applyFill="1" applyBorder="1" applyAlignment="1">
      <alignment horizontal="right" wrapText="1"/>
    </xf>
    <xf numFmtId="169" fontId="0" fillId="17" borderId="20" xfId="0" applyNumberFormat="1" applyFill="1" applyBorder="1"/>
    <xf numFmtId="0" fontId="0" fillId="18" borderId="21" xfId="0" applyFill="1" applyBorder="1" applyAlignment="1">
      <alignment horizontal="right" wrapText="1"/>
    </xf>
    <xf numFmtId="169" fontId="0" fillId="18" borderId="21" xfId="0" applyNumberFormat="1" applyFill="1" applyBorder="1"/>
    <xf numFmtId="0" fontId="0" fillId="16" borderId="19" xfId="0" applyFill="1" applyBorder="1" applyAlignment="1">
      <alignment horizontal="right" wrapText="1"/>
    </xf>
    <xf numFmtId="169" fontId="1" fillId="16" borderId="19" xfId="0" applyNumberFormat="1" applyFont="1" applyFill="1" applyBorder="1"/>
    <xf numFmtId="0" fontId="1" fillId="16" borderId="19" xfId="0" applyFont="1" applyFill="1" applyBorder="1" applyAlignment="1">
      <alignment horizontal="right" wrapText="1"/>
    </xf>
    <xf numFmtId="166" fontId="0" fillId="0" borderId="0" xfId="2" applyNumberFormat="1"/>
    <xf numFmtId="0" fontId="1" fillId="0" borderId="1" xfId="0" applyFont="1" applyBorder="1"/>
    <xf numFmtId="0" fontId="1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19" borderId="22" xfId="0" applyFill="1" applyBorder="1"/>
    <xf numFmtId="18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/>
    <xf numFmtId="0" fontId="11" fillId="20" borderId="23" xfId="0" applyFont="1" applyFill="1" applyBorder="1" applyAlignment="1">
      <alignment horizontal="left" vertical="center"/>
    </xf>
    <xf numFmtId="1" fontId="11" fillId="20" borderId="23" xfId="0" applyNumberFormat="1" applyFont="1" applyFill="1" applyBorder="1" applyAlignment="1">
      <alignment horizontal="left" vertical="center"/>
    </xf>
    <xf numFmtId="171" fontId="11" fillId="21" borderId="2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6" fillId="0" borderId="0" xfId="0" applyFont="1"/>
    <xf numFmtId="168" fontId="0" fillId="0" borderId="0" xfId="0" applyNumberFormat="1" applyAlignment="1">
      <alignment horizontal="center"/>
    </xf>
    <xf numFmtId="0" fontId="21" fillId="22" borderId="25" xfId="0" applyFont="1" applyFill="1" applyBorder="1" applyAlignment="1">
      <alignment horizontal="center" vertical="top" wrapText="1"/>
    </xf>
    <xf numFmtId="0" fontId="22" fillId="22" borderId="25" xfId="0" applyFont="1" applyFill="1" applyBorder="1" applyAlignment="1">
      <alignment horizontal="center" vertical="top" wrapText="1"/>
    </xf>
    <xf numFmtId="0" fontId="22" fillId="23" borderId="26" xfId="0" applyFont="1" applyFill="1" applyBorder="1" applyAlignment="1">
      <alignment horizontal="center" vertical="top" wrapText="1"/>
    </xf>
    <xf numFmtId="168" fontId="1" fillId="12" borderId="15" xfId="0" applyNumberFormat="1" applyFont="1" applyFill="1" applyBorder="1" applyAlignment="1">
      <alignment horizontal="center"/>
    </xf>
    <xf numFmtId="170" fontId="1" fillId="0" borderId="0" xfId="3" applyNumberFormat="1" applyFont="1"/>
    <xf numFmtId="0" fontId="1" fillId="0" borderId="0" xfId="4" applyFont="1"/>
    <xf numFmtId="0" fontId="15" fillId="0" borderId="0" xfId="4" applyFont="1" applyAlignment="1">
      <alignment horizontal="left"/>
    </xf>
    <xf numFmtId="0" fontId="15" fillId="0" borderId="0" xfId="4" applyFont="1" applyAlignment="1">
      <alignment horizontal="center"/>
    </xf>
    <xf numFmtId="1" fontId="0" fillId="24" borderId="27" xfId="0" applyNumberFormat="1" applyFill="1" applyBorder="1"/>
    <xf numFmtId="0" fontId="0" fillId="0" borderId="1" xfId="0" applyBorder="1" applyAlignment="1">
      <alignment horizontal="center"/>
    </xf>
    <xf numFmtId="0" fontId="11" fillId="21" borderId="24" xfId="0" applyFont="1" applyFill="1" applyBorder="1" applyAlignment="1">
      <alignment horizontal="center" vertical="center"/>
    </xf>
    <xf numFmtId="171" fontId="0" fillId="0" borderId="0" xfId="0" applyNumberFormat="1"/>
    <xf numFmtId="0" fontId="1" fillId="0" borderId="0" xfId="4" applyFont="1" applyAlignment="1">
      <alignment horizontal="center"/>
    </xf>
    <xf numFmtId="182" fontId="0" fillId="0" borderId="0" xfId="0" applyNumberFormat="1"/>
    <xf numFmtId="0" fontId="8" fillId="0" borderId="0" xfId="0" applyFont="1"/>
    <xf numFmtId="0" fontId="12" fillId="0" borderId="0" xfId="0" applyFont="1" applyAlignment="1">
      <alignment horizontal="center"/>
    </xf>
    <xf numFmtId="0" fontId="52" fillId="25" borderId="28" xfId="4" applyFill="1" applyBorder="1" applyAlignment="1">
      <alignment horizontal="right"/>
    </xf>
    <xf numFmtId="0" fontId="11" fillId="21" borderId="24" xfId="0" applyFont="1" applyFill="1" applyBorder="1" applyAlignment="1">
      <alignment horizontal="right" vertical="center"/>
    </xf>
    <xf numFmtId="171" fontId="11" fillId="21" borderId="24" xfId="0" applyNumberFormat="1" applyFont="1" applyFill="1" applyBorder="1" applyAlignment="1">
      <alignment horizontal="center" vertical="center"/>
    </xf>
    <xf numFmtId="0" fontId="13" fillId="26" borderId="29" xfId="0" applyFont="1" applyFill="1" applyBorder="1"/>
    <xf numFmtId="0" fontId="17" fillId="27" borderId="30" xfId="0" applyFont="1" applyFill="1" applyBorder="1" applyAlignment="1">
      <alignment horizontal="center" vertical="center"/>
    </xf>
    <xf numFmtId="0" fontId="18" fillId="27" borderId="30" xfId="0" applyFont="1" applyFill="1" applyBorder="1" applyAlignment="1">
      <alignment horizontal="center" vertical="center"/>
    </xf>
    <xf numFmtId="0" fontId="17" fillId="27" borderId="30" xfId="0" applyFont="1" applyFill="1" applyBorder="1" applyAlignment="1">
      <alignment horizontal="right" vertical="center"/>
    </xf>
    <xf numFmtId="0" fontId="23" fillId="28" borderId="31" xfId="0" applyFont="1" applyFill="1" applyBorder="1" applyAlignment="1">
      <alignment horizontal="center" vertical="center"/>
    </xf>
    <xf numFmtId="1" fontId="11" fillId="29" borderId="32" xfId="0" applyNumberFormat="1" applyFont="1" applyFill="1" applyBorder="1" applyAlignment="1">
      <alignment horizontal="left" vertical="center"/>
    </xf>
    <xf numFmtId="0" fontId="52" fillId="0" borderId="1" xfId="4" applyBorder="1"/>
    <xf numFmtId="171" fontId="11" fillId="20" borderId="23" xfId="0" applyNumberFormat="1" applyFont="1" applyFill="1" applyBorder="1" applyAlignment="1">
      <alignment horizontal="center" vertical="center"/>
    </xf>
    <xf numFmtId="166" fontId="8" fillId="0" borderId="0" xfId="2" applyNumberFormat="1" applyFont="1"/>
    <xf numFmtId="0" fontId="12" fillId="0" borderId="0" xfId="4" applyFont="1" applyAlignment="1">
      <alignment horizontal="center"/>
    </xf>
    <xf numFmtId="170" fontId="24" fillId="0" borderId="0" xfId="0" applyNumberFormat="1" applyFont="1" applyAlignment="1">
      <alignment horizontal="right"/>
    </xf>
    <xf numFmtId="173" fontId="23" fillId="21" borderId="24" xfId="3" applyNumberFormat="1" applyFont="1" applyFill="1" applyBorder="1" applyAlignment="1">
      <alignment horizontal="right" vertical="center"/>
    </xf>
    <xf numFmtId="173" fontId="11" fillId="21" borderId="24" xfId="3" applyNumberFormat="1" applyFont="1" applyFill="1" applyBorder="1" applyAlignment="1">
      <alignment horizontal="right" vertical="center"/>
    </xf>
    <xf numFmtId="0" fontId="6" fillId="0" borderId="0" xfId="0" applyFont="1"/>
    <xf numFmtId="170" fontId="11" fillId="21" borderId="24" xfId="3" applyNumberFormat="1" applyFont="1" applyFill="1" applyBorder="1" applyAlignment="1">
      <alignment horizontal="right" vertical="center"/>
    </xf>
    <xf numFmtId="0" fontId="1" fillId="29" borderId="32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3" fillId="30" borderId="33" xfId="0" applyFont="1" applyFill="1" applyBorder="1" applyAlignment="1">
      <alignment horizontal="center" vertical="center"/>
    </xf>
    <xf numFmtId="18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31" borderId="34" xfId="0" applyFill="1" applyBorder="1"/>
    <xf numFmtId="0" fontId="0" fillId="32" borderId="35" xfId="0" applyFill="1" applyBorder="1"/>
    <xf numFmtId="0" fontId="1" fillId="31" borderId="34" xfId="0" applyFont="1" applyFill="1" applyBorder="1" applyAlignment="1">
      <alignment horizontal="center"/>
    </xf>
    <xf numFmtId="0" fontId="1" fillId="32" borderId="35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14" fillId="0" borderId="0" xfId="0" applyNumberFormat="1" applyFont="1"/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/>
    <xf numFmtId="1" fontId="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171" fontId="25" fillId="0" borderId="1" xfId="0" applyNumberFormat="1" applyFont="1" applyBorder="1"/>
    <xf numFmtId="170" fontId="0" fillId="0" borderId="0" xfId="0" applyNumberFormat="1"/>
    <xf numFmtId="0" fontId="26" fillId="0" borderId="1" xfId="0" applyFont="1" applyBorder="1" applyAlignment="1">
      <alignment horizontal="left" vertical="center"/>
    </xf>
    <xf numFmtId="10" fontId="0" fillId="0" borderId="0" xfId="2" applyNumberFormat="1"/>
    <xf numFmtId="0" fontId="1" fillId="12" borderId="15" xfId="0" applyFont="1" applyFill="1" applyBorder="1"/>
    <xf numFmtId="172" fontId="0" fillId="0" borderId="0" xfId="0" applyNumberFormat="1"/>
    <xf numFmtId="9" fontId="0" fillId="0" borderId="0" xfId="2" applyAlignment="1">
      <alignment horizontal="center"/>
    </xf>
    <xf numFmtId="182" fontId="1" fillId="0" borderId="0" xfId="4" applyNumberFormat="1" applyFont="1" applyAlignment="1">
      <alignment horizontal="center"/>
    </xf>
    <xf numFmtId="0" fontId="23" fillId="11" borderId="14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72" fontId="0" fillId="0" borderId="0" xfId="0" applyNumberFormat="1" applyAlignment="1">
      <alignment horizontal="right"/>
    </xf>
    <xf numFmtId="0" fontId="17" fillId="33" borderId="36" xfId="0" applyFont="1" applyFill="1" applyBorder="1" applyAlignment="1">
      <alignment horizontal="center" vertical="center"/>
    </xf>
    <xf numFmtId="182" fontId="11" fillId="34" borderId="37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2" fontId="1" fillId="0" borderId="0" xfId="4" applyNumberFormat="1" applyFont="1"/>
    <xf numFmtId="0" fontId="1" fillId="0" borderId="1" xfId="4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2" fontId="52" fillId="0" borderId="1" xfId="4" applyNumberFormat="1" applyBorder="1"/>
    <xf numFmtId="172" fontId="0" fillId="0" borderId="1" xfId="0" applyNumberFormat="1" applyBorder="1"/>
    <xf numFmtId="2" fontId="52" fillId="0" borderId="1" xfId="4" applyNumberFormat="1" applyBorder="1"/>
    <xf numFmtId="2" fontId="0" fillId="0" borderId="1" xfId="0" applyNumberFormat="1" applyBorder="1"/>
    <xf numFmtId="172" fontId="1" fillId="0" borderId="1" xfId="4" applyNumberFormat="1" applyFont="1" applyBorder="1"/>
    <xf numFmtId="2" fontId="1" fillId="0" borderId="1" xfId="4" applyNumberFormat="1" applyFont="1" applyBorder="1"/>
    <xf numFmtId="0" fontId="8" fillId="35" borderId="38" xfId="0" applyFont="1" applyFill="1" applyBorder="1" applyAlignment="1">
      <alignment horizontal="center"/>
    </xf>
    <xf numFmtId="0" fontId="9" fillId="36" borderId="39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2" fontId="1" fillId="0" borderId="1" xfId="0" applyNumberFormat="1" applyFont="1" applyBorder="1" applyAlignment="1">
      <alignment horizontal="center"/>
    </xf>
    <xf numFmtId="172" fontId="9" fillId="3" borderId="5" xfId="0" applyNumberFormat="1" applyFont="1" applyFill="1" applyBorder="1" applyAlignment="1">
      <alignment horizontal="center"/>
    </xf>
    <xf numFmtId="1" fontId="11" fillId="21" borderId="24" xfId="0" applyNumberFormat="1" applyFont="1" applyFill="1" applyBorder="1" applyAlignment="1">
      <alignment horizontal="center" vertical="center"/>
    </xf>
    <xf numFmtId="173" fontId="0" fillId="0" borderId="0" xfId="3" applyNumberFormat="1"/>
    <xf numFmtId="2" fontId="11" fillId="20" borderId="23" xfId="0" applyNumberFormat="1" applyFont="1" applyFill="1" applyBorder="1" applyAlignment="1">
      <alignment horizontal="left" vertical="center"/>
    </xf>
    <xf numFmtId="2" fontId="11" fillId="21" borderId="24" xfId="0" applyNumberFormat="1" applyFont="1" applyFill="1" applyBorder="1" applyAlignment="1">
      <alignment horizontal="left" vertical="center"/>
    </xf>
    <xf numFmtId="0" fontId="15" fillId="37" borderId="40" xfId="0" applyFont="1" applyFill="1" applyBorder="1"/>
    <xf numFmtId="0" fontId="15" fillId="37" borderId="40" xfId="0" applyFont="1" applyFill="1" applyBorder="1" applyAlignment="1">
      <alignment horizontal="center"/>
    </xf>
    <xf numFmtId="0" fontId="15" fillId="38" borderId="41" xfId="0" applyFont="1" applyFill="1" applyBorder="1" applyAlignment="1">
      <alignment horizontal="center"/>
    </xf>
    <xf numFmtId="0" fontId="15" fillId="39" borderId="42" xfId="0" applyFont="1" applyFill="1" applyBorder="1" applyAlignment="1">
      <alignment horizontal="center"/>
    </xf>
    <xf numFmtId="0" fontId="15" fillId="40" borderId="43" xfId="0" applyFont="1" applyFill="1" applyBorder="1" applyAlignment="1">
      <alignment horizontal="center"/>
    </xf>
    <xf numFmtId="0" fontId="15" fillId="41" borderId="44" xfId="0" applyFont="1" applyFill="1" applyBorder="1" applyAlignment="1">
      <alignment horizontal="center"/>
    </xf>
    <xf numFmtId="0" fontId="15" fillId="42" borderId="45" xfId="0" applyFont="1" applyFill="1" applyBorder="1"/>
    <xf numFmtId="0" fontId="15" fillId="41" borderId="44" xfId="0" applyFont="1" applyFill="1" applyBorder="1"/>
    <xf numFmtId="165" fontId="0" fillId="0" borderId="0" xfId="3" applyAlignment="1">
      <alignment horizontal="center"/>
    </xf>
    <xf numFmtId="171" fontId="0" fillId="0" borderId="0" xfId="0" applyNumberFormat="1" applyAlignment="1">
      <alignment horizontal="center"/>
    </xf>
    <xf numFmtId="172" fontId="7" fillId="0" borderId="1" xfId="0" applyNumberFormat="1" applyFont="1" applyBorder="1" applyAlignment="1">
      <alignment horizontal="center"/>
    </xf>
    <xf numFmtId="172" fontId="10" fillId="3" borderId="5" xfId="0" applyNumberFormat="1" applyFont="1" applyFill="1" applyBorder="1" applyAlignment="1">
      <alignment horizontal="center"/>
    </xf>
    <xf numFmtId="9" fontId="11" fillId="21" borderId="24" xfId="2" applyFont="1" applyFill="1" applyBorder="1" applyAlignment="1">
      <alignment horizontal="center" vertical="center"/>
    </xf>
    <xf numFmtId="2" fontId="11" fillId="20" borderId="23" xfId="0" applyNumberFormat="1" applyFont="1" applyFill="1" applyBorder="1" applyAlignment="1">
      <alignment horizontal="center" vertical="center"/>
    </xf>
    <xf numFmtId="175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43" borderId="47" xfId="0" applyFont="1" applyFill="1" applyBorder="1" applyAlignment="1">
      <alignment horizontal="center"/>
    </xf>
    <xf numFmtId="175" fontId="0" fillId="0" borderId="48" xfId="0" applyNumberFormat="1" applyBorder="1" applyAlignment="1">
      <alignment horizontal="center"/>
    </xf>
    <xf numFmtId="166" fontId="0" fillId="0" borderId="49" xfId="2" applyNumberFormat="1" applyBorder="1" applyAlignment="1">
      <alignment horizontal="center"/>
    </xf>
    <xf numFmtId="166" fontId="0" fillId="0" borderId="48" xfId="2" applyNumberFormat="1" applyBorder="1" applyAlignment="1">
      <alignment horizontal="center"/>
    </xf>
    <xf numFmtId="0" fontId="0" fillId="44" borderId="50" xfId="0" applyFill="1" applyBorder="1" applyAlignment="1">
      <alignment horizontal="center"/>
    </xf>
    <xf numFmtId="182" fontId="0" fillId="44" borderId="50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5" fontId="0" fillId="0" borderId="1" xfId="0" applyNumberFormat="1" applyBorder="1" applyAlignment="1">
      <alignment horizontal="center"/>
    </xf>
    <xf numFmtId="175" fontId="0" fillId="0" borderId="3" xfId="0" applyNumberFormat="1" applyBorder="1" applyAlignment="1">
      <alignment horizontal="center"/>
    </xf>
    <xf numFmtId="175" fontId="0" fillId="0" borderId="49" xfId="0" applyNumberFormat="1" applyBorder="1" applyAlignment="1">
      <alignment horizontal="center"/>
    </xf>
    <xf numFmtId="166" fontId="0" fillId="0" borderId="1" xfId="2" applyNumberFormat="1" applyBorder="1" applyAlignment="1">
      <alignment horizontal="center"/>
    </xf>
    <xf numFmtId="166" fontId="0" fillId="0" borderId="3" xfId="2" applyNumberFormat="1" applyBorder="1" applyAlignment="1">
      <alignment horizontal="center"/>
    </xf>
    <xf numFmtId="166" fontId="0" fillId="0" borderId="7" xfId="2" applyNumberFormat="1" applyBorder="1" applyAlignment="1">
      <alignment horizontal="center"/>
    </xf>
    <xf numFmtId="166" fontId="0" fillId="0" borderId="52" xfId="2" applyNumberFormat="1" applyBorder="1" applyAlignment="1">
      <alignment horizontal="center"/>
    </xf>
    <xf numFmtId="166" fontId="0" fillId="0" borderId="53" xfId="2" applyNumberFormat="1" applyBorder="1" applyAlignment="1">
      <alignment horizontal="center"/>
    </xf>
    <xf numFmtId="166" fontId="0" fillId="0" borderId="51" xfId="2" applyNumberFormat="1" applyBorder="1" applyAlignment="1">
      <alignment horizontal="center"/>
    </xf>
    <xf numFmtId="2" fontId="6" fillId="0" borderId="1" xfId="0" applyNumberFormat="1" applyFont="1" applyBorder="1"/>
    <xf numFmtId="2" fontId="6" fillId="0" borderId="1" xfId="4" applyNumberFormat="1" applyFont="1" applyBorder="1"/>
    <xf numFmtId="0" fontId="0" fillId="0" borderId="5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5" fontId="0" fillId="0" borderId="52" xfId="0" applyNumberFormat="1" applyBorder="1" applyAlignment="1">
      <alignment horizontal="center"/>
    </xf>
    <xf numFmtId="0" fontId="1" fillId="45" borderId="55" xfId="0" applyFont="1" applyFill="1" applyBorder="1" applyAlignment="1">
      <alignment horizontal="center"/>
    </xf>
    <xf numFmtId="175" fontId="0" fillId="0" borderId="53" xfId="0" applyNumberFormat="1" applyBorder="1" applyAlignment="1">
      <alignment horizontal="center"/>
    </xf>
    <xf numFmtId="175" fontId="0" fillId="0" borderId="51" xfId="0" applyNumberFormat="1" applyBorder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7" xfId="0" applyNumberFormat="1" applyBorder="1" applyAlignment="1">
      <alignment horizontal="center"/>
    </xf>
    <xf numFmtId="0" fontId="15" fillId="16" borderId="19" xfId="0" applyFont="1" applyFill="1" applyBorder="1"/>
    <xf numFmtId="172" fontId="1" fillId="0" borderId="0" xfId="0" applyNumberFormat="1" applyFont="1"/>
    <xf numFmtId="2" fontId="1" fillId="16" borderId="19" xfId="0" applyNumberFormat="1" applyFont="1" applyFill="1" applyBorder="1"/>
    <xf numFmtId="172" fontId="0" fillId="0" borderId="1" xfId="0" applyNumberFormat="1" applyBorder="1" applyAlignment="1">
      <alignment horizontal="center"/>
    </xf>
    <xf numFmtId="2" fontId="1" fillId="0" borderId="1" xfId="0" applyNumberFormat="1" applyFont="1" applyBorder="1"/>
    <xf numFmtId="2" fontId="1" fillId="46" borderId="56" xfId="0" applyNumberFormat="1" applyFont="1" applyFill="1" applyBorder="1"/>
    <xf numFmtId="171" fontId="27" fillId="12" borderId="15" xfId="0" applyNumberFormat="1" applyFont="1" applyFill="1" applyBorder="1"/>
    <xf numFmtId="2" fontId="0" fillId="0" borderId="53" xfId="0" applyNumberFormat="1" applyBorder="1"/>
    <xf numFmtId="170" fontId="0" fillId="0" borderId="0" xfId="0" applyNumberFormat="1" applyAlignment="1">
      <alignment horizontal="right"/>
    </xf>
    <xf numFmtId="182" fontId="28" fillId="0" borderId="0" xfId="0" applyNumberFormat="1" applyFont="1" applyAlignment="1">
      <alignment vertical="center"/>
    </xf>
    <xf numFmtId="2" fontId="0" fillId="12" borderId="15" xfId="0" applyNumberFormat="1" applyFill="1" applyBorder="1"/>
    <xf numFmtId="171" fontId="27" fillId="17" borderId="20" xfId="0" applyNumberFormat="1" applyFont="1" applyFill="1" applyBorder="1"/>
    <xf numFmtId="9" fontId="17" fillId="27" borderId="30" xfId="0" applyNumberFormat="1" applyFont="1" applyFill="1" applyBorder="1" applyAlignment="1">
      <alignment horizontal="center" vertical="center"/>
    </xf>
    <xf numFmtId="0" fontId="17" fillId="47" borderId="57" xfId="0" applyFont="1" applyFill="1" applyBorder="1" applyAlignment="1">
      <alignment horizontal="center" vertical="center"/>
    </xf>
    <xf numFmtId="9" fontId="17" fillId="47" borderId="57" xfId="0" applyNumberFormat="1" applyFont="1" applyFill="1" applyBorder="1" applyAlignment="1">
      <alignment horizontal="center" vertical="center"/>
    </xf>
    <xf numFmtId="0" fontId="17" fillId="48" borderId="58" xfId="0" applyFont="1" applyFill="1" applyBorder="1" applyAlignment="1">
      <alignment horizontal="center" vertical="center"/>
    </xf>
    <xf numFmtId="9" fontId="17" fillId="48" borderId="58" xfId="0" applyNumberFormat="1" applyFont="1" applyFill="1" applyBorder="1" applyAlignment="1">
      <alignment horizontal="center" vertical="center"/>
    </xf>
    <xf numFmtId="172" fontId="1" fillId="0" borderId="0" xfId="0" applyNumberFormat="1" applyFont="1" applyAlignment="1">
      <alignment horizontal="center"/>
    </xf>
    <xf numFmtId="182" fontId="0" fillId="0" borderId="0" xfId="0" applyNumberFormat="1" applyAlignment="1">
      <alignment horizontal="center"/>
    </xf>
    <xf numFmtId="0" fontId="21" fillId="23" borderId="26" xfId="0" applyFont="1" applyFill="1" applyBorder="1" applyAlignment="1">
      <alignment horizontal="center" vertical="top" wrapText="1"/>
    </xf>
    <xf numFmtId="168" fontId="0" fillId="13" borderId="16" xfId="0" applyNumberFormat="1" applyFill="1" applyBorder="1" applyAlignment="1">
      <alignment horizontal="center"/>
    </xf>
    <xf numFmtId="170" fontId="11" fillId="21" borderId="24" xfId="3" applyNumberFormat="1" applyFont="1" applyFill="1" applyBorder="1" applyAlignment="1">
      <alignment horizontal="left" vertical="center"/>
    </xf>
    <xf numFmtId="171" fontId="1" fillId="0" borderId="0" xfId="4" applyNumberFormat="1" applyFont="1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46" borderId="56" xfId="0" applyFont="1" applyFill="1" applyBorder="1" applyAlignment="1">
      <alignment horizontal="center"/>
    </xf>
    <xf numFmtId="166" fontId="0" fillId="0" borderId="60" xfId="2" applyNumberFormat="1" applyBorder="1" applyAlignment="1">
      <alignment horizontal="center"/>
    </xf>
    <xf numFmtId="166" fontId="0" fillId="0" borderId="61" xfId="2" applyNumberFormat="1" applyBorder="1" applyAlignment="1">
      <alignment horizontal="center"/>
    </xf>
    <xf numFmtId="166" fontId="0" fillId="0" borderId="54" xfId="2" applyNumberFormat="1" applyBorder="1" applyAlignment="1">
      <alignment horizontal="center"/>
    </xf>
    <xf numFmtId="173" fontId="0" fillId="0" borderId="0" xfId="3" applyNumberFormat="1" applyAlignment="1">
      <alignment horizontal="center"/>
    </xf>
    <xf numFmtId="173" fontId="0" fillId="0" borderId="3" xfId="3" applyNumberFormat="1" applyBorder="1" applyAlignment="1">
      <alignment horizontal="center"/>
    </xf>
    <xf numFmtId="173" fontId="0" fillId="0" borderId="52" xfId="3" applyNumberFormat="1" applyBorder="1" applyAlignment="1">
      <alignment horizontal="center"/>
    </xf>
    <xf numFmtId="173" fontId="0" fillId="0" borderId="49" xfId="3" applyNumberFormat="1" applyBorder="1" applyAlignment="1">
      <alignment horizontal="center"/>
    </xf>
    <xf numFmtId="173" fontId="0" fillId="0" borderId="48" xfId="3" applyNumberFormat="1" applyBorder="1" applyAlignment="1">
      <alignment horizontal="center"/>
    </xf>
    <xf numFmtId="173" fontId="0" fillId="0" borderId="53" xfId="3" applyNumberFormat="1" applyBorder="1" applyAlignment="1">
      <alignment horizontal="center"/>
    </xf>
    <xf numFmtId="173" fontId="0" fillId="0" borderId="7" xfId="3" applyNumberFormat="1" applyBorder="1" applyAlignment="1">
      <alignment horizontal="center"/>
    </xf>
    <xf numFmtId="173" fontId="0" fillId="0" borderId="51" xfId="3" applyNumberFormat="1" applyBorder="1" applyAlignment="1">
      <alignment horizontal="center"/>
    </xf>
    <xf numFmtId="173" fontId="0" fillId="0" borderId="1" xfId="3" applyNumberFormat="1" applyBorder="1" applyAlignment="1">
      <alignment horizontal="center"/>
    </xf>
    <xf numFmtId="173" fontId="0" fillId="0" borderId="62" xfId="3" applyNumberFormat="1" applyBorder="1" applyAlignment="1">
      <alignment horizontal="center"/>
    </xf>
    <xf numFmtId="173" fontId="0" fillId="0" borderId="63" xfId="3" applyNumberFormat="1" applyBorder="1" applyAlignment="1">
      <alignment horizontal="center"/>
    </xf>
    <xf numFmtId="171" fontId="0" fillId="0" borderId="0" xfId="0" applyNumberFormat="1" applyAlignment="1">
      <alignment horizontal="left"/>
    </xf>
    <xf numFmtId="0" fontId="52" fillId="50" borderId="64" xfId="4" applyFill="1" applyBorder="1" applyAlignment="1">
      <alignment horizontal="right"/>
    </xf>
    <xf numFmtId="2" fontId="12" fillId="0" borderId="0" xfId="0" applyNumberFormat="1" applyFont="1"/>
    <xf numFmtId="0" fontId="1" fillId="51" borderId="65" xfId="0" applyFont="1" applyFill="1" applyBorder="1" applyAlignment="1">
      <alignment horizontal="center"/>
    </xf>
    <xf numFmtId="0" fontId="1" fillId="51" borderId="65" xfId="0" applyFont="1" applyFill="1" applyBorder="1"/>
    <xf numFmtId="2" fontId="1" fillId="12" borderId="15" xfId="0" applyNumberFormat="1" applyFont="1" applyFill="1" applyBorder="1"/>
    <xf numFmtId="170" fontId="12" fillId="0" borderId="0" xfId="0" applyNumberFormat="1" applyFont="1"/>
    <xf numFmtId="182" fontId="11" fillId="21" borderId="24" xfId="0" applyNumberFormat="1" applyFont="1" applyFill="1" applyBorder="1" applyAlignment="1">
      <alignment horizontal="center" vertical="center"/>
    </xf>
    <xf numFmtId="2" fontId="11" fillId="21" borderId="24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171" fontId="14" fillId="0" borderId="0" xfId="0" applyNumberFormat="1" applyFont="1"/>
    <xf numFmtId="170" fontId="23" fillId="21" borderId="24" xfId="3" applyNumberFormat="1" applyFont="1" applyFill="1" applyBorder="1" applyAlignment="1">
      <alignment horizontal="right" vertical="center"/>
    </xf>
    <xf numFmtId="170" fontId="11" fillId="21" borderId="24" xfId="3" applyNumberFormat="1" applyFont="1" applyFill="1" applyBorder="1" applyAlignment="1">
      <alignment horizontal="center" vertical="center"/>
    </xf>
    <xf numFmtId="0" fontId="17" fillId="52" borderId="66" xfId="0" applyFont="1" applyFill="1" applyBorder="1" applyAlignment="1">
      <alignment horizontal="center" vertical="center"/>
    </xf>
    <xf numFmtId="170" fontId="11" fillId="53" borderId="67" xfId="3" applyNumberFormat="1" applyFont="1" applyFill="1" applyBorder="1" applyAlignment="1">
      <alignment horizontal="right" vertical="center"/>
    </xf>
    <xf numFmtId="173" fontId="11" fillId="21" borderId="24" xfId="3" applyNumberFormat="1" applyFont="1" applyFill="1" applyBorder="1" applyAlignment="1">
      <alignment horizontal="center" vertical="center"/>
    </xf>
    <xf numFmtId="171" fontId="1" fillId="0" borderId="0" xfId="0" applyNumberFormat="1" applyFont="1"/>
    <xf numFmtId="0" fontId="2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16" fillId="0" borderId="0" xfId="4" applyFont="1" applyAlignment="1">
      <alignment horizontal="center"/>
    </xf>
    <xf numFmtId="171" fontId="1" fillId="0" borderId="0" xfId="4" applyNumberFormat="1" applyFont="1"/>
    <xf numFmtId="171" fontId="1" fillId="0" borderId="1" xfId="4" applyNumberFormat="1" applyFont="1" applyBorder="1" applyAlignment="1">
      <alignment horizontal="center"/>
    </xf>
    <xf numFmtId="9" fontId="1" fillId="0" borderId="1" xfId="2" applyFont="1" applyBorder="1" applyAlignment="1">
      <alignment horizontal="center"/>
    </xf>
    <xf numFmtId="170" fontId="1" fillId="0" borderId="1" xfId="3" applyNumberFormat="1" applyFont="1" applyBorder="1" applyAlignment="1">
      <alignment horizontal="center"/>
    </xf>
    <xf numFmtId="171" fontId="52" fillId="0" borderId="1" xfId="4" applyNumberFormat="1" applyBorder="1" applyAlignment="1">
      <alignment horizontal="center"/>
    </xf>
    <xf numFmtId="0" fontId="0" fillId="54" borderId="68" xfId="0" applyFill="1" applyBorder="1" applyAlignment="1">
      <alignment horizontal="center"/>
    </xf>
    <xf numFmtId="0" fontId="0" fillId="54" borderId="68" xfId="0" applyFill="1" applyBorder="1"/>
    <xf numFmtId="182" fontId="0" fillId="54" borderId="68" xfId="0" applyNumberFormat="1" applyFill="1" applyBorder="1"/>
    <xf numFmtId="2" fontId="0" fillId="54" borderId="68" xfId="0" applyNumberFormat="1" applyFill="1" applyBorder="1"/>
    <xf numFmtId="0" fontId="0" fillId="55" borderId="69" xfId="0" applyFill="1" applyBorder="1" applyAlignment="1">
      <alignment horizontal="center"/>
    </xf>
    <xf numFmtId="0" fontId="0" fillId="55" borderId="69" xfId="0" applyFill="1" applyBorder="1"/>
    <xf numFmtId="182" fontId="0" fillId="55" borderId="69" xfId="0" applyNumberFormat="1" applyFill="1" applyBorder="1"/>
    <xf numFmtId="2" fontId="0" fillId="55" borderId="69" xfId="0" applyNumberFormat="1" applyFill="1" applyBorder="1"/>
    <xf numFmtId="0" fontId="8" fillId="55" borderId="69" xfId="0" applyFont="1" applyFill="1" applyBorder="1"/>
    <xf numFmtId="0" fontId="1" fillId="56" borderId="70" xfId="0" applyFont="1" applyFill="1" applyBorder="1" applyAlignment="1">
      <alignment horizontal="center"/>
    </xf>
    <xf numFmtId="0" fontId="0" fillId="56" borderId="70" xfId="0" applyFill="1" applyBorder="1"/>
    <xf numFmtId="182" fontId="0" fillId="56" borderId="70" xfId="0" applyNumberFormat="1" applyFill="1" applyBorder="1"/>
    <xf numFmtId="0" fontId="0" fillId="57" borderId="71" xfId="0" applyFill="1" applyBorder="1" applyAlignment="1">
      <alignment horizontal="center"/>
    </xf>
    <xf numFmtId="0" fontId="0" fillId="57" borderId="71" xfId="0" applyFill="1" applyBorder="1"/>
    <xf numFmtId="182" fontId="0" fillId="57" borderId="71" xfId="0" applyNumberFormat="1" applyFill="1" applyBorder="1"/>
    <xf numFmtId="0" fontId="0" fillId="56" borderId="70" xfId="0" applyFill="1" applyBorder="1" applyAlignment="1">
      <alignment horizontal="center"/>
    </xf>
    <xf numFmtId="2" fontId="0" fillId="56" borderId="70" xfId="0" applyNumberFormat="1" applyFill="1" applyBorder="1"/>
    <xf numFmtId="0" fontId="52" fillId="0" borderId="0" xfId="4" applyAlignment="1">
      <alignment horizontal="center"/>
    </xf>
    <xf numFmtId="0" fontId="33" fillId="58" borderId="72" xfId="4" applyFont="1" applyFill="1" applyBorder="1" applyAlignment="1">
      <alignment horizontal="center"/>
    </xf>
    <xf numFmtId="0" fontId="33" fillId="58" borderId="72" xfId="4" applyFont="1" applyFill="1" applyBorder="1" applyAlignment="1">
      <alignment horizontal="left"/>
    </xf>
    <xf numFmtId="0" fontId="34" fillId="58" borderId="72" xfId="4" applyFont="1" applyFill="1" applyBorder="1" applyAlignment="1">
      <alignment horizontal="center"/>
    </xf>
    <xf numFmtId="0" fontId="5" fillId="0" borderId="0" xfId="4" applyFont="1" applyAlignment="1">
      <alignment horizontal="left"/>
    </xf>
    <xf numFmtId="0" fontId="15" fillId="58" borderId="72" xfId="4" applyFont="1" applyFill="1" applyBorder="1" applyAlignment="1">
      <alignment horizontal="left"/>
    </xf>
    <xf numFmtId="0" fontId="15" fillId="58" borderId="72" xfId="4" applyFont="1" applyFill="1" applyBorder="1" applyAlignment="1">
      <alignment horizontal="center"/>
    </xf>
    <xf numFmtId="0" fontId="15" fillId="59" borderId="73" xfId="4" applyFont="1" applyFill="1" applyBorder="1" applyAlignment="1">
      <alignment horizontal="left"/>
    </xf>
    <xf numFmtId="0" fontId="35" fillId="58" borderId="72" xfId="4" applyFont="1" applyFill="1" applyBorder="1" applyAlignment="1">
      <alignment horizontal="center"/>
    </xf>
    <xf numFmtId="0" fontId="33" fillId="60" borderId="74" xfId="4" applyFont="1" applyFill="1" applyBorder="1" applyAlignment="1">
      <alignment horizontal="center"/>
    </xf>
    <xf numFmtId="0" fontId="33" fillId="60" borderId="74" xfId="4" applyFont="1" applyFill="1" applyBorder="1" applyAlignment="1">
      <alignment horizontal="left"/>
    </xf>
    <xf numFmtId="0" fontId="34" fillId="60" borderId="74" xfId="4" applyFont="1" applyFill="1" applyBorder="1" applyAlignment="1">
      <alignment horizontal="center"/>
    </xf>
    <xf numFmtId="0" fontId="15" fillId="60" borderId="74" xfId="4" applyFont="1" applyFill="1" applyBorder="1" applyAlignment="1">
      <alignment horizontal="left"/>
    </xf>
    <xf numFmtId="0" fontId="15" fillId="60" borderId="74" xfId="4" applyFont="1" applyFill="1" applyBorder="1" applyAlignment="1">
      <alignment horizontal="center"/>
    </xf>
    <xf numFmtId="0" fontId="35" fillId="60" borderId="74" xfId="4" applyFont="1" applyFill="1" applyBorder="1" applyAlignment="1">
      <alignment horizontal="center"/>
    </xf>
    <xf numFmtId="0" fontId="52" fillId="0" borderId="0" xfId="4" applyAlignment="1">
      <alignment horizontal="left"/>
    </xf>
    <xf numFmtId="0" fontId="15" fillId="61" borderId="75" xfId="4" applyFont="1" applyFill="1" applyBorder="1" applyAlignment="1">
      <alignment horizontal="left"/>
    </xf>
    <xf numFmtId="1" fontId="52" fillId="0" borderId="0" xfId="4" applyNumberFormat="1"/>
    <xf numFmtId="182" fontId="52" fillId="0" borderId="0" xfId="4" applyNumberFormat="1"/>
    <xf numFmtId="0" fontId="36" fillId="0" borderId="0" xfId="4" applyFont="1"/>
    <xf numFmtId="171" fontId="37" fillId="12" borderId="15" xfId="4" applyNumberFormat="1" applyFont="1" applyFill="1" applyBorder="1" applyAlignment="1">
      <alignment horizontal="center"/>
    </xf>
    <xf numFmtId="171" fontId="36" fillId="62" borderId="76" xfId="4" applyNumberFormat="1" applyFont="1" applyFill="1" applyBorder="1" applyAlignment="1">
      <alignment horizontal="center"/>
    </xf>
    <xf numFmtId="2" fontId="31" fillId="62" borderId="76" xfId="4" applyNumberFormat="1" applyFont="1" applyFill="1" applyBorder="1" applyAlignment="1">
      <alignment horizontal="right"/>
    </xf>
    <xf numFmtId="2" fontId="38" fillId="63" borderId="77" xfId="4" applyNumberFormat="1" applyFont="1" applyFill="1" applyBorder="1" applyAlignment="1">
      <alignment horizontal="right"/>
    </xf>
    <xf numFmtId="2" fontId="36" fillId="62" borderId="76" xfId="4" applyNumberFormat="1" applyFont="1" applyFill="1" applyBorder="1" applyAlignment="1">
      <alignment horizontal="right"/>
    </xf>
    <xf numFmtId="0" fontId="32" fillId="0" borderId="0" xfId="4" applyFont="1" applyAlignment="1">
      <alignment horizontal="center"/>
    </xf>
    <xf numFmtId="1" fontId="39" fillId="0" borderId="0" xfId="4" applyNumberFormat="1" applyFont="1" applyAlignment="1">
      <alignment horizontal="right"/>
    </xf>
    <xf numFmtId="2" fontId="37" fillId="12" borderId="15" xfId="4" applyNumberFormat="1" applyFont="1" applyFill="1" applyBorder="1" applyAlignment="1">
      <alignment horizontal="right"/>
    </xf>
    <xf numFmtId="171" fontId="36" fillId="12" borderId="15" xfId="4" applyNumberFormat="1" applyFont="1" applyFill="1" applyBorder="1" applyAlignment="1">
      <alignment horizontal="center"/>
    </xf>
    <xf numFmtId="2" fontId="36" fillId="12" borderId="15" xfId="4" applyNumberFormat="1" applyFont="1" applyFill="1" applyBorder="1" applyAlignment="1">
      <alignment horizontal="right"/>
    </xf>
    <xf numFmtId="0" fontId="52" fillId="12" borderId="15" xfId="4" applyFill="1" applyBorder="1" applyAlignment="1">
      <alignment horizontal="center"/>
    </xf>
    <xf numFmtId="0" fontId="35" fillId="2" borderId="4" xfId="4" applyFont="1" applyFill="1" applyBorder="1" applyAlignment="1">
      <alignment horizontal="center"/>
    </xf>
    <xf numFmtId="0" fontId="15" fillId="64" borderId="78" xfId="4" applyFont="1" applyFill="1" applyBorder="1" applyAlignment="1">
      <alignment horizontal="left"/>
    </xf>
    <xf numFmtId="182" fontId="24" fillId="0" borderId="0" xfId="4" applyNumberFormat="1" applyFont="1"/>
    <xf numFmtId="0" fontId="32" fillId="34" borderId="37" xfId="5" applyFill="1" applyBorder="1"/>
    <xf numFmtId="0" fontId="33" fillId="42" borderId="45" xfId="4" applyFont="1" applyFill="1" applyBorder="1" applyAlignment="1">
      <alignment horizontal="left"/>
    </xf>
    <xf numFmtId="0" fontId="33" fillId="42" borderId="45" xfId="4" applyFont="1" applyFill="1" applyBorder="1" applyAlignment="1">
      <alignment horizontal="center"/>
    </xf>
    <xf numFmtId="0" fontId="34" fillId="42" borderId="45" xfId="4" applyFont="1" applyFill="1" applyBorder="1" applyAlignment="1">
      <alignment horizontal="center"/>
    </xf>
    <xf numFmtId="0" fontId="15" fillId="42" borderId="45" xfId="4" applyFont="1" applyFill="1" applyBorder="1" applyAlignment="1">
      <alignment horizontal="left"/>
    </xf>
    <xf numFmtId="0" fontId="15" fillId="42" borderId="45" xfId="4" applyFont="1" applyFill="1" applyBorder="1" applyAlignment="1">
      <alignment horizontal="center"/>
    </xf>
    <xf numFmtId="0" fontId="35" fillId="42" borderId="45" xfId="4" applyFont="1" applyFill="1" applyBorder="1" applyAlignment="1">
      <alignment horizontal="center"/>
    </xf>
    <xf numFmtId="0" fontId="52" fillId="55" borderId="69" xfId="4" applyFill="1" applyBorder="1" applyAlignment="1">
      <alignment horizontal="right"/>
    </xf>
    <xf numFmtId="0" fontId="16" fillId="55" borderId="69" xfId="4" applyFont="1" applyFill="1" applyBorder="1" applyAlignment="1">
      <alignment horizontal="right"/>
    </xf>
    <xf numFmtId="182" fontId="1" fillId="0" borderId="0" xfId="4" applyNumberFormat="1" applyFont="1"/>
    <xf numFmtId="0" fontId="15" fillId="65" borderId="79" xfId="4" applyFont="1" applyFill="1" applyBorder="1" applyAlignment="1">
      <alignment horizontal="center"/>
    </xf>
    <xf numFmtId="2" fontId="52" fillId="0" borderId="1" xfId="4" applyNumberFormat="1" applyBorder="1" applyAlignment="1">
      <alignment horizontal="right"/>
    </xf>
    <xf numFmtId="2" fontId="6" fillId="3" borderId="5" xfId="4" applyNumberFormat="1" applyFont="1" applyFill="1" applyBorder="1" applyAlignment="1">
      <alignment horizontal="right"/>
    </xf>
    <xf numFmtId="2" fontId="52" fillId="66" borderId="80" xfId="4" applyNumberFormat="1" applyFill="1" applyBorder="1" applyAlignment="1">
      <alignment horizontal="right"/>
    </xf>
    <xf numFmtId="2" fontId="52" fillId="3" borderId="5" xfId="4" applyNumberFormat="1" applyFill="1" applyBorder="1" applyAlignment="1">
      <alignment horizontal="right"/>
    </xf>
    <xf numFmtId="2" fontId="16" fillId="3" borderId="5" xfId="4" applyNumberFormat="1" applyFont="1" applyFill="1" applyBorder="1" applyAlignment="1">
      <alignment horizontal="right"/>
    </xf>
    <xf numFmtId="2" fontId="1" fillId="3" borderId="5" xfId="4" applyNumberFormat="1" applyFont="1" applyFill="1" applyBorder="1" applyAlignment="1">
      <alignment horizontal="right"/>
    </xf>
    <xf numFmtId="2" fontId="36" fillId="0" borderId="1" xfId="4" applyNumberFormat="1" applyFont="1" applyBorder="1" applyAlignment="1">
      <alignment horizontal="right"/>
    </xf>
    <xf numFmtId="2" fontId="36" fillId="3" borderId="5" xfId="4" applyNumberFormat="1" applyFont="1" applyFill="1" applyBorder="1" applyAlignment="1">
      <alignment horizontal="right"/>
    </xf>
    <xf numFmtId="2" fontId="31" fillId="3" borderId="5" xfId="4" applyNumberFormat="1" applyFont="1" applyFill="1" applyBorder="1" applyAlignment="1">
      <alignment horizontal="right"/>
    </xf>
    <xf numFmtId="2" fontId="37" fillId="3" borderId="5" xfId="4" applyNumberFormat="1" applyFont="1" applyFill="1" applyBorder="1" applyAlignment="1">
      <alignment horizontal="right"/>
    </xf>
    <xf numFmtId="2" fontId="27" fillId="3" borderId="5" xfId="4" applyNumberFormat="1" applyFont="1" applyFill="1" applyBorder="1" applyAlignment="1">
      <alignment horizontal="right"/>
    </xf>
    <xf numFmtId="2" fontId="31" fillId="66" borderId="80" xfId="4" applyNumberFormat="1" applyFont="1" applyFill="1" applyBorder="1" applyAlignment="1">
      <alignment horizontal="right"/>
    </xf>
    <xf numFmtId="2" fontId="36" fillId="66" borderId="80" xfId="4" applyNumberFormat="1" applyFont="1" applyFill="1" applyBorder="1" applyAlignment="1">
      <alignment horizontal="right"/>
    </xf>
    <xf numFmtId="2" fontId="38" fillId="67" borderId="81" xfId="4" applyNumberFormat="1" applyFont="1" applyFill="1" applyBorder="1" applyAlignment="1">
      <alignment horizontal="right"/>
    </xf>
    <xf numFmtId="2" fontId="41" fillId="3" borderId="5" xfId="4" applyNumberFormat="1" applyFont="1" applyFill="1" applyBorder="1" applyAlignment="1">
      <alignment horizontal="right"/>
    </xf>
    <xf numFmtId="0" fontId="36" fillId="0" borderId="1" xfId="4" applyFont="1" applyBorder="1"/>
    <xf numFmtId="0" fontId="6" fillId="0" borderId="1" xfId="4" applyFont="1" applyBorder="1"/>
    <xf numFmtId="2" fontId="38" fillId="3" borderId="5" xfId="4" applyNumberFormat="1" applyFont="1" applyFill="1" applyBorder="1" applyAlignment="1">
      <alignment horizontal="right"/>
    </xf>
    <xf numFmtId="2" fontId="36" fillId="68" borderId="82" xfId="4" applyNumberFormat="1" applyFont="1" applyFill="1" applyBorder="1" applyAlignment="1">
      <alignment horizontal="right"/>
    </xf>
    <xf numFmtId="2" fontId="38" fillId="68" borderId="82" xfId="4" applyNumberFormat="1" applyFont="1" applyFill="1" applyBorder="1" applyAlignment="1">
      <alignment horizontal="right"/>
    </xf>
    <xf numFmtId="0" fontId="37" fillId="0" borderId="1" xfId="4" applyFont="1" applyBorder="1"/>
    <xf numFmtId="171" fontId="37" fillId="3" borderId="5" xfId="4" applyNumberFormat="1" applyFont="1" applyFill="1" applyBorder="1" applyAlignment="1">
      <alignment horizontal="center"/>
    </xf>
    <xf numFmtId="171" fontId="36" fillId="3" borderId="5" xfId="4" applyNumberFormat="1" applyFont="1" applyFill="1" applyBorder="1" applyAlignment="1">
      <alignment horizontal="center"/>
    </xf>
    <xf numFmtId="171" fontId="36" fillId="66" borderId="80" xfId="4" applyNumberFormat="1" applyFont="1" applyFill="1" applyBorder="1" applyAlignment="1">
      <alignment horizontal="center"/>
    </xf>
    <xf numFmtId="0" fontId="32" fillId="0" borderId="1" xfId="5" applyBorder="1"/>
    <xf numFmtId="0" fontId="52" fillId="69" borderId="83" xfId="4" applyFill="1" applyBorder="1" applyAlignment="1">
      <alignment horizontal="left"/>
    </xf>
    <xf numFmtId="0" fontId="42" fillId="0" borderId="0" xfId="0" applyFont="1"/>
    <xf numFmtId="168" fontId="0" fillId="0" borderId="0" xfId="0" applyNumberFormat="1"/>
    <xf numFmtId="0" fontId="7" fillId="0" borderId="0" xfId="0" applyFont="1"/>
    <xf numFmtId="182" fontId="7" fillId="0" borderId="0" xfId="0" applyNumberFormat="1" applyFont="1" applyAlignment="1">
      <alignment horizontal="center"/>
    </xf>
    <xf numFmtId="0" fontId="1" fillId="70" borderId="84" xfId="0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1" fontId="1" fillId="71" borderId="85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44" fillId="72" borderId="86" xfId="0" applyFont="1" applyFill="1" applyBorder="1"/>
    <xf numFmtId="177" fontId="44" fillId="72" borderId="86" xfId="0" applyNumberFormat="1" applyFont="1" applyFill="1" applyBorder="1"/>
    <xf numFmtId="177" fontId="44" fillId="26" borderId="29" xfId="0" applyNumberFormat="1" applyFont="1" applyFill="1" applyBorder="1"/>
    <xf numFmtId="0" fontId="1" fillId="0" borderId="60" xfId="0" applyFont="1" applyBorder="1"/>
    <xf numFmtId="168" fontId="0" fillId="0" borderId="7" xfId="0" applyNumberFormat="1" applyBorder="1"/>
    <xf numFmtId="0" fontId="1" fillId="73" borderId="87" xfId="0" applyFont="1" applyFill="1" applyBorder="1" applyAlignment="1">
      <alignment wrapText="1"/>
    </xf>
    <xf numFmtId="166" fontId="1" fillId="74" borderId="88" xfId="2" applyNumberFormat="1" applyFont="1" applyFill="1" applyBorder="1"/>
    <xf numFmtId="0" fontId="1" fillId="0" borderId="61" xfId="0" applyFont="1" applyBorder="1"/>
    <xf numFmtId="168" fontId="1" fillId="0" borderId="49" xfId="0" applyNumberFormat="1" applyFont="1" applyBorder="1"/>
    <xf numFmtId="166" fontId="1" fillId="0" borderId="53" xfId="2" applyNumberFormat="1" applyFont="1" applyBorder="1"/>
    <xf numFmtId="0" fontId="0" fillId="75" borderId="89" xfId="0" applyFill="1" applyBorder="1" applyAlignment="1">
      <alignment horizontal="right"/>
    </xf>
    <xf numFmtId="168" fontId="0" fillId="76" borderId="90" xfId="0" applyNumberFormat="1" applyFill="1" applyBorder="1"/>
    <xf numFmtId="0" fontId="0" fillId="77" borderId="91" xfId="0" applyFill="1" applyBorder="1" applyAlignment="1">
      <alignment horizontal="right"/>
    </xf>
    <xf numFmtId="166" fontId="0" fillId="0" borderId="53" xfId="2" applyNumberFormat="1" applyBorder="1"/>
    <xf numFmtId="0" fontId="0" fillId="78" borderId="92" xfId="0" applyFill="1" applyBorder="1" applyAlignment="1">
      <alignment horizontal="right"/>
    </xf>
    <xf numFmtId="168" fontId="0" fillId="79" borderId="93" xfId="0" applyNumberFormat="1" applyFill="1" applyBorder="1" applyAlignment="1">
      <alignment horizontal="right"/>
    </xf>
    <xf numFmtId="0" fontId="0" fillId="0" borderId="61" xfId="0" applyBorder="1"/>
    <xf numFmtId="168" fontId="0" fillId="0" borderId="49" xfId="0" applyNumberFormat="1" applyBorder="1"/>
    <xf numFmtId="0" fontId="0" fillId="0" borderId="61" xfId="0" applyBorder="1" applyAlignment="1">
      <alignment horizontal="right"/>
    </xf>
    <xf numFmtId="0" fontId="0" fillId="80" borderId="94" xfId="0" applyFill="1" applyBorder="1" applyAlignment="1">
      <alignment horizontal="right"/>
    </xf>
    <xf numFmtId="168" fontId="0" fillId="81" borderId="95" xfId="0" applyNumberFormat="1" applyFill="1" applyBorder="1" applyAlignment="1">
      <alignment horizontal="right"/>
    </xf>
    <xf numFmtId="177" fontId="1" fillId="82" borderId="96" xfId="0" applyNumberFormat="1" applyFont="1" applyFill="1" applyBorder="1"/>
    <xf numFmtId="168" fontId="0" fillId="0" borderId="49" xfId="0" applyNumberFormat="1" applyBorder="1" applyAlignment="1">
      <alignment horizontal="right"/>
    </xf>
    <xf numFmtId="168" fontId="1" fillId="0" borderId="49" xfId="0" applyNumberFormat="1" applyFont="1" applyBorder="1" applyAlignment="1">
      <alignment horizontal="right"/>
    </xf>
    <xf numFmtId="168" fontId="0" fillId="0" borderId="53" xfId="0" applyNumberFormat="1" applyBorder="1"/>
    <xf numFmtId="0" fontId="0" fillId="83" borderId="97" xfId="0" applyFill="1" applyBorder="1" applyAlignment="1">
      <alignment horizontal="right"/>
    </xf>
    <xf numFmtId="177" fontId="9" fillId="82" borderId="96" xfId="0" applyNumberFormat="1" applyFont="1" applyFill="1" applyBorder="1"/>
    <xf numFmtId="0" fontId="9" fillId="0" borderId="0" xfId="0" applyFont="1"/>
    <xf numFmtId="0" fontId="1" fillId="84" borderId="98" xfId="0" applyFont="1" applyFill="1" applyBorder="1"/>
    <xf numFmtId="166" fontId="1" fillId="82" borderId="96" xfId="2" applyNumberFormat="1" applyFont="1" applyFill="1" applyBorder="1"/>
    <xf numFmtId="0" fontId="44" fillId="26" borderId="29" xfId="0" applyFont="1" applyFill="1" applyBorder="1"/>
    <xf numFmtId="0" fontId="7" fillId="0" borderId="0" xfId="0" applyFont="1" applyAlignment="1">
      <alignment wrapText="1"/>
    </xf>
    <xf numFmtId="182" fontId="7" fillId="0" borderId="0" xfId="0" applyNumberFormat="1" applyFont="1" applyAlignment="1">
      <alignment wrapText="1"/>
    </xf>
    <xf numFmtId="178" fontId="1" fillId="0" borderId="0" xfId="0" applyNumberFormat="1" applyFont="1"/>
    <xf numFmtId="178" fontId="1" fillId="0" borderId="0" xfId="0" applyNumberFormat="1" applyFont="1" applyAlignment="1">
      <alignment horizontal="center"/>
    </xf>
    <xf numFmtId="0" fontId="1" fillId="85" borderId="99" xfId="0" applyFont="1" applyFill="1" applyBorder="1" applyAlignment="1">
      <alignment horizontal="center"/>
    </xf>
    <xf numFmtId="179" fontId="1" fillId="85" borderId="99" xfId="3" applyNumberFormat="1" applyFont="1" applyFill="1" applyBorder="1" applyAlignment="1">
      <alignment horizontal="center" wrapText="1"/>
    </xf>
    <xf numFmtId="0" fontId="1" fillId="85" borderId="99" xfId="0" applyFont="1" applyFill="1" applyBorder="1" applyAlignment="1">
      <alignment horizontal="right"/>
    </xf>
    <xf numFmtId="0" fontId="0" fillId="86" borderId="100" xfId="0" applyFill="1" applyBorder="1" applyAlignment="1">
      <alignment horizontal="right"/>
    </xf>
    <xf numFmtId="168" fontId="0" fillId="87" borderId="101" xfId="0" applyNumberFormat="1" applyFill="1" applyBorder="1"/>
    <xf numFmtId="180" fontId="1" fillId="85" borderId="99" xfId="1" applyNumberFormat="1" applyFont="1" applyFill="1" applyBorder="1" applyAlignment="1">
      <alignment horizontal="center" wrapText="1"/>
    </xf>
    <xf numFmtId="166" fontId="9" fillId="0" borderId="1" xfId="2" applyNumberFormat="1" applyFont="1" applyBorder="1"/>
    <xf numFmtId="165" fontId="1" fillId="85" borderId="99" xfId="3" applyFont="1" applyFill="1" applyBorder="1" applyAlignment="1">
      <alignment horizontal="center" wrapText="1"/>
    </xf>
    <xf numFmtId="166" fontId="9" fillId="0" borderId="3" xfId="2" applyNumberFormat="1" applyFont="1" applyBorder="1" applyAlignment="1">
      <alignment horizontal="center"/>
    </xf>
    <xf numFmtId="9" fontId="1" fillId="0" borderId="7" xfId="2" applyFont="1" applyBorder="1"/>
    <xf numFmtId="168" fontId="0" fillId="0" borderId="62" xfId="0" applyNumberFormat="1" applyBorder="1"/>
    <xf numFmtId="0" fontId="6" fillId="0" borderId="0" xfId="0" applyFont="1" applyAlignment="1">
      <alignment horizontal="right"/>
    </xf>
    <xf numFmtId="168" fontId="6" fillId="0" borderId="0" xfId="0" applyNumberFormat="1" applyFont="1"/>
    <xf numFmtId="2" fontId="46" fillId="0" borderId="0" xfId="0" applyNumberFormat="1" applyFont="1"/>
    <xf numFmtId="0" fontId="31" fillId="0" borderId="0" xfId="0" applyFont="1" applyAlignment="1">
      <alignment horizontal="right"/>
    </xf>
    <xf numFmtId="168" fontId="31" fillId="0" borderId="0" xfId="0" applyNumberFormat="1" applyFont="1"/>
    <xf numFmtId="168" fontId="1" fillId="0" borderId="0" xfId="0" applyNumberFormat="1" applyFont="1"/>
    <xf numFmtId="179" fontId="0" fillId="0" borderId="0" xfId="0" applyNumberFormat="1"/>
    <xf numFmtId="177" fontId="0" fillId="0" borderId="0" xfId="0" applyNumberFormat="1"/>
    <xf numFmtId="0" fontId="1" fillId="0" borderId="0" xfId="0" applyFont="1" applyAlignment="1">
      <alignment wrapText="1"/>
    </xf>
    <xf numFmtId="0" fontId="1" fillId="56" borderId="70" xfId="0" applyFont="1" applyFill="1" applyBorder="1" applyAlignment="1">
      <alignment wrapText="1"/>
    </xf>
    <xf numFmtId="177" fontId="0" fillId="56" borderId="70" xfId="0" applyNumberFormat="1" applyFill="1" applyBorder="1"/>
    <xf numFmtId="177" fontId="0" fillId="56" borderId="70" xfId="0" applyNumberFormat="1" applyFill="1" applyBorder="1" applyAlignment="1">
      <alignment horizontal="center"/>
    </xf>
    <xf numFmtId="182" fontId="7" fillId="55" borderId="69" xfId="0" applyNumberFormat="1" applyFont="1" applyFill="1" applyBorder="1" applyAlignment="1">
      <alignment horizontal="center"/>
    </xf>
    <xf numFmtId="1" fontId="1" fillId="56" borderId="70" xfId="0" applyNumberFormat="1" applyFont="1" applyFill="1" applyBorder="1" applyAlignment="1">
      <alignment horizontal="center" wrapText="1"/>
    </xf>
    <xf numFmtId="177" fontId="0" fillId="88" borderId="102" xfId="0" applyNumberFormat="1" applyFill="1" applyBorder="1"/>
    <xf numFmtId="177" fontId="9" fillId="88" borderId="102" xfId="0" applyNumberFormat="1" applyFont="1" applyFill="1" applyBorder="1"/>
    <xf numFmtId="0" fontId="1" fillId="88" borderId="102" xfId="0" applyFont="1" applyFill="1" applyBorder="1" applyAlignment="1">
      <alignment wrapText="1"/>
    </xf>
    <xf numFmtId="0" fontId="1" fillId="88" borderId="102" xfId="0" applyFont="1" applyFill="1" applyBorder="1"/>
    <xf numFmtId="0" fontId="9" fillId="88" borderId="102" xfId="0" applyFont="1" applyFill="1" applyBorder="1" applyAlignment="1">
      <alignment wrapText="1"/>
    </xf>
    <xf numFmtId="0" fontId="9" fillId="88" borderId="102" xfId="0" applyFont="1" applyFill="1" applyBorder="1"/>
    <xf numFmtId="0" fontId="47" fillId="56" borderId="70" xfId="0" applyFont="1" applyFill="1" applyBorder="1"/>
    <xf numFmtId="0" fontId="47" fillId="56" borderId="70" xfId="0" applyFont="1" applyFill="1" applyBorder="1" applyAlignment="1">
      <alignment wrapText="1"/>
    </xf>
    <xf numFmtId="177" fontId="47" fillId="56" borderId="70" xfId="0" applyNumberFormat="1" applyFont="1" applyFill="1" applyBorder="1"/>
    <xf numFmtId="0" fontId="47" fillId="0" borderId="0" xfId="0" applyFont="1"/>
    <xf numFmtId="166" fontId="47" fillId="0" borderId="1" xfId="0" applyNumberFormat="1" applyFont="1" applyBorder="1"/>
    <xf numFmtId="0" fontId="48" fillId="0" borderId="0" xfId="0" applyFont="1"/>
    <xf numFmtId="177" fontId="1" fillId="19" borderId="22" xfId="0" applyNumberFormat="1" applyFont="1" applyFill="1" applyBorder="1"/>
    <xf numFmtId="177" fontId="47" fillId="19" borderId="22" xfId="0" applyNumberFormat="1" applyFont="1" applyFill="1" applyBorder="1"/>
    <xf numFmtId="0" fontId="1" fillId="56" borderId="70" xfId="0" applyFont="1" applyFill="1" applyBorder="1" applyAlignment="1">
      <alignment horizontal="center" wrapText="1"/>
    </xf>
    <xf numFmtId="0" fontId="44" fillId="89" borderId="103" xfId="0" applyFont="1" applyFill="1" applyBorder="1"/>
    <xf numFmtId="177" fontId="44" fillId="89" borderId="103" xfId="0" applyNumberFormat="1" applyFont="1" applyFill="1" applyBorder="1"/>
    <xf numFmtId="177" fontId="44" fillId="90" borderId="104" xfId="0" applyNumberFormat="1" applyFont="1" applyFill="1" applyBorder="1"/>
    <xf numFmtId="166" fontId="1" fillId="0" borderId="0" xfId="2" applyNumberFormat="1" applyFont="1"/>
    <xf numFmtId="0" fontId="0" fillId="0" borderId="49" xfId="0" applyBorder="1"/>
    <xf numFmtId="0" fontId="0" fillId="91" borderId="105" xfId="0" applyFill="1" applyBorder="1" applyAlignment="1">
      <alignment horizontal="right"/>
    </xf>
    <xf numFmtId="168" fontId="0" fillId="92" borderId="106" xfId="0" applyNumberFormat="1" applyFill="1" applyBorder="1"/>
    <xf numFmtId="0" fontId="8" fillId="0" borderId="54" xfId="0" applyFont="1" applyBorder="1" applyAlignment="1">
      <alignment horizontal="right"/>
    </xf>
    <xf numFmtId="168" fontId="8" fillId="0" borderId="48" xfId="0" applyNumberFormat="1" applyFont="1" applyBorder="1"/>
    <xf numFmtId="168" fontId="0" fillId="13" borderId="16" xfId="0" applyNumberFormat="1" applyFill="1" applyBorder="1"/>
    <xf numFmtId="168" fontId="0" fillId="17" borderId="20" xfId="0" applyNumberFormat="1" applyFill="1" applyBorder="1"/>
    <xf numFmtId="168" fontId="1" fillId="0" borderId="0" xfId="0" applyNumberFormat="1" applyFont="1" applyAlignment="1">
      <alignment horizontal="right"/>
    </xf>
    <xf numFmtId="168" fontId="0" fillId="93" borderId="107" xfId="0" applyNumberFormat="1" applyFill="1" applyBorder="1" applyAlignment="1">
      <alignment horizontal="right"/>
    </xf>
    <xf numFmtId="168" fontId="0" fillId="93" borderId="107" xfId="0" applyNumberFormat="1" applyFill="1" applyBorder="1"/>
    <xf numFmtId="0" fontId="0" fillId="94" borderId="108" xfId="0" applyFill="1" applyBorder="1" applyAlignment="1">
      <alignment horizontal="right"/>
    </xf>
    <xf numFmtId="9" fontId="1" fillId="0" borderId="51" xfId="2" applyFont="1" applyBorder="1"/>
    <xf numFmtId="166" fontId="0" fillId="0" borderId="51" xfId="2" applyNumberFormat="1" applyBorder="1"/>
    <xf numFmtId="0" fontId="0" fillId="0" borderId="54" xfId="0" applyBorder="1" applyAlignment="1">
      <alignment horizontal="right"/>
    </xf>
    <xf numFmtId="168" fontId="0" fillId="0" borderId="63" xfId="0" applyNumberFormat="1" applyBorder="1"/>
    <xf numFmtId="168" fontId="0" fillId="51" borderId="65" xfId="0" applyNumberFormat="1" applyFill="1" applyBorder="1" applyAlignment="1">
      <alignment horizontal="right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49" fillId="0" borderId="0" xfId="4" applyFont="1"/>
    <xf numFmtId="0" fontId="50" fillId="0" borderId="0" xfId="4" applyFont="1" applyAlignment="1">
      <alignment horizontal="center"/>
    </xf>
    <xf numFmtId="0" fontId="51" fillId="0" borderId="0" xfId="4" applyFont="1" applyAlignment="1">
      <alignment horizontal="left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171" fontId="50" fillId="0" borderId="1" xfId="0" applyNumberFormat="1" applyFont="1" applyBorder="1"/>
    <xf numFmtId="173" fontId="50" fillId="0" borderId="1" xfId="3" applyNumberFormat="1" applyFont="1" applyBorder="1" applyAlignment="1">
      <alignment horizontal="center"/>
    </xf>
    <xf numFmtId="0" fontId="50" fillId="0" borderId="0" xfId="0" applyFont="1"/>
    <xf numFmtId="170" fontId="49" fillId="0" borderId="0" xfId="3" applyNumberFormat="1" applyFont="1"/>
    <xf numFmtId="181" fontId="1" fillId="0" borderId="0" xfId="4" applyNumberFormat="1" applyFont="1"/>
    <xf numFmtId="171" fontId="52" fillId="3" borderId="5" xfId="4" applyNumberFormat="1" applyFill="1" applyBorder="1" applyAlignment="1">
      <alignment horizontal="center"/>
    </xf>
    <xf numFmtId="171" fontId="6" fillId="3" borderId="5" xfId="4" applyNumberFormat="1" applyFont="1" applyFill="1" applyBorder="1" applyAlignment="1">
      <alignment horizontal="center"/>
    </xf>
    <xf numFmtId="2" fontId="14" fillId="3" borderId="5" xfId="4" applyNumberFormat="1" applyFont="1" applyFill="1" applyBorder="1" applyAlignment="1">
      <alignment horizontal="right"/>
    </xf>
    <xf numFmtId="177" fontId="1" fillId="56" borderId="70" xfId="0" applyNumberFormat="1" applyFont="1" applyFill="1" applyBorder="1"/>
    <xf numFmtId="177" fontId="1" fillId="56" borderId="70" xfId="0" applyNumberFormat="1" applyFont="1" applyFill="1" applyBorder="1" applyAlignment="1">
      <alignment horizontal="center"/>
    </xf>
    <xf numFmtId="177" fontId="1" fillId="88" borderId="102" xfId="0" applyNumberFormat="1" applyFont="1" applyFill="1" applyBorder="1"/>
    <xf numFmtId="2" fontId="31" fillId="12" borderId="15" xfId="4" applyNumberFormat="1" applyFont="1" applyFill="1" applyBorder="1" applyAlignment="1">
      <alignment horizontal="right"/>
    </xf>
    <xf numFmtId="177" fontId="42" fillId="0" borderId="0" xfId="0" applyNumberFormat="1" applyFont="1"/>
    <xf numFmtId="1" fontId="0" fillId="0" borderId="1" xfId="0" applyNumberFormat="1" applyBorder="1"/>
    <xf numFmtId="183" fontId="11" fillId="21" borderId="24" xfId="0" applyNumberFormat="1" applyFont="1" applyFill="1" applyBorder="1" applyAlignment="1">
      <alignment horizontal="center" vertical="center"/>
    </xf>
    <xf numFmtId="0" fontId="52" fillId="95" borderId="109" xfId="4" applyFill="1" applyBorder="1" applyAlignment="1">
      <alignment horizontal="right"/>
    </xf>
    <xf numFmtId="0" fontId="1" fillId="57" borderId="71" xfId="0" applyFont="1" applyFill="1" applyBorder="1" applyAlignment="1">
      <alignment horizontal="center"/>
    </xf>
    <xf numFmtId="0" fontId="8" fillId="54" borderId="68" xfId="0" applyFont="1" applyFill="1" applyBorder="1"/>
    <xf numFmtId="0" fontId="52" fillId="56" borderId="70" xfId="4" applyFill="1" applyBorder="1" applyAlignment="1">
      <alignment horizontal="right"/>
    </xf>
    <xf numFmtId="0" fontId="1" fillId="96" borderId="1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82" fontId="0" fillId="96" borderId="110" xfId="0" applyNumberFormat="1" applyFill="1" applyBorder="1" applyAlignment="1">
      <alignment horizontal="center"/>
    </xf>
    <xf numFmtId="0" fontId="8" fillId="0" borderId="0" xfId="0" applyFont="1" applyAlignment="1">
      <alignment horizontal="left"/>
    </xf>
    <xf numFmtId="182" fontId="0" fillId="0" borderId="1" xfId="0" applyNumberFormat="1" applyBorder="1" applyAlignment="1">
      <alignment horizontal="center"/>
    </xf>
    <xf numFmtId="0" fontId="33" fillId="58" borderId="72" xfId="4" applyFont="1" applyFill="1" applyBorder="1" applyAlignment="1">
      <alignment horizontal="center"/>
    </xf>
    <xf numFmtId="0" fontId="40" fillId="0" borderId="0" xfId="5" applyFont="1" applyAlignment="1">
      <alignment horizontal="center"/>
    </xf>
    <xf numFmtId="0" fontId="33" fillId="60" borderId="74" xfId="4" applyFont="1" applyFill="1" applyBorder="1" applyAlignment="1">
      <alignment horizontal="center"/>
    </xf>
    <xf numFmtId="0" fontId="15" fillId="97" borderId="111" xfId="4" applyFont="1" applyFill="1" applyBorder="1" applyAlignment="1">
      <alignment horizontal="left"/>
    </xf>
    <xf numFmtId="0" fontId="15" fillId="98" borderId="112" xfId="4" applyFont="1" applyFill="1" applyBorder="1" applyAlignment="1">
      <alignment horizontal="left"/>
    </xf>
    <xf numFmtId="0" fontId="33" fillId="42" borderId="45" xfId="4" applyFont="1" applyFill="1" applyBorder="1" applyAlignment="1">
      <alignment horizontal="center"/>
    </xf>
    <xf numFmtId="0" fontId="43" fillId="99" borderId="113" xfId="0" applyFont="1" applyFill="1" applyBorder="1" applyAlignment="1">
      <alignment horizontal="center"/>
    </xf>
    <xf numFmtId="0" fontId="43" fillId="100" borderId="114" xfId="0" applyFont="1" applyFill="1" applyBorder="1" applyAlignment="1">
      <alignment horizontal="center"/>
    </xf>
    <xf numFmtId="0" fontId="43" fillId="101" borderId="115" xfId="0" applyFont="1" applyFill="1" applyBorder="1" applyAlignment="1">
      <alignment horizontal="center"/>
    </xf>
    <xf numFmtId="0" fontId="0" fillId="0" borderId="60" xfId="0" applyBorder="1" applyAlignment="1">
      <alignment horizontal="right"/>
    </xf>
    <xf numFmtId="0" fontId="0" fillId="0" borderId="62" xfId="0" applyBorder="1" applyAlignment="1">
      <alignment horizontal="right"/>
    </xf>
    <xf numFmtId="0" fontId="0" fillId="0" borderId="46" xfId="0" applyBorder="1" applyAlignment="1">
      <alignment horizontal="right"/>
    </xf>
    <xf numFmtId="0" fontId="0" fillId="0" borderId="3" xfId="0" applyBorder="1" applyAlignment="1">
      <alignment horizontal="right"/>
    </xf>
    <xf numFmtId="0" fontId="8" fillId="102" borderId="116" xfId="0" applyFont="1" applyFill="1" applyBorder="1" applyAlignment="1">
      <alignment horizontal="center"/>
    </xf>
    <xf numFmtId="0" fontId="8" fillId="103" borderId="117" xfId="0" applyFont="1" applyFill="1" applyBorder="1" applyAlignment="1">
      <alignment horizontal="center"/>
    </xf>
    <xf numFmtId="0" fontId="8" fillId="104" borderId="118" xfId="0" applyFont="1" applyFill="1" applyBorder="1" applyAlignment="1">
      <alignment horizontal="center"/>
    </xf>
    <xf numFmtId="0" fontId="8" fillId="105" borderId="119" xfId="0" applyFont="1" applyFill="1" applyBorder="1" applyAlignment="1">
      <alignment horizontal="center"/>
    </xf>
    <xf numFmtId="0" fontId="1" fillId="106" borderId="120" xfId="0" applyFont="1" applyFill="1" applyBorder="1" applyAlignment="1">
      <alignment horizontal="center" vertical="top" wrapText="1"/>
    </xf>
    <xf numFmtId="0" fontId="1" fillId="107" borderId="121" xfId="0" applyFont="1" applyFill="1" applyBorder="1" applyAlignment="1">
      <alignment horizontal="center" vertical="top" wrapText="1"/>
    </xf>
    <xf numFmtId="0" fontId="1" fillId="108" borderId="122" xfId="0" applyFont="1" applyFill="1" applyBorder="1" applyAlignment="1">
      <alignment horizontal="center" vertical="top" wrapText="1"/>
    </xf>
    <xf numFmtId="177" fontId="45" fillId="74" borderId="88" xfId="0" applyNumberFormat="1" applyFont="1" applyFill="1" applyBorder="1" applyAlignment="1">
      <alignment horizontal="center"/>
    </xf>
    <xf numFmtId="0" fontId="1" fillId="109" borderId="123" xfId="0" applyFont="1" applyFill="1" applyBorder="1" applyAlignment="1">
      <alignment horizontal="center" vertical="top" wrapText="1"/>
    </xf>
    <xf numFmtId="0" fontId="1" fillId="110" borderId="124" xfId="0" applyFont="1" applyFill="1" applyBorder="1" applyAlignment="1">
      <alignment horizontal="center" vertical="top" wrapText="1"/>
    </xf>
    <xf numFmtId="0" fontId="1" fillId="111" borderId="125" xfId="0" applyFont="1" applyFill="1" applyBorder="1" applyAlignment="1">
      <alignment horizontal="center" vertical="top" wrapText="1"/>
    </xf>
    <xf numFmtId="0" fontId="1" fillId="112" borderId="126" xfId="0" applyFont="1" applyFill="1" applyBorder="1" applyAlignment="1">
      <alignment horizontal="center" vertical="top" wrapText="1"/>
    </xf>
    <xf numFmtId="177" fontId="9" fillId="82" borderId="96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82" fontId="31" fillId="69" borderId="83" xfId="0" applyNumberFormat="1" applyFont="1" applyFill="1" applyBorder="1" applyAlignment="1">
      <alignment horizontal="center"/>
    </xf>
    <xf numFmtId="0" fontId="31" fillId="69" borderId="83" xfId="0" applyFont="1" applyFill="1" applyBorder="1" applyAlignment="1">
      <alignment horizontal="center"/>
    </xf>
    <xf numFmtId="0" fontId="8" fillId="69" borderId="83" xfId="0" applyFont="1" applyFill="1" applyBorder="1" applyAlignment="1">
      <alignment horizontal="center"/>
    </xf>
    <xf numFmtId="0" fontId="19" fillId="22" borderId="25" xfId="0" applyFont="1" applyFill="1" applyBorder="1" applyAlignment="1">
      <alignment horizontal="center" vertical="top" wrapText="1"/>
    </xf>
    <xf numFmtId="0" fontId="20" fillId="23" borderId="26" xfId="0" applyFont="1" applyFill="1" applyBorder="1" applyAlignment="1">
      <alignment horizontal="center" vertical="top" wrapText="1"/>
    </xf>
    <xf numFmtId="0" fontId="21" fillId="2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113" borderId="127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114" borderId="128" xfId="0" applyFill="1" applyBorder="1" applyAlignment="1">
      <alignment horizontal="center"/>
    </xf>
    <xf numFmtId="0" fontId="0" fillId="115" borderId="129" xfId="0" applyFill="1" applyBorder="1" applyAlignment="1">
      <alignment horizontal="center"/>
    </xf>
    <xf numFmtId="0" fontId="49" fillId="0" borderId="0" xfId="4" applyFont="1" applyAlignment="1">
      <alignment horizontal="center"/>
    </xf>
    <xf numFmtId="0" fontId="49" fillId="0" borderId="0" xfId="0" applyFont="1"/>
  </cellXfs>
  <cellStyles count="7">
    <cellStyle name="Excel Built-in Normal" xfId="4" xr:uid="{00000000-0005-0000-0000-000004000000}"/>
    <cellStyle name="Millares" xfId="3" builtinId="3" customBuiltin="1"/>
    <cellStyle name="Moneda" xfId="1" builtinId="4" customBuiltin="1"/>
    <cellStyle name="Normal" xfId="0" builtinId="0" customBuiltin="1"/>
    <cellStyle name="Normal 2" xfId="5" xr:uid="{00000000-0005-0000-0000-000005000000}"/>
    <cellStyle name="Porcentaje" xfId="2" builtinId="5" customBuiltin="1"/>
    <cellStyle name="Porcentaje 2" xfId="6" xr:uid="{00000000-0005-0000-0000-000006000000}"/>
  </cellStyles>
  <dxfs count="86">
    <dxf>
      <font>
        <b/>
        <i val="0"/>
        <color rgb="FF00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b/>
        <i val="0"/>
        <color rgb="FF00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1780" count="1">
        <pm:charStyle name="Normal" fontId="0" Id="1"/>
      </pm:charStyles>
      <pm:colors xmlns:pm="smNativeData" id="1595601780" count="57">
        <pm:color name="Color 24" rgb="974706"/>
        <pm:color name="Color 25" rgb="00B050"/>
        <pm:color name="Color 26" rgb="385724"/>
        <pm:color name="Color 27" rgb="535353"/>
        <pm:color name="Color 28" rgb="548235"/>
        <pm:color name="Color 29" rgb="FFFFCC"/>
        <pm:color name="Color 30" rgb="E26B0A"/>
        <pm:color name="Color 31" rgb="92D050"/>
        <pm:color name="Color 32" rgb="D8D8D8"/>
        <pm:color name="Color 33" rgb="FFC000"/>
        <pm:color name="Color 34" rgb="8DB4E2"/>
        <pm:color name="Color 35" rgb="C2D69A"/>
        <pm:color name="Color 36" rgb="E6B8B7"/>
        <pm:color name="Color 37" rgb="D7E3BB"/>
        <pm:color name="Color 38" rgb="EEEEEE"/>
        <pm:color name="Color 39" rgb="F2F2F2"/>
        <pm:color name="Color 40" rgb="FFFFDD"/>
        <pm:color name="Color 41" rgb="DDD9C4"/>
        <pm:color name="Color 42" rgb="366092"/>
        <pm:color name="Color 43" rgb="B7DEE8"/>
        <pm:color name="Color 44" rgb="DAEEF3"/>
        <pm:color name="Color 45" rgb="FABF8F"/>
        <pm:color name="Color 46" rgb="B8CCE4"/>
        <pm:color name="Color 47" rgb="0070C0"/>
        <pm:color name="Color 48" rgb="76933C"/>
        <pm:color name="Color 49" rgb="002060"/>
        <pm:color name="Color 50" rgb="7030A0"/>
        <pm:color name="Color 51" rgb="92CDDC"/>
        <pm:color name="Color 52" rgb="EBF1DC"/>
        <pm:color name="Color 53" rgb="F2DCDB"/>
        <pm:color name="Color 54" rgb="666699"/>
        <pm:color name="Color 55" rgb="008080"/>
        <pm:color name="Color 56" rgb="CCFFFF"/>
        <pm:color name="Color 57" rgb="99CC00"/>
        <pm:color name="Color 58" rgb="99CCFF"/>
        <pm:color name="Color 59" rgb="FFCC00"/>
        <pm:color name="Color 60" rgb="FDE9D9"/>
        <pm:color name="Color 61" rgb="FFE699"/>
        <pm:color name="Color 62" rgb="DAE3F3"/>
        <pm:color name="Color 63" rgb="DBDBDB"/>
        <pm:color name="Color 64" rgb="F8CBAD"/>
        <pm:color name="Color 65" rgb="E4DFEC"/>
        <pm:color name="Color 66" rgb="BDD7EE"/>
        <pm:color name="Color 67" rgb="D0CECE"/>
        <pm:color name="Color 68" rgb="215967"/>
        <pm:color name="Color 69" rgb="C4BD97"/>
        <pm:color name="Color 70" rgb="E0FFFF"/>
        <pm:color name="Color 71" rgb="006100"/>
        <pm:color name="Color 72" rgb="C6EFCE"/>
        <pm:color name="Color 73" rgb="9C0006"/>
        <pm:color name="Color 74" rgb="FFC7CE"/>
        <pm:color name="Color 75" rgb="9C6500"/>
        <pm:color name="Color 76" rgb="FFEB9C"/>
        <pm:color name="Color 77" rgb="9C5700"/>
        <pm:color name="Color 78" rgb="DA9694"/>
        <pm:color name="Color 79" rgb="FCD5B4"/>
        <pm:color name="Color 80" rgb="60497A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2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85725</xdr:rowOff>
    </xdr:from>
    <xdr:to>
      <xdr:col>7</xdr:col>
      <xdr:colOff>190500</xdr:colOff>
      <xdr:row>19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XQ4AAO0KAADmFAAAIR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AAAAAAAAAAwQEAARMAAAAHAAAAXQEAASwBAACHAAAA0CAAAL4WAAABAAAA"/>
            </a:ext>
          </a:extLst>
        </xdr:cNvPicPr>
      </xdr:nvPicPr>
      <xdr:blipFill>
        <a:blip xmlns:r="http://schemas.openxmlformats.org/officeDocument/2006/relationships" r:embed="rId1"/>
        <a:srcRect l="36770" t="27970" r="53500" b="41290"/>
        <a:stretch>
          <a:fillRect/>
        </a:stretch>
      </xdr:blipFill>
      <xdr:spPr>
        <a:xfrm>
          <a:off x="190500" y="85725"/>
          <a:ext cx="5334000" cy="369697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B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B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g7f8C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B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vDw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B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4////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B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Hc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8Z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900-0000A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9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9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9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8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8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8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8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8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8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8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7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7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7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7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7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7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7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6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6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6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6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6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6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6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5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5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5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5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4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4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4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4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4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4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4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3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3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900-00003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3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9fX3/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Q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1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1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A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1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0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0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0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900-00000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F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F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F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8Z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8890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EAGAqAAA2H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58597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900-000025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YYAYCoAAMIZAADfAQAA0AEAAAEAAAA="/>
            </a:ext>
          </a:extLst>
        </xdr:cNvSpPr>
      </xdr:nvSpPr>
      <xdr:spPr>
        <a:xfrm>
          <a:off x="6888480" y="4187190"/>
          <a:ext cx="304165" cy="29464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/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900-000023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IQAAAMAAAAEAAAAAAAAAAAAAAAAAAAAAAAAAAeAAAAaAAAAAAAAAAAAAAAAAAAAAAAAAAAAAAAECcAABAnAAAAAAAAAAAAAAAAAAAAAAAAAAAAAAAAAAAAAAAAAAAAABQAAAAAAAAAwMD/AAAAAABkAAAAMgAAAAAAAABkAAAAAAAAAH9/fwAKAAAAIQAAADAAAAAsAAAAFgAAAAsAAAAAAAAAFwAAAAsAAAAaAoYAYCoAAPwaAADfAQAA3wEAAAEAAAA="/>
            </a:ext>
          </a:extLst>
        </xdr:cNvSpPr>
      </xdr:nvSpPr>
      <xdr:spPr>
        <a:xfrm>
          <a:off x="6888480" y="438658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900-000022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900-000021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900-00001F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oYAYCoAAE4XAADfAQAA3wEAAAEAAAA="/>
            </a:ext>
          </a:extLst>
        </xdr:cNvSpPr>
      </xdr:nvSpPr>
      <xdr:spPr>
        <a:xfrm>
          <a:off x="6888480" y="378841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1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1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1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1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1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F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F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F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F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F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F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F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E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E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E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E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E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E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D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D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D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D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D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D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D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D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D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D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C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C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C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C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C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C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C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C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B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B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B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B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B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A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A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A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A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A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A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A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A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A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9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9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9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9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9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9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9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9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9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8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8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8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8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8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4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4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4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4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3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3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3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2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2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2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2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2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2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2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2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2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1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1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1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1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1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0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0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0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0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0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0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0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0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F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F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F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F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F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F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F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F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F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F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E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E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E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E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E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E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E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E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D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D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D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D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D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D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D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D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C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C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C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C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C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C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C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C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C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C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B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B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B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B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B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7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7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7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6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6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5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5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5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5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5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5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5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5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5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4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4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4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4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3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3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3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3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3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3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3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3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3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3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3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3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2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2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2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2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2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2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2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2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2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1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1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1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1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1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1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0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0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0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0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0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F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F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F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F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F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F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F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F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F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E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E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E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E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E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E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E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D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A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A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9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9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8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8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8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8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8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8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7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7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7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7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7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7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7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7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6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6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6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6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6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6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6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6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6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5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5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5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5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5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5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4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4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4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4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4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4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3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3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3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3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3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2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1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1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1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1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1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D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D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C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C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C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C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B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B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A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A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A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A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9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9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9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9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9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8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8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8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8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8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8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8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8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7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7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7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7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7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7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7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7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6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6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6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6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6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6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6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6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5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5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5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5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5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5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5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5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5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4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4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4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4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4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4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4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4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4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4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4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3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3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F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F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F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F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E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E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E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E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D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D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D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D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D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D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D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D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D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D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C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C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C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C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C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C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C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B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B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B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B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B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B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B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B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A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A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A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A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A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A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A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A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9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9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9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9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9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9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9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9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9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8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8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8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8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8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8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8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8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7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7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7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7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7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7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7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7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7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7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6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6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6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0497A"/>
  </sheetPr>
  <dimension ref="A1:U52"/>
  <sheetViews>
    <sheetView workbookViewId="0">
      <selection activeCell="L7" sqref="L7"/>
    </sheetView>
  </sheetViews>
  <sheetFormatPr baseColWidth="10" defaultColWidth="11.42578125" defaultRowHeight="15" x14ac:dyDescent="0.25"/>
  <cols>
    <col min="1" max="1" width="3" customWidth="1"/>
    <col min="2" max="2" width="9.85546875" customWidth="1"/>
    <col min="3" max="3" width="23.5703125" customWidth="1"/>
    <col min="4" max="5" width="5" customWidth="1"/>
    <col min="6" max="6" width="6.7109375" customWidth="1"/>
    <col min="7" max="7" width="10.7109375" style="58" customWidth="1"/>
    <col min="8" max="8" width="20.42578125" customWidth="1"/>
    <col min="9" max="9" width="5" customWidth="1"/>
    <col min="10" max="10" width="4" customWidth="1"/>
    <col min="11" max="11" width="3" customWidth="1"/>
    <col min="12" max="12" width="5" customWidth="1"/>
    <col min="13" max="13" width="20.42578125" customWidth="1"/>
    <col min="14" max="14" width="7.7109375" customWidth="1"/>
    <col min="15" max="15" width="4.5703125" customWidth="1"/>
    <col min="16" max="16" width="4" customWidth="1"/>
    <col min="17" max="17" width="5.5703125" customWidth="1"/>
    <col min="18" max="18" width="3" customWidth="1"/>
    <col min="19" max="19" width="5.5703125" customWidth="1"/>
    <col min="20" max="20" width="23.5703125" customWidth="1"/>
    <col min="21" max="21" width="5" customWidth="1"/>
    <col min="22" max="22" width="4" customWidth="1"/>
    <col min="23" max="23" width="3.28515625" customWidth="1"/>
    <col min="24" max="24" width="5.85546875" customWidth="1"/>
    <col min="25" max="25" width="20.42578125" customWidth="1"/>
    <col min="26" max="26" width="5" customWidth="1"/>
  </cols>
  <sheetData>
    <row r="1" spans="1:21" ht="18.75" x14ac:dyDescent="0.3">
      <c r="A1" s="471" t="s">
        <v>0</v>
      </c>
      <c r="B1" s="471"/>
      <c r="C1" s="471"/>
      <c r="E1" s="472" t="s">
        <v>1</v>
      </c>
      <c r="F1" s="472"/>
      <c r="G1" s="472"/>
      <c r="H1" s="472"/>
    </row>
    <row r="2" spans="1:21" x14ac:dyDescent="0.25">
      <c r="A2" s="473">
        <v>44035</v>
      </c>
      <c r="B2" s="473"/>
      <c r="C2" s="473"/>
      <c r="E2" s="58" t="s">
        <v>2</v>
      </c>
      <c r="F2" s="3" t="s">
        <v>3</v>
      </c>
      <c r="G2" s="74">
        <v>43276</v>
      </c>
      <c r="H2" t="s">
        <v>4</v>
      </c>
    </row>
    <row r="3" spans="1:21" x14ac:dyDescent="0.25">
      <c r="E3" s="58" t="s">
        <v>5</v>
      </c>
      <c r="F3" s="148" t="s">
        <v>6</v>
      </c>
      <c r="G3" s="74">
        <v>43258</v>
      </c>
      <c r="H3" t="s">
        <v>7</v>
      </c>
    </row>
    <row r="4" spans="1:21" s="75" customFormat="1" ht="10.5" customHeight="1" x14ac:dyDescent="0.3"/>
    <row r="5" spans="1:21" s="75" customFormat="1" ht="18.75" x14ac:dyDescent="0.3">
      <c r="B5" s="474" t="s">
        <v>8</v>
      </c>
      <c r="C5" s="474"/>
      <c r="D5"/>
      <c r="G5" s="474" t="s">
        <v>9</v>
      </c>
      <c r="H5" s="474"/>
      <c r="I5" s="474"/>
      <c r="J5" s="88"/>
      <c r="K5" s="88"/>
      <c r="L5" s="474" t="s">
        <v>10</v>
      </c>
      <c r="M5" s="474"/>
      <c r="N5"/>
      <c r="O5" s="4" t="s">
        <v>11</v>
      </c>
      <c r="S5" s="474" t="s">
        <v>12</v>
      </c>
      <c r="T5" s="474"/>
    </row>
    <row r="6" spans="1:21" x14ac:dyDescent="0.25">
      <c r="A6" s="5">
        <v>1</v>
      </c>
      <c r="B6" s="263">
        <v>116</v>
      </c>
      <c r="C6" s="264" t="s">
        <v>13</v>
      </c>
      <c r="D6" s="264" t="s">
        <v>14</v>
      </c>
      <c r="F6" s="70">
        <v>1</v>
      </c>
      <c r="G6" s="263">
        <v>436</v>
      </c>
      <c r="H6" s="264" t="s">
        <v>15</v>
      </c>
      <c r="I6" s="264" t="s">
        <v>16</v>
      </c>
      <c r="K6" s="70">
        <v>1</v>
      </c>
      <c r="L6" s="263">
        <v>283</v>
      </c>
      <c r="M6" s="264" t="s">
        <v>17</v>
      </c>
      <c r="N6" s="264" t="s">
        <v>18</v>
      </c>
      <c r="O6" s="270">
        <f>L6/G9</f>
        <v>0.80857142857142861</v>
      </c>
      <c r="P6" s="264"/>
      <c r="R6" s="5">
        <v>1</v>
      </c>
      <c r="S6" s="266" t="s">
        <v>19</v>
      </c>
      <c r="T6" s="267" t="s">
        <v>20</v>
      </c>
      <c r="U6" s="268" t="s">
        <v>21</v>
      </c>
    </row>
    <row r="7" spans="1:21" x14ac:dyDescent="0.25">
      <c r="A7" s="5">
        <v>2</v>
      </c>
      <c r="B7" s="468">
        <v>66</v>
      </c>
      <c r="C7" s="267" t="s">
        <v>22</v>
      </c>
      <c r="D7" s="268" t="s">
        <v>14</v>
      </c>
      <c r="F7" s="70">
        <v>2</v>
      </c>
      <c r="G7" s="263">
        <v>419</v>
      </c>
      <c r="H7" s="264" t="s">
        <v>23</v>
      </c>
      <c r="I7" s="265" t="s">
        <v>24</v>
      </c>
      <c r="K7" s="70">
        <v>2</v>
      </c>
      <c r="L7" s="263">
        <v>132</v>
      </c>
      <c r="M7" s="264" t="s">
        <v>15</v>
      </c>
      <c r="N7" s="264" t="s">
        <v>16</v>
      </c>
      <c r="O7" s="270">
        <f>L7/G6</f>
        <v>0.30275229357798167</v>
      </c>
      <c r="P7" s="264"/>
      <c r="R7" s="5">
        <v>2</v>
      </c>
      <c r="S7" s="269" t="s">
        <v>25</v>
      </c>
      <c r="T7" s="264" t="s">
        <v>13</v>
      </c>
      <c r="U7" s="264" t="s">
        <v>14</v>
      </c>
    </row>
    <row r="8" spans="1:21" x14ac:dyDescent="0.25">
      <c r="A8" s="5">
        <v>3</v>
      </c>
      <c r="B8" s="266">
        <v>46</v>
      </c>
      <c r="C8" s="267" t="s">
        <v>26</v>
      </c>
      <c r="D8" s="268" t="s">
        <v>14</v>
      </c>
      <c r="F8" s="70">
        <v>3</v>
      </c>
      <c r="G8" s="263">
        <v>362</v>
      </c>
      <c r="H8" s="264" t="s">
        <v>27</v>
      </c>
      <c r="I8" s="265" t="s">
        <v>28</v>
      </c>
      <c r="K8" s="70">
        <v>3</v>
      </c>
      <c r="L8" s="263">
        <v>132</v>
      </c>
      <c r="M8" s="264" t="s">
        <v>29</v>
      </c>
      <c r="N8" s="264" t="s">
        <v>30</v>
      </c>
      <c r="O8" s="270">
        <f>L8/G10</f>
        <v>0.39169139465875369</v>
      </c>
      <c r="P8" s="264"/>
      <c r="R8" s="5">
        <v>2</v>
      </c>
      <c r="S8" s="269" t="s">
        <v>25</v>
      </c>
      <c r="T8" s="264" t="s">
        <v>15</v>
      </c>
      <c r="U8" s="264" t="s">
        <v>16</v>
      </c>
    </row>
    <row r="9" spans="1:21" s="75" customFormat="1" ht="18.75" x14ac:dyDescent="0.3">
      <c r="A9">
        <v>4</v>
      </c>
      <c r="B9" s="258">
        <v>22</v>
      </c>
      <c r="C9" s="259" t="s">
        <v>31</v>
      </c>
      <c r="D9" s="260" t="s">
        <v>14</v>
      </c>
      <c r="F9" s="58">
        <v>4</v>
      </c>
      <c r="G9" s="254">
        <v>350</v>
      </c>
      <c r="H9" s="255" t="s">
        <v>32</v>
      </c>
      <c r="I9" s="256" t="s">
        <v>18</v>
      </c>
      <c r="K9" s="58">
        <v>4</v>
      </c>
      <c r="L9" s="254">
        <v>100</v>
      </c>
      <c r="M9" s="255" t="s">
        <v>33</v>
      </c>
      <c r="N9" s="255" t="s">
        <v>28</v>
      </c>
      <c r="O9" s="257">
        <f>L9/G11</f>
        <v>0.31948881789137379</v>
      </c>
      <c r="P9" s="255"/>
      <c r="R9" s="5">
        <v>2</v>
      </c>
      <c r="S9" s="269" t="s">
        <v>25</v>
      </c>
      <c r="T9" s="264" t="s">
        <v>27</v>
      </c>
      <c r="U9" s="265" t="s">
        <v>28</v>
      </c>
    </row>
    <row r="10" spans="1:21" ht="18.75" x14ac:dyDescent="0.3">
      <c r="A10">
        <v>5</v>
      </c>
      <c r="B10" s="254">
        <v>2</v>
      </c>
      <c r="C10" s="255" t="s">
        <v>34</v>
      </c>
      <c r="D10" s="255" t="s">
        <v>14</v>
      </c>
      <c r="F10" s="58">
        <v>5</v>
      </c>
      <c r="G10" s="258">
        <v>337</v>
      </c>
      <c r="H10" s="259" t="s">
        <v>29</v>
      </c>
      <c r="I10" s="259" t="s">
        <v>30</v>
      </c>
      <c r="K10" s="58">
        <v>5</v>
      </c>
      <c r="L10" s="258">
        <v>95</v>
      </c>
      <c r="M10" s="259" t="s">
        <v>27</v>
      </c>
      <c r="N10" s="260" t="s">
        <v>28</v>
      </c>
      <c r="O10" s="261">
        <f>L10/G8</f>
        <v>0.26243093922651933</v>
      </c>
      <c r="P10" s="262"/>
      <c r="R10" s="5">
        <v>2</v>
      </c>
      <c r="S10" s="266" t="s">
        <v>25</v>
      </c>
      <c r="T10" s="267" t="s">
        <v>35</v>
      </c>
      <c r="U10" s="267" t="s">
        <v>21</v>
      </c>
    </row>
    <row r="11" spans="1:21" x14ac:dyDescent="0.25">
      <c r="A11">
        <v>6</v>
      </c>
      <c r="B11" s="254">
        <v>1</v>
      </c>
      <c r="C11" s="255" t="s">
        <v>36</v>
      </c>
      <c r="D11" s="255" t="s">
        <v>37</v>
      </c>
      <c r="F11" s="58">
        <v>6</v>
      </c>
      <c r="G11" s="254">
        <v>313</v>
      </c>
      <c r="H11" s="255" t="s">
        <v>33</v>
      </c>
      <c r="I11" s="256" t="s">
        <v>28</v>
      </c>
      <c r="K11" s="58">
        <v>6</v>
      </c>
      <c r="L11" s="254">
        <v>90</v>
      </c>
      <c r="M11" s="255" t="s">
        <v>20</v>
      </c>
      <c r="N11" s="255" t="s">
        <v>21</v>
      </c>
      <c r="O11" s="257">
        <f>L11/G21</f>
        <v>0.61643835616438358</v>
      </c>
      <c r="P11" s="255">
        <v>169</v>
      </c>
      <c r="R11" s="5">
        <v>2</v>
      </c>
      <c r="S11" s="266" t="s">
        <v>25</v>
      </c>
      <c r="T11" s="267" t="s">
        <v>38</v>
      </c>
      <c r="U11" s="268" t="s">
        <v>24</v>
      </c>
    </row>
    <row r="12" spans="1:21" ht="18.75" x14ac:dyDescent="0.3">
      <c r="A12">
        <v>6</v>
      </c>
      <c r="B12" s="254">
        <v>1</v>
      </c>
      <c r="C12" s="255" t="s">
        <v>39</v>
      </c>
      <c r="D12" s="255" t="s">
        <v>24</v>
      </c>
      <c r="F12" s="58">
        <v>7</v>
      </c>
      <c r="G12" s="254">
        <v>312</v>
      </c>
      <c r="H12" s="255" t="s">
        <v>40</v>
      </c>
      <c r="I12" s="256" t="s">
        <v>30</v>
      </c>
      <c r="K12" s="58">
        <v>7</v>
      </c>
      <c r="L12" s="254">
        <v>85</v>
      </c>
      <c r="M12" s="255" t="s">
        <v>40</v>
      </c>
      <c r="N12" s="256" t="s">
        <v>30</v>
      </c>
      <c r="O12" s="257">
        <f>L12/G12</f>
        <v>0.27243589743589741</v>
      </c>
      <c r="P12" s="469"/>
      <c r="R12">
        <v>7</v>
      </c>
      <c r="S12" s="254" t="s">
        <v>41</v>
      </c>
      <c r="T12" s="255" t="s">
        <v>42</v>
      </c>
      <c r="U12" s="255" t="s">
        <v>37</v>
      </c>
    </row>
    <row r="13" spans="1:21" ht="18.75" x14ac:dyDescent="0.3">
      <c r="B13" s="58"/>
      <c r="C13" s="58"/>
      <c r="D13" s="58"/>
      <c r="E13" s="75"/>
      <c r="F13" s="58">
        <v>8</v>
      </c>
      <c r="G13" s="254">
        <v>299</v>
      </c>
      <c r="H13" s="255" t="s">
        <v>43</v>
      </c>
      <c r="I13" s="256" t="s">
        <v>28</v>
      </c>
      <c r="J13" s="75"/>
      <c r="K13" s="58">
        <v>7</v>
      </c>
      <c r="L13" s="254">
        <v>85</v>
      </c>
      <c r="M13" s="255" t="s">
        <v>44</v>
      </c>
      <c r="N13" s="256" t="s">
        <v>28</v>
      </c>
      <c r="O13" s="257">
        <f>L13/G15</f>
        <v>0.2982456140350877</v>
      </c>
      <c r="P13" s="255"/>
      <c r="Q13" s="75"/>
      <c r="R13">
        <v>7</v>
      </c>
      <c r="S13" s="254" t="s">
        <v>41</v>
      </c>
      <c r="T13" s="255" t="s">
        <v>33</v>
      </c>
      <c r="U13" s="256" t="s">
        <v>28</v>
      </c>
    </row>
    <row r="14" spans="1:21" ht="18.75" x14ac:dyDescent="0.3">
      <c r="A14" s="75"/>
      <c r="B14" s="446" t="s">
        <v>45</v>
      </c>
      <c r="C14" s="446"/>
      <c r="F14" s="58">
        <v>9</v>
      </c>
      <c r="G14" s="258">
        <v>294</v>
      </c>
      <c r="H14" s="259" t="s">
        <v>13</v>
      </c>
      <c r="I14" s="259" t="s">
        <v>14</v>
      </c>
      <c r="K14" s="58">
        <v>9</v>
      </c>
      <c r="L14" s="258">
        <v>84</v>
      </c>
      <c r="M14" s="259" t="s">
        <v>23</v>
      </c>
      <c r="N14" s="260" t="s">
        <v>24</v>
      </c>
      <c r="O14" s="261">
        <f>L14/G7</f>
        <v>0.20047732696897375</v>
      </c>
      <c r="P14" s="259"/>
      <c r="R14">
        <v>7</v>
      </c>
      <c r="S14" s="254" t="s">
        <v>41</v>
      </c>
      <c r="T14" s="255" t="s">
        <v>23</v>
      </c>
      <c r="U14" s="256" t="s">
        <v>24</v>
      </c>
    </row>
    <row r="15" spans="1:21" x14ac:dyDescent="0.25">
      <c r="A15" s="5">
        <v>1</v>
      </c>
      <c r="B15" s="269">
        <v>260</v>
      </c>
      <c r="C15" s="264" t="s">
        <v>13</v>
      </c>
      <c r="D15" s="264" t="s">
        <v>14</v>
      </c>
      <c r="F15" s="58">
        <v>10</v>
      </c>
      <c r="G15" s="254">
        <v>285</v>
      </c>
      <c r="H15" s="255" t="s">
        <v>44</v>
      </c>
      <c r="I15" s="256" t="s">
        <v>28</v>
      </c>
      <c r="K15" s="58">
        <v>10</v>
      </c>
      <c r="L15" s="254">
        <v>68</v>
      </c>
      <c r="M15" s="255" t="s">
        <v>46</v>
      </c>
      <c r="N15" s="256" t="s">
        <v>24</v>
      </c>
      <c r="O15" s="257">
        <f>L15/G16</f>
        <v>0.24548736462093862</v>
      </c>
      <c r="P15" s="255"/>
      <c r="R15">
        <v>10</v>
      </c>
      <c r="S15" s="258" t="s">
        <v>47</v>
      </c>
      <c r="T15" s="259" t="s">
        <v>29</v>
      </c>
      <c r="U15" s="260" t="s">
        <v>30</v>
      </c>
    </row>
    <row r="16" spans="1:21" x14ac:dyDescent="0.25">
      <c r="A16" s="5">
        <v>2</v>
      </c>
      <c r="B16" s="266">
        <v>88</v>
      </c>
      <c r="C16" s="267" t="s">
        <v>26</v>
      </c>
      <c r="D16" s="268" t="s">
        <v>14</v>
      </c>
      <c r="F16" s="58">
        <v>11</v>
      </c>
      <c r="G16" s="254">
        <v>277</v>
      </c>
      <c r="H16" s="255" t="s">
        <v>46</v>
      </c>
      <c r="I16" s="256" t="s">
        <v>24</v>
      </c>
      <c r="K16" s="58">
        <v>11</v>
      </c>
      <c r="L16" s="258">
        <v>63</v>
      </c>
      <c r="M16" s="259" t="s">
        <v>48</v>
      </c>
      <c r="N16" s="260" t="s">
        <v>18</v>
      </c>
      <c r="O16" s="261">
        <f>L16/G22</f>
        <v>0.44366197183098594</v>
      </c>
      <c r="P16" s="259"/>
      <c r="R16">
        <v>10</v>
      </c>
      <c r="S16" s="254" t="s">
        <v>47</v>
      </c>
      <c r="T16" s="255" t="s">
        <v>40</v>
      </c>
      <c r="U16" s="256" t="s">
        <v>30</v>
      </c>
    </row>
    <row r="17" spans="1:21" x14ac:dyDescent="0.25">
      <c r="A17" s="5">
        <v>3</v>
      </c>
      <c r="B17" s="266">
        <v>83</v>
      </c>
      <c r="C17" s="267" t="s">
        <v>23</v>
      </c>
      <c r="D17" s="268" t="s">
        <v>24</v>
      </c>
      <c r="F17" s="58">
        <v>12</v>
      </c>
      <c r="G17" s="254">
        <v>202</v>
      </c>
      <c r="H17" s="255" t="s">
        <v>36</v>
      </c>
      <c r="I17" s="256" t="s">
        <v>24</v>
      </c>
      <c r="K17" s="58">
        <v>12</v>
      </c>
      <c r="L17" s="254">
        <v>61</v>
      </c>
      <c r="M17" s="255" t="s">
        <v>43</v>
      </c>
      <c r="N17" s="255" t="s">
        <v>28</v>
      </c>
      <c r="O17" s="257">
        <f>L17/G13</f>
        <v>0.20401337792642141</v>
      </c>
      <c r="P17" s="255"/>
      <c r="R17">
        <v>12</v>
      </c>
      <c r="S17" s="254" t="s">
        <v>49</v>
      </c>
      <c r="T17" s="255" t="s">
        <v>44</v>
      </c>
      <c r="U17" s="256" t="s">
        <v>28</v>
      </c>
    </row>
    <row r="18" spans="1:21" x14ac:dyDescent="0.25">
      <c r="A18">
        <v>4</v>
      </c>
      <c r="B18" s="254">
        <v>21</v>
      </c>
      <c r="C18" s="255" t="s">
        <v>50</v>
      </c>
      <c r="D18" s="255" t="s">
        <v>30</v>
      </c>
      <c r="F18" s="58">
        <v>12</v>
      </c>
      <c r="G18" s="254">
        <v>202</v>
      </c>
      <c r="H18" s="255" t="s">
        <v>22</v>
      </c>
      <c r="I18" s="256" t="s">
        <v>14</v>
      </c>
      <c r="K18" s="58">
        <v>13</v>
      </c>
      <c r="L18" s="254">
        <v>53</v>
      </c>
      <c r="M18" s="255" t="s">
        <v>36</v>
      </c>
      <c r="N18" s="255" t="s">
        <v>37</v>
      </c>
      <c r="O18" s="257">
        <f>L18/G17</f>
        <v>0.26237623762376239</v>
      </c>
      <c r="P18" s="255"/>
      <c r="R18">
        <v>12</v>
      </c>
      <c r="S18" s="254" t="s">
        <v>49</v>
      </c>
      <c r="T18" s="255" t="s">
        <v>43</v>
      </c>
      <c r="U18" s="256" t="s">
        <v>28</v>
      </c>
    </row>
    <row r="19" spans="1:21" x14ac:dyDescent="0.25">
      <c r="A19">
        <v>5</v>
      </c>
      <c r="B19" s="258">
        <v>12</v>
      </c>
      <c r="C19" s="259" t="s">
        <v>51</v>
      </c>
      <c r="D19" s="259" t="s">
        <v>28</v>
      </c>
      <c r="F19" s="58">
        <v>14</v>
      </c>
      <c r="G19" s="254">
        <v>172</v>
      </c>
      <c r="H19" s="255" t="s">
        <v>42</v>
      </c>
      <c r="I19" s="255" t="s">
        <v>37</v>
      </c>
      <c r="K19" s="58">
        <v>14</v>
      </c>
      <c r="L19" s="254">
        <v>33</v>
      </c>
      <c r="M19" s="255" t="s">
        <v>42</v>
      </c>
      <c r="N19" s="255" t="s">
        <v>37</v>
      </c>
      <c r="O19" s="257">
        <f>L19/G21</f>
        <v>0.22602739726027396</v>
      </c>
      <c r="P19" s="255">
        <v>79</v>
      </c>
      <c r="R19">
        <v>12</v>
      </c>
      <c r="S19" s="254" t="s">
        <v>49</v>
      </c>
      <c r="T19" s="255" t="s">
        <v>32</v>
      </c>
      <c r="U19" s="256" t="s">
        <v>18</v>
      </c>
    </row>
    <row r="20" spans="1:21" x14ac:dyDescent="0.25">
      <c r="A20">
        <v>6</v>
      </c>
      <c r="B20" s="254">
        <v>10</v>
      </c>
      <c r="C20" s="255" t="s">
        <v>32</v>
      </c>
      <c r="D20" s="256" t="s">
        <v>18</v>
      </c>
      <c r="F20" s="58">
        <v>15</v>
      </c>
      <c r="G20" s="254">
        <v>146</v>
      </c>
      <c r="H20" s="255" t="s">
        <v>26</v>
      </c>
      <c r="I20" s="256" t="s">
        <v>14</v>
      </c>
      <c r="K20" s="58">
        <v>15</v>
      </c>
      <c r="L20" s="254">
        <v>32</v>
      </c>
      <c r="M20" s="255" t="s">
        <v>35</v>
      </c>
      <c r="N20" s="255" t="s">
        <v>21</v>
      </c>
      <c r="O20" s="257">
        <f>L20/G25</f>
        <v>0.33333333333333331</v>
      </c>
      <c r="P20" s="255">
        <v>89</v>
      </c>
      <c r="R20">
        <v>15</v>
      </c>
      <c r="S20" s="258" t="s">
        <v>52</v>
      </c>
      <c r="T20" s="259" t="s">
        <v>48</v>
      </c>
      <c r="U20" s="260" t="s">
        <v>18</v>
      </c>
    </row>
    <row r="21" spans="1:21" x14ac:dyDescent="0.25">
      <c r="A21">
        <v>7</v>
      </c>
      <c r="B21" s="254">
        <v>8</v>
      </c>
      <c r="C21" s="255" t="s">
        <v>33</v>
      </c>
      <c r="D21" s="256" t="s">
        <v>28</v>
      </c>
      <c r="F21" s="58">
        <v>15</v>
      </c>
      <c r="G21" s="254">
        <v>146</v>
      </c>
      <c r="H21" s="255" t="s">
        <v>20</v>
      </c>
      <c r="I21" s="255" t="s">
        <v>21</v>
      </c>
      <c r="K21" s="58">
        <v>16</v>
      </c>
      <c r="L21" s="254">
        <v>27</v>
      </c>
      <c r="M21" s="255" t="s">
        <v>53</v>
      </c>
      <c r="N21" s="255" t="s">
        <v>28</v>
      </c>
      <c r="O21" s="257">
        <f>L21/G24</f>
        <v>0.24324324324324326</v>
      </c>
      <c r="P21" s="255"/>
      <c r="R21">
        <v>16</v>
      </c>
      <c r="S21" s="254" t="s">
        <v>54</v>
      </c>
      <c r="T21" s="255" t="s">
        <v>46</v>
      </c>
      <c r="U21" s="256" t="s">
        <v>24</v>
      </c>
    </row>
    <row r="22" spans="1:21" x14ac:dyDescent="0.25">
      <c r="A22">
        <v>8</v>
      </c>
      <c r="B22" s="254">
        <v>6</v>
      </c>
      <c r="C22" s="255" t="s">
        <v>55</v>
      </c>
      <c r="D22" s="256" t="s">
        <v>28</v>
      </c>
      <c r="F22" s="58">
        <v>17</v>
      </c>
      <c r="G22" s="258">
        <v>142</v>
      </c>
      <c r="H22" s="259" t="s">
        <v>56</v>
      </c>
      <c r="I22" s="260" t="s">
        <v>18</v>
      </c>
      <c r="K22" s="58">
        <v>17</v>
      </c>
      <c r="L22" s="258">
        <v>24</v>
      </c>
      <c r="M22" s="259" t="s">
        <v>57</v>
      </c>
      <c r="N22" s="259" t="s">
        <v>37</v>
      </c>
      <c r="O22" s="261">
        <f>L22/G23</f>
        <v>0.21052631578947367</v>
      </c>
      <c r="P22" s="259"/>
      <c r="R22">
        <v>16</v>
      </c>
      <c r="S22" s="258" t="s">
        <v>54</v>
      </c>
      <c r="T22" s="259" t="s">
        <v>31</v>
      </c>
      <c r="U22" s="260" t="s">
        <v>14</v>
      </c>
    </row>
    <row r="23" spans="1:21" x14ac:dyDescent="0.25">
      <c r="A23">
        <v>9</v>
      </c>
      <c r="B23" s="258">
        <v>5</v>
      </c>
      <c r="C23" s="259" t="s">
        <v>27</v>
      </c>
      <c r="D23" s="260" t="s">
        <v>28</v>
      </c>
      <c r="F23" s="58">
        <v>18</v>
      </c>
      <c r="G23" s="258">
        <v>114</v>
      </c>
      <c r="H23" s="259" t="s">
        <v>57</v>
      </c>
      <c r="I23" s="259" t="s">
        <v>24</v>
      </c>
      <c r="K23" s="58">
        <v>18</v>
      </c>
      <c r="L23" s="258">
        <v>21</v>
      </c>
      <c r="M23" s="259" t="s">
        <v>58</v>
      </c>
      <c r="N23" s="259" t="s">
        <v>28</v>
      </c>
      <c r="O23" s="261"/>
      <c r="P23" s="259"/>
      <c r="R23">
        <v>18</v>
      </c>
      <c r="S23" s="258" t="s">
        <v>59</v>
      </c>
      <c r="T23" s="259" t="s">
        <v>22</v>
      </c>
      <c r="U23" s="260" t="s">
        <v>14</v>
      </c>
    </row>
    <row r="24" spans="1:21" x14ac:dyDescent="0.25">
      <c r="A24">
        <v>9</v>
      </c>
      <c r="B24" s="254">
        <v>5</v>
      </c>
      <c r="C24" s="255" t="s">
        <v>60</v>
      </c>
      <c r="D24" s="256" t="s">
        <v>28</v>
      </c>
      <c r="F24" s="58">
        <v>19</v>
      </c>
      <c r="G24" s="254">
        <v>111</v>
      </c>
      <c r="H24" s="255" t="s">
        <v>53</v>
      </c>
      <c r="I24" s="255" t="s">
        <v>28</v>
      </c>
      <c r="K24" s="58">
        <v>19</v>
      </c>
      <c r="L24" s="254">
        <v>19</v>
      </c>
      <c r="M24" s="255" t="s">
        <v>61</v>
      </c>
      <c r="N24" s="256" t="s">
        <v>62</v>
      </c>
      <c r="O24" s="257"/>
      <c r="P24" s="255"/>
      <c r="R24">
        <v>18</v>
      </c>
      <c r="S24" s="254" t="s">
        <v>59</v>
      </c>
      <c r="T24" s="255" t="s">
        <v>26</v>
      </c>
      <c r="U24" s="256" t="s">
        <v>14</v>
      </c>
    </row>
    <row r="25" spans="1:21" x14ac:dyDescent="0.25">
      <c r="A25">
        <v>11</v>
      </c>
      <c r="B25" s="254">
        <v>4</v>
      </c>
      <c r="C25" s="255" t="s">
        <v>63</v>
      </c>
      <c r="D25" s="256" t="s">
        <v>18</v>
      </c>
      <c r="F25" s="58">
        <v>20</v>
      </c>
      <c r="G25" s="254">
        <v>96</v>
      </c>
      <c r="H25" s="255" t="s">
        <v>35</v>
      </c>
      <c r="I25" s="255" t="s">
        <v>21</v>
      </c>
      <c r="K25" s="58">
        <v>20</v>
      </c>
      <c r="L25" s="258">
        <v>17</v>
      </c>
      <c r="M25" s="259" t="s">
        <v>64</v>
      </c>
      <c r="N25" s="259" t="s">
        <v>28</v>
      </c>
      <c r="O25" s="261"/>
      <c r="P25" s="259"/>
      <c r="R25">
        <v>18</v>
      </c>
      <c r="S25" s="254" t="s">
        <v>59</v>
      </c>
      <c r="T25" s="255" t="s">
        <v>53</v>
      </c>
      <c r="U25" s="255" t="s">
        <v>28</v>
      </c>
    </row>
    <row r="26" spans="1:21" x14ac:dyDescent="0.25">
      <c r="A26">
        <v>12</v>
      </c>
      <c r="B26" s="258">
        <v>3</v>
      </c>
      <c r="C26" s="259" t="s">
        <v>56</v>
      </c>
      <c r="D26" s="260" t="s">
        <v>18</v>
      </c>
      <c r="F26" s="58">
        <v>21</v>
      </c>
      <c r="G26" s="254">
        <v>89</v>
      </c>
      <c r="H26" s="255" t="s">
        <v>39</v>
      </c>
      <c r="I26" s="256" t="s">
        <v>24</v>
      </c>
      <c r="K26" s="58">
        <v>21</v>
      </c>
      <c r="L26" s="254">
        <v>15</v>
      </c>
      <c r="M26" s="255" t="s">
        <v>60</v>
      </c>
      <c r="N26" s="256" t="s">
        <v>28</v>
      </c>
      <c r="O26" s="257"/>
      <c r="P26" s="255"/>
      <c r="R26">
        <v>18</v>
      </c>
      <c r="S26" s="254" t="s">
        <v>59</v>
      </c>
      <c r="T26" s="255" t="s">
        <v>63</v>
      </c>
      <c r="U26" s="256" t="s">
        <v>18</v>
      </c>
    </row>
    <row r="27" spans="1:21" x14ac:dyDescent="0.25">
      <c r="A27">
        <v>13</v>
      </c>
      <c r="B27" s="254">
        <v>2</v>
      </c>
      <c r="C27" s="255" t="s">
        <v>22</v>
      </c>
      <c r="D27" s="256" t="s">
        <v>14</v>
      </c>
      <c r="F27" s="58">
        <v>22</v>
      </c>
      <c r="G27" s="258">
        <v>65</v>
      </c>
      <c r="H27" s="259" t="s">
        <v>58</v>
      </c>
      <c r="I27" s="259" t="s">
        <v>28</v>
      </c>
      <c r="K27" s="58">
        <v>22</v>
      </c>
      <c r="L27" s="254">
        <v>12</v>
      </c>
      <c r="M27" s="255" t="s">
        <v>65</v>
      </c>
      <c r="N27" s="256" t="s">
        <v>18</v>
      </c>
      <c r="O27" s="257"/>
      <c r="P27" s="255"/>
      <c r="R27">
        <v>18</v>
      </c>
      <c r="S27" s="258" t="s">
        <v>59</v>
      </c>
      <c r="T27" s="259" t="s">
        <v>66</v>
      </c>
      <c r="U27" s="259" t="s">
        <v>28</v>
      </c>
    </row>
    <row r="28" spans="1:21" x14ac:dyDescent="0.25">
      <c r="A28">
        <v>13</v>
      </c>
      <c r="B28" s="258">
        <v>2</v>
      </c>
      <c r="C28" s="259" t="s">
        <v>58</v>
      </c>
      <c r="D28" s="259" t="s">
        <v>28</v>
      </c>
      <c r="F28" s="58">
        <v>23</v>
      </c>
      <c r="G28" s="258">
        <v>61</v>
      </c>
      <c r="H28" s="259" t="s">
        <v>67</v>
      </c>
      <c r="I28" s="259" t="s">
        <v>28</v>
      </c>
      <c r="K28" s="58">
        <v>23</v>
      </c>
      <c r="L28" s="254">
        <v>11</v>
      </c>
      <c r="M28" s="255" t="s">
        <v>22</v>
      </c>
      <c r="N28" s="256" t="s">
        <v>14</v>
      </c>
      <c r="O28" s="257">
        <f>L28/G18</f>
        <v>5.4455445544554455E-2</v>
      </c>
      <c r="P28" s="255"/>
      <c r="R28">
        <v>18</v>
      </c>
      <c r="S28" s="258" t="s">
        <v>59</v>
      </c>
      <c r="T28" s="259" t="s">
        <v>51</v>
      </c>
      <c r="U28" s="259" t="s">
        <v>28</v>
      </c>
    </row>
    <row r="29" spans="1:21" x14ac:dyDescent="0.25">
      <c r="A29">
        <v>15</v>
      </c>
      <c r="B29" s="254">
        <v>1</v>
      </c>
      <c r="C29" s="255" t="s">
        <v>61</v>
      </c>
      <c r="D29" s="256" t="s">
        <v>18</v>
      </c>
      <c r="F29" s="58">
        <v>24</v>
      </c>
      <c r="G29" s="254">
        <v>55</v>
      </c>
      <c r="H29" s="255" t="s">
        <v>61</v>
      </c>
      <c r="I29" s="256" t="s">
        <v>18</v>
      </c>
      <c r="K29" s="58">
        <v>23</v>
      </c>
      <c r="L29" s="258">
        <v>11</v>
      </c>
      <c r="M29" s="259" t="s">
        <v>68</v>
      </c>
      <c r="N29" s="259" t="s">
        <v>28</v>
      </c>
      <c r="O29" s="261"/>
      <c r="P29" s="259"/>
      <c r="S29" s="58"/>
      <c r="U29" s="74"/>
    </row>
    <row r="30" spans="1:21" x14ac:dyDescent="0.25">
      <c r="A30">
        <v>15</v>
      </c>
      <c r="B30" s="254">
        <v>1</v>
      </c>
      <c r="C30" s="255" t="s">
        <v>36</v>
      </c>
      <c r="D30" s="255" t="s">
        <v>37</v>
      </c>
      <c r="F30" s="58">
        <v>25</v>
      </c>
      <c r="G30" s="258">
        <v>53</v>
      </c>
      <c r="H30" s="259" t="s">
        <v>66</v>
      </c>
      <c r="I30" s="259" t="s">
        <v>28</v>
      </c>
      <c r="K30" s="58">
        <v>25</v>
      </c>
      <c r="L30" s="254">
        <v>10</v>
      </c>
      <c r="M30" s="255" t="s">
        <v>39</v>
      </c>
      <c r="N30" s="256" t="s">
        <v>24</v>
      </c>
      <c r="O30" s="257"/>
      <c r="P30" s="255"/>
      <c r="S30" s="58"/>
    </row>
    <row r="31" spans="1:21" x14ac:dyDescent="0.25">
      <c r="A31">
        <v>15</v>
      </c>
      <c r="B31" s="254">
        <v>1</v>
      </c>
      <c r="C31" s="255" t="s">
        <v>40</v>
      </c>
      <c r="D31" s="256" t="s">
        <v>30</v>
      </c>
      <c r="F31" s="58">
        <v>26</v>
      </c>
      <c r="G31" s="258">
        <v>51</v>
      </c>
      <c r="H31" s="259" t="s">
        <v>68</v>
      </c>
      <c r="I31" s="259" t="s">
        <v>28</v>
      </c>
      <c r="K31" s="58">
        <v>25</v>
      </c>
      <c r="L31" s="254">
        <v>10</v>
      </c>
      <c r="M31" s="255" t="s">
        <v>69</v>
      </c>
      <c r="N31" s="256" t="s">
        <v>18</v>
      </c>
      <c r="O31" s="257"/>
      <c r="P31" s="255"/>
      <c r="S31" s="58"/>
    </row>
    <row r="32" spans="1:21" x14ac:dyDescent="0.25">
      <c r="A32">
        <v>15</v>
      </c>
      <c r="B32" s="254">
        <v>1</v>
      </c>
      <c r="C32" s="255" t="s">
        <v>38</v>
      </c>
      <c r="D32" s="256" t="s">
        <v>37</v>
      </c>
      <c r="F32" s="58">
        <v>27</v>
      </c>
      <c r="G32" s="258">
        <v>50</v>
      </c>
      <c r="H32" s="259" t="s">
        <v>70</v>
      </c>
      <c r="I32" s="259" t="s">
        <v>28</v>
      </c>
      <c r="K32" s="58">
        <v>27</v>
      </c>
      <c r="L32" s="254">
        <v>9</v>
      </c>
      <c r="M32" s="255" t="s">
        <v>71</v>
      </c>
      <c r="N32" s="255" t="s">
        <v>18</v>
      </c>
      <c r="O32" s="257"/>
      <c r="P32" s="255"/>
      <c r="S32" s="58"/>
    </row>
    <row r="33" spans="2:21" x14ac:dyDescent="0.25">
      <c r="B33" s="231">
        <f>SUM(B15:B32)</f>
        <v>513</v>
      </c>
      <c r="G33"/>
      <c r="K33" s="58">
        <v>27</v>
      </c>
      <c r="L33" s="254">
        <v>9</v>
      </c>
      <c r="M33" s="255" t="s">
        <v>72</v>
      </c>
      <c r="N33" s="255" t="s">
        <v>18</v>
      </c>
      <c r="O33" s="257"/>
      <c r="P33" s="255"/>
      <c r="S33" s="58"/>
      <c r="U33" s="74"/>
    </row>
    <row r="34" spans="2:21" x14ac:dyDescent="0.25">
      <c r="B34" s="58"/>
      <c r="G34"/>
      <c r="K34" s="58">
        <v>27</v>
      </c>
      <c r="L34" s="258">
        <v>9</v>
      </c>
      <c r="M34" s="259" t="s">
        <v>70</v>
      </c>
      <c r="N34" s="259" t="s">
        <v>28</v>
      </c>
      <c r="O34" s="261"/>
      <c r="P34" s="259"/>
      <c r="S34" s="58"/>
    </row>
    <row r="35" spans="2:21" x14ac:dyDescent="0.25">
      <c r="B35" s="58"/>
      <c r="G35"/>
      <c r="K35" s="58">
        <v>30</v>
      </c>
      <c r="L35" s="254">
        <v>8</v>
      </c>
      <c r="M35" s="255" t="s">
        <v>73</v>
      </c>
      <c r="N35" s="255" t="s">
        <v>24</v>
      </c>
      <c r="O35" s="257"/>
      <c r="P35" s="255"/>
    </row>
    <row r="36" spans="2:21" x14ac:dyDescent="0.25">
      <c r="B36" s="58"/>
      <c r="G36"/>
      <c r="K36" s="58">
        <v>31</v>
      </c>
      <c r="L36" s="258">
        <v>7</v>
      </c>
      <c r="M36" s="259" t="s">
        <v>74</v>
      </c>
      <c r="N36" s="259" t="s">
        <v>28</v>
      </c>
      <c r="O36" s="261"/>
      <c r="P36" s="259"/>
    </row>
    <row r="37" spans="2:21" x14ac:dyDescent="0.25">
      <c r="B37" s="58"/>
      <c r="G37"/>
      <c r="K37" s="58">
        <v>32</v>
      </c>
      <c r="L37" s="254">
        <v>6</v>
      </c>
      <c r="M37" s="255" t="s">
        <v>26</v>
      </c>
      <c r="N37" s="256" t="s">
        <v>14</v>
      </c>
      <c r="O37" s="257"/>
      <c r="P37" s="255"/>
    </row>
    <row r="38" spans="2:21" x14ac:dyDescent="0.25">
      <c r="B38" s="58"/>
      <c r="G38"/>
      <c r="K38" s="58">
        <v>32</v>
      </c>
      <c r="L38" s="258">
        <v>6</v>
      </c>
      <c r="M38" s="259" t="s">
        <v>66</v>
      </c>
      <c r="N38" s="259" t="s">
        <v>28</v>
      </c>
      <c r="O38" s="261"/>
      <c r="P38" s="259"/>
    </row>
    <row r="39" spans="2:21" x14ac:dyDescent="0.25">
      <c r="B39" s="58"/>
      <c r="G39"/>
      <c r="K39" s="58">
        <v>34</v>
      </c>
      <c r="L39" s="254">
        <v>5</v>
      </c>
      <c r="M39" s="255" t="s">
        <v>75</v>
      </c>
      <c r="N39" s="255" t="s">
        <v>30</v>
      </c>
      <c r="O39" s="257"/>
      <c r="P39" s="255"/>
    </row>
    <row r="40" spans="2:21" x14ac:dyDescent="0.25">
      <c r="B40" s="58"/>
      <c r="G40"/>
      <c r="K40" s="58">
        <v>34</v>
      </c>
      <c r="L40" s="258">
        <v>5</v>
      </c>
      <c r="M40" s="259" t="s">
        <v>76</v>
      </c>
      <c r="N40" s="259" t="s">
        <v>37</v>
      </c>
      <c r="O40" s="261"/>
      <c r="P40" s="259"/>
    </row>
    <row r="41" spans="2:21" x14ac:dyDescent="0.25">
      <c r="B41" s="58"/>
      <c r="G41"/>
      <c r="K41" s="58">
        <v>36</v>
      </c>
      <c r="L41" s="254">
        <v>3</v>
      </c>
      <c r="M41" s="255" t="s">
        <v>77</v>
      </c>
      <c r="N41" s="255" t="s">
        <v>21</v>
      </c>
      <c r="O41" s="257"/>
      <c r="P41" s="255"/>
    </row>
    <row r="42" spans="2:21" x14ac:dyDescent="0.25">
      <c r="B42" s="58"/>
      <c r="G42"/>
      <c r="K42" s="58">
        <v>36</v>
      </c>
      <c r="L42" s="254">
        <v>3</v>
      </c>
      <c r="M42" s="255" t="s">
        <v>78</v>
      </c>
      <c r="N42" s="255" t="s">
        <v>28</v>
      </c>
      <c r="O42" s="257"/>
      <c r="P42" s="255"/>
    </row>
    <row r="43" spans="2:21" x14ac:dyDescent="0.25">
      <c r="B43" s="58"/>
      <c r="G43"/>
      <c r="K43" s="58">
        <v>36</v>
      </c>
      <c r="L43" s="254">
        <v>3</v>
      </c>
      <c r="M43" s="255" t="s">
        <v>38</v>
      </c>
      <c r="N43" s="255" t="s">
        <v>24</v>
      </c>
      <c r="O43" s="257"/>
      <c r="P43" s="255">
        <v>49</v>
      </c>
    </row>
    <row r="44" spans="2:21" x14ac:dyDescent="0.25">
      <c r="B44" s="58"/>
      <c r="G44"/>
      <c r="K44" s="58">
        <v>36</v>
      </c>
      <c r="L44" s="258">
        <v>3</v>
      </c>
      <c r="M44" s="259" t="s">
        <v>51</v>
      </c>
      <c r="N44" s="259" t="s">
        <v>28</v>
      </c>
      <c r="O44" s="261"/>
      <c r="P44" s="259"/>
    </row>
    <row r="45" spans="2:21" x14ac:dyDescent="0.25">
      <c r="B45" s="58"/>
      <c r="G45"/>
      <c r="K45" s="58">
        <v>36</v>
      </c>
      <c r="L45" s="258">
        <v>3</v>
      </c>
      <c r="M45" s="259" t="s">
        <v>79</v>
      </c>
      <c r="N45" s="259" t="s">
        <v>37</v>
      </c>
      <c r="O45" s="261"/>
      <c r="P45" s="259"/>
    </row>
    <row r="46" spans="2:21" x14ac:dyDescent="0.25">
      <c r="B46" s="58"/>
      <c r="K46" s="58">
        <v>36</v>
      </c>
      <c r="L46" s="258">
        <v>3</v>
      </c>
      <c r="M46" s="259" t="s">
        <v>80</v>
      </c>
      <c r="N46" s="259" t="s">
        <v>37</v>
      </c>
      <c r="O46" s="261"/>
      <c r="P46" s="259"/>
    </row>
    <row r="47" spans="2:21" x14ac:dyDescent="0.25">
      <c r="B47" s="58"/>
      <c r="K47" s="58">
        <v>42</v>
      </c>
      <c r="L47" s="258">
        <v>2</v>
      </c>
      <c r="M47" s="259" t="s">
        <v>81</v>
      </c>
      <c r="N47" s="259" t="s">
        <v>37</v>
      </c>
      <c r="O47" s="261"/>
      <c r="P47" s="259"/>
    </row>
    <row r="48" spans="2:21" x14ac:dyDescent="0.25">
      <c r="B48" s="58"/>
      <c r="K48" s="58">
        <v>42</v>
      </c>
      <c r="L48" s="258">
        <v>2</v>
      </c>
      <c r="M48" s="259" t="s">
        <v>13</v>
      </c>
      <c r="N48" s="259" t="s">
        <v>14</v>
      </c>
      <c r="O48" s="261">
        <f>L48/G14</f>
        <v>6.8027210884353739E-3</v>
      </c>
      <c r="P48" s="259">
        <v>3</v>
      </c>
    </row>
    <row r="49" spans="2:16" x14ac:dyDescent="0.25">
      <c r="B49" s="58"/>
      <c r="K49" s="58">
        <v>44</v>
      </c>
      <c r="L49" s="258">
        <v>1</v>
      </c>
      <c r="M49" s="259" t="s">
        <v>82</v>
      </c>
      <c r="N49" s="259" t="s">
        <v>30</v>
      </c>
      <c r="O49" s="261"/>
      <c r="P49" s="259"/>
    </row>
    <row r="50" spans="2:16" x14ac:dyDescent="0.25">
      <c r="B50" s="58"/>
      <c r="K50" s="58">
        <v>44</v>
      </c>
      <c r="L50" s="258">
        <v>1</v>
      </c>
      <c r="M50" s="259" t="s">
        <v>83</v>
      </c>
      <c r="N50" s="259" t="s">
        <v>30</v>
      </c>
      <c r="O50" s="261"/>
      <c r="P50" s="259"/>
    </row>
    <row r="51" spans="2:16" x14ac:dyDescent="0.25">
      <c r="B51" s="58"/>
      <c r="L51" s="232">
        <f>SUM(L6:L50)</f>
        <v>1661</v>
      </c>
    </row>
    <row r="52" spans="2:16" x14ac:dyDescent="0.25">
      <c r="B52" s="58"/>
    </row>
  </sheetData>
  <mergeCells count="7">
    <mergeCell ref="L5:M5"/>
    <mergeCell ref="S5:T5"/>
    <mergeCell ref="A1:C1"/>
    <mergeCell ref="E1:H1"/>
    <mergeCell ref="A2:C2"/>
    <mergeCell ref="B5:C5"/>
    <mergeCell ref="G5:I5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4DFEC"/>
  </sheetPr>
  <dimension ref="A1:Z27"/>
  <sheetViews>
    <sheetView workbookViewId="0">
      <selection activeCell="A5" sqref="A5"/>
    </sheetView>
  </sheetViews>
  <sheetFormatPr baseColWidth="10" defaultColWidth="11.42578125" defaultRowHeight="15" x14ac:dyDescent="0.25"/>
  <cols>
    <col min="1" max="1" width="24" customWidth="1"/>
    <col min="2" max="8" width="6.5703125" customWidth="1"/>
    <col min="9" max="10" width="7.7109375" customWidth="1"/>
    <col min="12" max="12" width="32.7109375" customWidth="1"/>
    <col min="14" max="14" width="7.7109375" customWidth="1"/>
    <col min="15" max="15" width="23.28515625" customWidth="1"/>
    <col min="16" max="17" width="6.5703125" customWidth="1"/>
    <col min="18" max="18" width="7.42578125" customWidth="1"/>
    <col min="19" max="19" width="4.5703125" customWidth="1"/>
    <col min="21" max="21" width="7.7109375" customWidth="1"/>
    <col min="22" max="22" width="21.7109375" style="53" customWidth="1"/>
    <col min="23" max="24" width="5.5703125" customWidth="1"/>
    <col min="25" max="26" width="4.5703125" customWidth="1"/>
  </cols>
  <sheetData>
    <row r="1" spans="1:26" x14ac:dyDescent="0.25">
      <c r="A1" s="74">
        <v>41900</v>
      </c>
      <c r="E1" s="102" t="s">
        <v>497</v>
      </c>
      <c r="F1" s="103" t="s">
        <v>498</v>
      </c>
      <c r="G1" s="9"/>
      <c r="H1" s="9"/>
      <c r="I1" s="104" t="s">
        <v>497</v>
      </c>
      <c r="J1" s="105" t="s">
        <v>498</v>
      </c>
      <c r="P1" s="102" t="s">
        <v>497</v>
      </c>
      <c r="Q1" s="103" t="s">
        <v>498</v>
      </c>
      <c r="R1" s="102"/>
      <c r="S1" s="103"/>
      <c r="W1" s="102" t="s">
        <v>497</v>
      </c>
      <c r="X1" s="103" t="s">
        <v>498</v>
      </c>
      <c r="Y1" s="102"/>
      <c r="Z1" s="103"/>
    </row>
    <row r="2" spans="1:26" x14ac:dyDescent="0.25">
      <c r="A2" s="101" t="s">
        <v>87</v>
      </c>
      <c r="B2" s="101" t="s">
        <v>502</v>
      </c>
      <c r="C2" s="101" t="s">
        <v>503</v>
      </c>
      <c r="D2" s="101" t="s">
        <v>110</v>
      </c>
      <c r="E2" s="102" t="s">
        <v>92</v>
      </c>
      <c r="F2" s="103" t="s">
        <v>92</v>
      </c>
      <c r="G2" s="9" t="s">
        <v>91</v>
      </c>
      <c r="H2" s="9" t="s">
        <v>91</v>
      </c>
      <c r="I2" s="104" t="s">
        <v>270</v>
      </c>
      <c r="J2" s="105" t="s">
        <v>270</v>
      </c>
      <c r="P2" s="102" t="s">
        <v>92</v>
      </c>
      <c r="Q2" s="103" t="s">
        <v>92</v>
      </c>
      <c r="R2" s="102" t="s">
        <v>91</v>
      </c>
      <c r="S2" s="103" t="s">
        <v>91</v>
      </c>
      <c r="W2" s="102" t="s">
        <v>92</v>
      </c>
      <c r="X2" s="103" t="s">
        <v>92</v>
      </c>
      <c r="Y2" s="102" t="s">
        <v>91</v>
      </c>
      <c r="Z2" s="103" t="s">
        <v>91</v>
      </c>
    </row>
    <row r="3" spans="1:26" x14ac:dyDescent="0.25">
      <c r="A3" s="4" t="str">
        <f>Plantilla!D4</f>
        <v>D. Gehmacher</v>
      </c>
      <c r="B3">
        <f>Plantilla!E4</f>
        <v>38</v>
      </c>
      <c r="C3">
        <f>Plantilla!H4</f>
        <v>6</v>
      </c>
      <c r="D3" s="72">
        <f>Plantilla!I4</f>
        <v>25.5</v>
      </c>
      <c r="E3" s="106">
        <f t="shared" ref="E3:E26" si="0">D3</f>
        <v>25.5</v>
      </c>
      <c r="F3" s="106">
        <f t="shared" ref="F3:F26" si="1">E3+0.1</f>
        <v>25.6</v>
      </c>
      <c r="G3" s="106">
        <f t="shared" ref="G3:G26" si="2">C3</f>
        <v>6</v>
      </c>
      <c r="H3" s="106">
        <f t="shared" ref="H3:H26" si="3">G3+0.99</f>
        <v>6.99</v>
      </c>
      <c r="I3" s="110">
        <f t="shared" ref="I3:I26" si="4">G3*G3*E3</f>
        <v>918</v>
      </c>
      <c r="J3" s="110">
        <f t="shared" ref="J3:J26" si="5">H3*H3*F3</f>
        <v>1250.8185600000002</v>
      </c>
      <c r="K3" s="107"/>
      <c r="N3" s="4" t="s">
        <v>270</v>
      </c>
      <c r="O3" t="str">
        <f>A3</f>
        <v>D. Gehmacher</v>
      </c>
      <c r="P3" s="108">
        <f>E3</f>
        <v>25.5</v>
      </c>
      <c r="Q3" s="108">
        <f>F3</f>
        <v>25.6</v>
      </c>
      <c r="R3" s="108">
        <f>G3</f>
        <v>6</v>
      </c>
      <c r="S3" s="108">
        <f>H3</f>
        <v>6.99</v>
      </c>
      <c r="U3" s="4" t="s">
        <v>270</v>
      </c>
      <c r="V3" s="53" t="str">
        <f t="shared" ref="V3:V13" si="6">O3</f>
        <v>D. Gehmacher</v>
      </c>
      <c r="W3" s="108">
        <f t="shared" ref="W3:W13" si="7">P3</f>
        <v>25.5</v>
      </c>
      <c r="X3" s="108">
        <f t="shared" ref="X3:X13" si="8">Q3</f>
        <v>25.6</v>
      </c>
      <c r="Y3" s="108">
        <f t="shared" ref="Y3:Y13" si="9">R3</f>
        <v>6</v>
      </c>
      <c r="Z3" s="108">
        <f t="shared" ref="Z3:Z13" si="10">S3</f>
        <v>6.99</v>
      </c>
    </row>
    <row r="4" spans="1:26" x14ac:dyDescent="0.25">
      <c r="A4" s="4" t="str">
        <f>Plantilla!D5</f>
        <v>林 (Lin) 光维 (Guangwei)</v>
      </c>
      <c r="B4">
        <f>Plantilla!E5</f>
        <v>22</v>
      </c>
      <c r="C4">
        <f>Plantilla!H5</f>
        <v>0</v>
      </c>
      <c r="D4" s="72">
        <f>Plantilla!I5</f>
        <v>3.5</v>
      </c>
      <c r="E4" s="106">
        <f t="shared" si="0"/>
        <v>3.5</v>
      </c>
      <c r="F4" s="106">
        <f t="shared" si="1"/>
        <v>3.6</v>
      </c>
      <c r="G4" s="106">
        <f t="shared" si="2"/>
        <v>0</v>
      </c>
      <c r="H4" s="106">
        <f t="shared" si="3"/>
        <v>0.99</v>
      </c>
      <c r="I4" s="110">
        <f t="shared" si="4"/>
        <v>0</v>
      </c>
      <c r="J4" s="110">
        <f t="shared" si="5"/>
        <v>3.5283600000000002</v>
      </c>
      <c r="K4" s="107"/>
      <c r="O4" t="str">
        <f>A7</f>
        <v>E. Romweber</v>
      </c>
      <c r="P4" s="108">
        <f>E7</f>
        <v>19.100000000000001</v>
      </c>
      <c r="Q4" s="108">
        <f>F7</f>
        <v>19.200000000000003</v>
      </c>
      <c r="R4" s="108">
        <f>G7</f>
        <v>0</v>
      </c>
      <c r="S4" s="108">
        <f>H7</f>
        <v>0.99</v>
      </c>
      <c r="V4" s="53" t="str">
        <f t="shared" si="6"/>
        <v>E. Romweber</v>
      </c>
      <c r="W4" s="108">
        <f t="shared" si="7"/>
        <v>19.100000000000001</v>
      </c>
      <c r="X4" s="108">
        <f t="shared" si="8"/>
        <v>19.200000000000003</v>
      </c>
      <c r="Y4" s="108">
        <f t="shared" si="9"/>
        <v>0</v>
      </c>
      <c r="Z4" s="108">
        <f t="shared" si="10"/>
        <v>0.99</v>
      </c>
    </row>
    <row r="5" spans="1:26" x14ac:dyDescent="0.25">
      <c r="A5" s="4" t="str">
        <f>Plantilla!D6</f>
        <v>E. Toney</v>
      </c>
      <c r="B5">
        <f>Plantilla!E6</f>
        <v>39</v>
      </c>
      <c r="C5">
        <f>Plantilla!H6</f>
        <v>4</v>
      </c>
      <c r="D5" s="72">
        <f>Plantilla!I6</f>
        <v>19.100000000000001</v>
      </c>
      <c r="E5" s="106">
        <f t="shared" si="0"/>
        <v>19.100000000000001</v>
      </c>
      <c r="F5" s="106">
        <f t="shared" si="1"/>
        <v>19.200000000000003</v>
      </c>
      <c r="G5" s="106">
        <f t="shared" si="2"/>
        <v>4</v>
      </c>
      <c r="H5" s="106">
        <f t="shared" si="3"/>
        <v>4.99</v>
      </c>
      <c r="I5" s="110">
        <f t="shared" si="4"/>
        <v>305.60000000000002</v>
      </c>
      <c r="J5" s="110">
        <f t="shared" si="5"/>
        <v>478.08192000000008</v>
      </c>
      <c r="K5" s="107"/>
      <c r="O5" t="str">
        <f>A14</f>
        <v>E. Deus</v>
      </c>
      <c r="P5" s="108">
        <f>E14</f>
        <v>3.9</v>
      </c>
      <c r="Q5" s="108">
        <f>F14</f>
        <v>4</v>
      </c>
      <c r="R5" s="108">
        <f>G14</f>
        <v>3</v>
      </c>
      <c r="S5" s="108">
        <f>H14</f>
        <v>3.99</v>
      </c>
      <c r="V5" s="53" t="str">
        <f t="shared" si="6"/>
        <v>E. Deus</v>
      </c>
      <c r="W5" s="108">
        <f t="shared" si="7"/>
        <v>3.9</v>
      </c>
      <c r="X5" s="108">
        <f t="shared" si="8"/>
        <v>4</v>
      </c>
      <c r="Y5" s="108">
        <f t="shared" si="9"/>
        <v>3</v>
      </c>
      <c r="Z5" s="108">
        <f t="shared" si="10"/>
        <v>3.99</v>
      </c>
    </row>
    <row r="6" spans="1:26" x14ac:dyDescent="0.25">
      <c r="A6" s="4" t="str">
        <f>Plantilla!D7</f>
        <v>F. Lasprilla</v>
      </c>
      <c r="B6">
        <f>Plantilla!E7</f>
        <v>35</v>
      </c>
      <c r="C6">
        <f>Plantilla!H7</f>
        <v>4</v>
      </c>
      <c r="D6" s="72">
        <f>Plantilla!I7</f>
        <v>7.1</v>
      </c>
      <c r="E6" s="106">
        <f t="shared" si="0"/>
        <v>7.1</v>
      </c>
      <c r="F6" s="106">
        <f t="shared" si="1"/>
        <v>7.1999999999999993</v>
      </c>
      <c r="G6" s="106">
        <f t="shared" si="2"/>
        <v>4</v>
      </c>
      <c r="H6" s="106">
        <f t="shared" si="3"/>
        <v>4.99</v>
      </c>
      <c r="I6" s="110">
        <f t="shared" si="4"/>
        <v>113.6</v>
      </c>
      <c r="J6" s="110">
        <f t="shared" si="5"/>
        <v>179.28072</v>
      </c>
      <c r="K6" s="107"/>
      <c r="O6" t="str">
        <f>A5</f>
        <v>E. Toney</v>
      </c>
      <c r="P6" s="108">
        <f t="shared" ref="P6:S7" si="11">E5</f>
        <v>19.100000000000001</v>
      </c>
      <c r="Q6" s="108">
        <f t="shared" si="11"/>
        <v>19.200000000000003</v>
      </c>
      <c r="R6" s="108">
        <f t="shared" si="11"/>
        <v>4</v>
      </c>
      <c r="S6" s="108">
        <f t="shared" si="11"/>
        <v>4.99</v>
      </c>
      <c r="V6" s="53" t="str">
        <f t="shared" si="6"/>
        <v>E. Toney</v>
      </c>
      <c r="W6" s="108">
        <f t="shared" si="7"/>
        <v>19.100000000000001</v>
      </c>
      <c r="X6" s="108">
        <f t="shared" si="8"/>
        <v>19.200000000000003</v>
      </c>
      <c r="Y6" s="108">
        <f t="shared" si="9"/>
        <v>4</v>
      </c>
      <c r="Z6" s="108">
        <f t="shared" si="10"/>
        <v>4.99</v>
      </c>
    </row>
    <row r="7" spans="1:26" x14ac:dyDescent="0.25">
      <c r="A7" s="4" t="str">
        <f>Plantilla!D8</f>
        <v>E. Romweber</v>
      </c>
      <c r="B7">
        <f>Plantilla!E8</f>
        <v>39</v>
      </c>
      <c r="C7">
        <f>Plantilla!H8</f>
        <v>0</v>
      </c>
      <c r="D7" s="72">
        <f>Plantilla!I8</f>
        <v>19.100000000000001</v>
      </c>
      <c r="E7" s="106">
        <f t="shared" si="0"/>
        <v>19.100000000000001</v>
      </c>
      <c r="F7" s="106">
        <f t="shared" si="1"/>
        <v>19.200000000000003</v>
      </c>
      <c r="G7" s="106">
        <f t="shared" si="2"/>
        <v>0</v>
      </c>
      <c r="H7" s="106">
        <f t="shared" si="3"/>
        <v>0.99</v>
      </c>
      <c r="I7" s="110">
        <f t="shared" si="4"/>
        <v>0</v>
      </c>
      <c r="J7" s="110">
        <f t="shared" si="5"/>
        <v>18.817920000000001</v>
      </c>
      <c r="K7" s="107"/>
      <c r="O7" t="str">
        <f>A6</f>
        <v>F. Lasprilla</v>
      </c>
      <c r="P7" s="108">
        <f t="shared" si="11"/>
        <v>7.1</v>
      </c>
      <c r="Q7" s="108">
        <f t="shared" si="11"/>
        <v>7.1999999999999993</v>
      </c>
      <c r="R7" s="108">
        <f t="shared" si="11"/>
        <v>4</v>
      </c>
      <c r="S7" s="108">
        <f t="shared" si="11"/>
        <v>4.99</v>
      </c>
      <c r="V7" s="53" t="str">
        <f t="shared" si="6"/>
        <v>F. Lasprilla</v>
      </c>
      <c r="W7" s="108">
        <f t="shared" si="7"/>
        <v>7.1</v>
      </c>
      <c r="X7" s="108">
        <f t="shared" si="8"/>
        <v>7.1999999999999993</v>
      </c>
      <c r="Y7" s="108">
        <f t="shared" si="9"/>
        <v>4</v>
      </c>
      <c r="Z7" s="108">
        <f t="shared" si="10"/>
        <v>4.99</v>
      </c>
    </row>
    <row r="8" spans="1:26" x14ac:dyDescent="0.25">
      <c r="A8" s="4" t="str">
        <f>Plantilla!D21</f>
        <v>S. Buschelman</v>
      </c>
      <c r="B8">
        <f>Plantilla!E21</f>
        <v>37</v>
      </c>
      <c r="C8">
        <f>Plantilla!H21</f>
        <v>3</v>
      </c>
      <c r="D8" s="72">
        <f>Plantilla!I21</f>
        <v>15.4</v>
      </c>
      <c r="E8" s="106">
        <f t="shared" si="0"/>
        <v>15.4</v>
      </c>
      <c r="F8" s="106">
        <f t="shared" si="1"/>
        <v>15.5</v>
      </c>
      <c r="G8" s="106">
        <f t="shared" si="2"/>
        <v>3</v>
      </c>
      <c r="H8" s="106">
        <f t="shared" si="3"/>
        <v>3.99</v>
      </c>
      <c r="I8" s="110">
        <f t="shared" si="4"/>
        <v>138.6</v>
      </c>
      <c r="J8" s="110">
        <f t="shared" si="5"/>
        <v>246.76155000000003</v>
      </c>
      <c r="K8" s="107"/>
      <c r="O8" t="str">
        <f>A12</f>
        <v>V. Gardner</v>
      </c>
      <c r="P8" s="108">
        <f>E12</f>
        <v>3.7</v>
      </c>
      <c r="Q8" s="108">
        <f>F12</f>
        <v>3.8000000000000003</v>
      </c>
      <c r="R8" s="108">
        <f>G12</f>
        <v>3</v>
      </c>
      <c r="S8" s="108">
        <f>H12</f>
        <v>3.99</v>
      </c>
      <c r="V8" s="53" t="str">
        <f t="shared" si="6"/>
        <v>V. Gardner</v>
      </c>
      <c r="W8" s="108">
        <f t="shared" si="7"/>
        <v>3.7</v>
      </c>
      <c r="X8" s="108">
        <f t="shared" si="8"/>
        <v>3.8000000000000003</v>
      </c>
      <c r="Y8" s="108">
        <f t="shared" si="9"/>
        <v>3</v>
      </c>
      <c r="Z8" s="108">
        <f t="shared" si="10"/>
        <v>3.99</v>
      </c>
    </row>
    <row r="9" spans="1:26" x14ac:dyDescent="0.25">
      <c r="A9" s="4" t="str">
        <f>Plantilla!D9</f>
        <v>L. Tutorić</v>
      </c>
      <c r="B9">
        <f>Plantilla!E9</f>
        <v>29</v>
      </c>
      <c r="C9">
        <f>Plantilla!H9</f>
        <v>3</v>
      </c>
      <c r="D9" s="72">
        <f>Plantilla!I9</f>
        <v>5.8</v>
      </c>
      <c r="E9" s="106">
        <f t="shared" si="0"/>
        <v>5.8</v>
      </c>
      <c r="F9" s="106">
        <f t="shared" si="1"/>
        <v>5.8999999999999995</v>
      </c>
      <c r="G9" s="106">
        <f t="shared" si="2"/>
        <v>3</v>
      </c>
      <c r="H9" s="106">
        <f t="shared" si="3"/>
        <v>3.99</v>
      </c>
      <c r="I9" s="110">
        <f t="shared" si="4"/>
        <v>52.199999999999996</v>
      </c>
      <c r="J9" s="110">
        <f t="shared" si="5"/>
        <v>93.92859</v>
      </c>
      <c r="K9" s="107"/>
      <c r="O9" t="str">
        <f>A15</f>
        <v>I. Vanags</v>
      </c>
      <c r="P9" s="108">
        <f>E15</f>
        <v>2.6</v>
      </c>
      <c r="Q9" s="108">
        <f>F15</f>
        <v>2.7</v>
      </c>
      <c r="R9" s="108">
        <f>G15</f>
        <v>4</v>
      </c>
      <c r="S9" s="108">
        <f>H15</f>
        <v>4.99</v>
      </c>
      <c r="V9" s="53" t="str">
        <f t="shared" si="6"/>
        <v>I. Vanags</v>
      </c>
      <c r="W9" s="108">
        <f t="shared" si="7"/>
        <v>2.6</v>
      </c>
      <c r="X9" s="108">
        <f t="shared" si="8"/>
        <v>2.7</v>
      </c>
      <c r="Y9" s="108">
        <f t="shared" si="9"/>
        <v>4</v>
      </c>
      <c r="Z9" s="108">
        <f t="shared" si="10"/>
        <v>4.99</v>
      </c>
    </row>
    <row r="10" spans="1:26" x14ac:dyDescent="0.25">
      <c r="A10" s="4" t="str">
        <f>Plantilla!D10</f>
        <v>S. Swärdborn</v>
      </c>
      <c r="B10">
        <f>Plantilla!E10</f>
        <v>22</v>
      </c>
      <c r="C10">
        <f>Plantilla!H10</f>
        <v>2</v>
      </c>
      <c r="D10" s="72">
        <f>Plantilla!I10</f>
        <v>4.7</v>
      </c>
      <c r="E10" s="106">
        <f t="shared" si="0"/>
        <v>4.7</v>
      </c>
      <c r="F10" s="106">
        <f t="shared" si="1"/>
        <v>4.8</v>
      </c>
      <c r="G10" s="106">
        <f t="shared" si="2"/>
        <v>2</v>
      </c>
      <c r="H10" s="106">
        <f t="shared" si="3"/>
        <v>2.99</v>
      </c>
      <c r="I10" s="110">
        <f t="shared" si="4"/>
        <v>18.8</v>
      </c>
      <c r="J10" s="110">
        <f t="shared" si="5"/>
        <v>42.912480000000002</v>
      </c>
      <c r="K10" s="107"/>
      <c r="O10" t="str">
        <f>A13</f>
        <v>S. Embe</v>
      </c>
      <c r="P10" s="108">
        <f>E13</f>
        <v>2.5</v>
      </c>
      <c r="Q10" s="108">
        <f>F13</f>
        <v>2.6</v>
      </c>
      <c r="R10" s="108">
        <f>G13</f>
        <v>3</v>
      </c>
      <c r="S10" s="108">
        <f>H13</f>
        <v>3.99</v>
      </c>
      <c r="V10" s="53" t="str">
        <f t="shared" si="6"/>
        <v>S. Embe</v>
      </c>
      <c r="W10" s="108">
        <f t="shared" si="7"/>
        <v>2.5</v>
      </c>
      <c r="X10" s="108">
        <f t="shared" si="8"/>
        <v>2.6</v>
      </c>
      <c r="Y10" s="108">
        <f t="shared" si="9"/>
        <v>3</v>
      </c>
      <c r="Z10" s="108">
        <f t="shared" si="10"/>
        <v>3.99</v>
      </c>
    </row>
    <row r="11" spans="1:26" x14ac:dyDescent="0.25">
      <c r="A11" s="4" t="str">
        <f>Plantilla!D11</f>
        <v>A. Grimaud</v>
      </c>
      <c r="B11">
        <f>Plantilla!E11</f>
        <v>22</v>
      </c>
      <c r="C11">
        <f>Plantilla!H11</f>
        <v>2</v>
      </c>
      <c r="D11" s="72">
        <f>Plantilla!I11</f>
        <v>4.7</v>
      </c>
      <c r="E11" s="106">
        <f t="shared" si="0"/>
        <v>4.7</v>
      </c>
      <c r="F11" s="106">
        <f t="shared" si="1"/>
        <v>4.8</v>
      </c>
      <c r="G11" s="106">
        <f t="shared" si="2"/>
        <v>2</v>
      </c>
      <c r="H11" s="106">
        <f t="shared" si="3"/>
        <v>2.99</v>
      </c>
      <c r="I11" s="110">
        <f t="shared" si="4"/>
        <v>18.8</v>
      </c>
      <c r="J11" s="110">
        <f t="shared" si="5"/>
        <v>42.912480000000002</v>
      </c>
      <c r="K11" s="107"/>
      <c r="O11" t="str">
        <f>A10</f>
        <v>S. Swärdborn</v>
      </c>
      <c r="P11" s="108">
        <f>E10</f>
        <v>4.7</v>
      </c>
      <c r="Q11" s="108">
        <f>F10</f>
        <v>4.8</v>
      </c>
      <c r="R11" s="108">
        <f>G10</f>
        <v>2</v>
      </c>
      <c r="S11" s="108">
        <f>H10</f>
        <v>2.99</v>
      </c>
      <c r="V11" s="53" t="str">
        <f t="shared" si="6"/>
        <v>S. Swärdborn</v>
      </c>
      <c r="W11" s="108">
        <f t="shared" si="7"/>
        <v>4.7</v>
      </c>
      <c r="X11" s="108">
        <f t="shared" si="8"/>
        <v>4.8</v>
      </c>
      <c r="Y11" s="108">
        <f t="shared" si="9"/>
        <v>2</v>
      </c>
      <c r="Z11" s="108">
        <f t="shared" si="10"/>
        <v>2.99</v>
      </c>
    </row>
    <row r="12" spans="1:26" x14ac:dyDescent="0.25">
      <c r="A12" s="4" t="str">
        <f>Plantilla!D12</f>
        <v>V. Gardner</v>
      </c>
      <c r="B12">
        <f>Plantilla!E12</f>
        <v>22</v>
      </c>
      <c r="C12">
        <f>Plantilla!H12</f>
        <v>3</v>
      </c>
      <c r="D12" s="72">
        <f>Plantilla!I12</f>
        <v>3.7</v>
      </c>
      <c r="E12" s="106">
        <f t="shared" si="0"/>
        <v>3.7</v>
      </c>
      <c r="F12" s="106">
        <f t="shared" si="1"/>
        <v>3.8000000000000003</v>
      </c>
      <c r="G12" s="106">
        <f t="shared" si="2"/>
        <v>3</v>
      </c>
      <c r="H12" s="106">
        <f t="shared" si="3"/>
        <v>3.99</v>
      </c>
      <c r="I12" s="110">
        <f t="shared" si="4"/>
        <v>33.300000000000004</v>
      </c>
      <c r="J12" s="110">
        <f t="shared" si="5"/>
        <v>60.496380000000009</v>
      </c>
      <c r="K12" s="107"/>
      <c r="O12" t="str">
        <f>A20</f>
        <v>R. Forsyth</v>
      </c>
      <c r="P12" s="108">
        <f>E20</f>
        <v>3.9</v>
      </c>
      <c r="Q12" s="108">
        <f>F20</f>
        <v>4</v>
      </c>
      <c r="R12" s="108">
        <f>G20</f>
        <v>4</v>
      </c>
      <c r="S12" s="108">
        <f>H20</f>
        <v>4.99</v>
      </c>
      <c r="V12" s="53" t="str">
        <f t="shared" si="6"/>
        <v>R. Forsyth</v>
      </c>
      <c r="W12" s="108">
        <f t="shared" si="7"/>
        <v>3.9</v>
      </c>
      <c r="X12" s="108">
        <f t="shared" si="8"/>
        <v>4</v>
      </c>
      <c r="Y12" s="108">
        <f t="shared" si="9"/>
        <v>4</v>
      </c>
      <c r="Z12" s="108">
        <f t="shared" si="10"/>
        <v>4.99</v>
      </c>
    </row>
    <row r="13" spans="1:26" x14ac:dyDescent="0.25">
      <c r="A13" s="4" t="str">
        <f>Plantilla!D13</f>
        <v>S. Embe</v>
      </c>
      <c r="B13">
        <f>Plantilla!E13</f>
        <v>22</v>
      </c>
      <c r="C13">
        <f>Plantilla!H13</f>
        <v>3</v>
      </c>
      <c r="D13" s="72">
        <f>Plantilla!I13</f>
        <v>2.5</v>
      </c>
      <c r="E13" s="106">
        <f t="shared" si="0"/>
        <v>2.5</v>
      </c>
      <c r="F13" s="106">
        <f t="shared" si="1"/>
        <v>2.6</v>
      </c>
      <c r="G13" s="106">
        <f t="shared" si="2"/>
        <v>3</v>
      </c>
      <c r="H13" s="106">
        <f t="shared" si="3"/>
        <v>3.99</v>
      </c>
      <c r="I13" s="110">
        <f t="shared" si="4"/>
        <v>22.5</v>
      </c>
      <c r="J13" s="110">
        <f t="shared" si="5"/>
        <v>41.392260000000007</v>
      </c>
      <c r="K13" s="107"/>
      <c r="O13" t="str">
        <f>A19</f>
        <v>P. Tuderek</v>
      </c>
      <c r="P13" s="108">
        <f>E19</f>
        <v>2.9</v>
      </c>
      <c r="Q13" s="108">
        <f>F19</f>
        <v>3</v>
      </c>
      <c r="R13" s="108">
        <f>G19</f>
        <v>4</v>
      </c>
      <c r="S13" s="108">
        <f>H19</f>
        <v>4.99</v>
      </c>
      <c r="V13" s="53" t="str">
        <f t="shared" si="6"/>
        <v>P. Tuderek</v>
      </c>
      <c r="W13" s="108">
        <f t="shared" si="7"/>
        <v>2.9</v>
      </c>
      <c r="X13" s="108">
        <f t="shared" si="8"/>
        <v>3</v>
      </c>
      <c r="Y13" s="108">
        <f t="shared" si="9"/>
        <v>4</v>
      </c>
      <c r="Z13" s="108">
        <f t="shared" si="10"/>
        <v>4.99</v>
      </c>
    </row>
    <row r="14" spans="1:26" x14ac:dyDescent="0.25">
      <c r="A14" s="4" t="str">
        <f>Plantilla!D14</f>
        <v>E. Deus</v>
      </c>
      <c r="B14">
        <f>Plantilla!E14</f>
        <v>21</v>
      </c>
      <c r="C14">
        <f>Plantilla!H14</f>
        <v>3</v>
      </c>
      <c r="D14" s="72">
        <f>Plantilla!I14</f>
        <v>3.9</v>
      </c>
      <c r="E14" s="106">
        <f t="shared" si="0"/>
        <v>3.9</v>
      </c>
      <c r="F14" s="106">
        <f t="shared" si="1"/>
        <v>4</v>
      </c>
      <c r="G14" s="106">
        <f t="shared" si="2"/>
        <v>3</v>
      </c>
      <c r="H14" s="106">
        <f t="shared" si="3"/>
        <v>3.99</v>
      </c>
      <c r="I14" s="110">
        <f t="shared" si="4"/>
        <v>35.1</v>
      </c>
      <c r="J14" s="110">
        <f t="shared" si="5"/>
        <v>63.680400000000006</v>
      </c>
      <c r="K14" s="107"/>
      <c r="P14" s="48">
        <f>SUM(P4:P13)/10</f>
        <v>6.9500000000000011</v>
      </c>
      <c r="Q14" s="48">
        <f>SUM(Q4:Q13)/10</f>
        <v>7.05</v>
      </c>
      <c r="R14" s="48"/>
      <c r="S14" s="48"/>
      <c r="W14" s="48">
        <f>SUM(W4:W13)/10</f>
        <v>6.9500000000000011</v>
      </c>
      <c r="X14" s="48">
        <f>SUM(X4:X13)/10</f>
        <v>7.05</v>
      </c>
      <c r="Y14" s="48"/>
      <c r="Z14" s="48"/>
    </row>
    <row r="15" spans="1:26" x14ac:dyDescent="0.25">
      <c r="A15" s="4" t="str">
        <f>Plantilla!D15</f>
        <v>I. Vanags</v>
      </c>
      <c r="B15">
        <f>Plantilla!E15</f>
        <v>22</v>
      </c>
      <c r="C15">
        <f>Plantilla!H15</f>
        <v>4</v>
      </c>
      <c r="D15" s="72">
        <f>Plantilla!I15</f>
        <v>2.6</v>
      </c>
      <c r="E15" s="106">
        <f t="shared" si="0"/>
        <v>2.6</v>
      </c>
      <c r="F15" s="106">
        <f t="shared" si="1"/>
        <v>2.7</v>
      </c>
      <c r="G15" s="106">
        <f t="shared" si="2"/>
        <v>4</v>
      </c>
      <c r="H15" s="106">
        <f t="shared" si="3"/>
        <v>4.99</v>
      </c>
      <c r="I15" s="110">
        <f t="shared" si="4"/>
        <v>41.6</v>
      </c>
      <c r="J15" s="110">
        <f t="shared" si="5"/>
        <v>67.230270000000004</v>
      </c>
      <c r="K15" s="107"/>
    </row>
    <row r="16" spans="1:26" x14ac:dyDescent="0.25">
      <c r="A16" s="4" t="str">
        <f>Plantilla!D16</f>
        <v>I. Stone</v>
      </c>
      <c r="B16">
        <f>Plantilla!E16</f>
        <v>21</v>
      </c>
      <c r="C16">
        <f>Plantilla!H16</f>
        <v>6</v>
      </c>
      <c r="D16" s="72">
        <f>Plantilla!I16</f>
        <v>3.8</v>
      </c>
      <c r="E16" s="106">
        <f t="shared" si="0"/>
        <v>3.8</v>
      </c>
      <c r="F16" s="106">
        <f t="shared" si="1"/>
        <v>3.9</v>
      </c>
      <c r="G16" s="106">
        <f t="shared" si="2"/>
        <v>6</v>
      </c>
      <c r="H16" s="106">
        <f t="shared" si="3"/>
        <v>6.99</v>
      </c>
      <c r="I16" s="110">
        <f t="shared" si="4"/>
        <v>136.79999999999998</v>
      </c>
      <c r="J16" s="110">
        <f t="shared" si="5"/>
        <v>190.55439000000001</v>
      </c>
      <c r="K16" s="107"/>
      <c r="L16" s="54" t="s">
        <v>504</v>
      </c>
      <c r="O16" t="s">
        <v>505</v>
      </c>
      <c r="P16" s="72">
        <f>SUM(P3:P13)</f>
        <v>95</v>
      </c>
      <c r="Q16" s="72">
        <f>SUM(Q3:Q13)</f>
        <v>96.1</v>
      </c>
      <c r="R16" s="72"/>
      <c r="V16" s="53" t="s">
        <v>505</v>
      </c>
      <c r="W16" s="72">
        <f>SUM(W3:W13)</f>
        <v>95</v>
      </c>
      <c r="X16" s="72">
        <f>SUM(X3:X13)</f>
        <v>96.1</v>
      </c>
      <c r="Y16" s="72"/>
    </row>
    <row r="17" spans="1:25" x14ac:dyDescent="0.25">
      <c r="A17" s="4" t="str">
        <f>Plantilla!D17</f>
        <v>G. Piscaer</v>
      </c>
      <c r="B17">
        <f>Plantilla!E17</f>
        <v>22</v>
      </c>
      <c r="C17">
        <f>Plantilla!H17</f>
        <v>1</v>
      </c>
      <c r="D17" s="72">
        <f>Plantilla!I17</f>
        <v>3.7</v>
      </c>
      <c r="E17" s="106">
        <f t="shared" si="0"/>
        <v>3.7</v>
      </c>
      <c r="F17" s="106">
        <f t="shared" si="1"/>
        <v>3.8000000000000003</v>
      </c>
      <c r="G17" s="106">
        <f t="shared" si="2"/>
        <v>1</v>
      </c>
      <c r="H17" s="106">
        <f t="shared" si="3"/>
        <v>1.99</v>
      </c>
      <c r="I17" s="110">
        <f t="shared" si="4"/>
        <v>3.7</v>
      </c>
      <c r="J17" s="110">
        <f t="shared" si="5"/>
        <v>15.048380000000002</v>
      </c>
      <c r="K17" s="107"/>
      <c r="O17" s="93" t="s">
        <v>506</v>
      </c>
      <c r="P17" s="48">
        <f>P16/16.5</f>
        <v>5.7575757575757578</v>
      </c>
      <c r="Q17" s="48">
        <f>Q16/16.5</f>
        <v>5.8242424242424242</v>
      </c>
      <c r="R17" s="48"/>
      <c r="V17" s="53" t="s">
        <v>507</v>
      </c>
      <c r="W17" s="48">
        <f>W16/17</f>
        <v>5.5882352941176467</v>
      </c>
      <c r="X17" s="48">
        <f>X16/17</f>
        <v>5.6529411764705877</v>
      </c>
      <c r="Y17" s="48"/>
    </row>
    <row r="18" spans="1:25" x14ac:dyDescent="0.25">
      <c r="A18" s="4" t="str">
        <f>Plantilla!D18</f>
        <v>M. Bondarewski</v>
      </c>
      <c r="B18">
        <f>Plantilla!E18</f>
        <v>22</v>
      </c>
      <c r="C18">
        <f>Plantilla!H18</f>
        <v>1</v>
      </c>
      <c r="D18" s="72">
        <f>Plantilla!I18</f>
        <v>3.9</v>
      </c>
      <c r="E18" s="106">
        <f t="shared" si="0"/>
        <v>3.9</v>
      </c>
      <c r="F18" s="106">
        <f t="shared" si="1"/>
        <v>4</v>
      </c>
      <c r="G18" s="106">
        <f t="shared" si="2"/>
        <v>1</v>
      </c>
      <c r="H18" s="106">
        <f t="shared" si="3"/>
        <v>1.99</v>
      </c>
      <c r="I18" s="110">
        <f t="shared" si="4"/>
        <v>3.9</v>
      </c>
      <c r="J18" s="110">
        <f t="shared" si="5"/>
        <v>15.840400000000001</v>
      </c>
      <c r="K18" s="107"/>
      <c r="L18" s="54" t="s">
        <v>508</v>
      </c>
      <c r="O18" t="s">
        <v>509</v>
      </c>
      <c r="P18" s="72">
        <f>R3^2</f>
        <v>36</v>
      </c>
      <c r="Q18" s="72">
        <f>S3^2</f>
        <v>48.860100000000003</v>
      </c>
      <c r="R18" s="72"/>
      <c r="V18" s="53" t="s">
        <v>509</v>
      </c>
      <c r="W18" s="72">
        <f>Y3^2</f>
        <v>36</v>
      </c>
      <c r="X18" s="72">
        <f>Z3^2</f>
        <v>48.860100000000003</v>
      </c>
      <c r="Y18" s="72"/>
    </row>
    <row r="19" spans="1:25" x14ac:dyDescent="0.25">
      <c r="A19" s="4" t="str">
        <f>Plantilla!D19</f>
        <v>P. Tuderek</v>
      </c>
      <c r="B19">
        <f>Plantilla!E19</f>
        <v>22</v>
      </c>
      <c r="C19">
        <f>Plantilla!H19</f>
        <v>4</v>
      </c>
      <c r="D19" s="72">
        <f>Plantilla!I19</f>
        <v>2.9</v>
      </c>
      <c r="E19" s="106">
        <f t="shared" si="0"/>
        <v>2.9</v>
      </c>
      <c r="F19" s="106">
        <f t="shared" si="1"/>
        <v>3</v>
      </c>
      <c r="G19" s="106">
        <f t="shared" si="2"/>
        <v>4</v>
      </c>
      <c r="H19" s="106">
        <f t="shared" si="3"/>
        <v>4.99</v>
      </c>
      <c r="I19" s="110">
        <f t="shared" si="4"/>
        <v>46.4</v>
      </c>
      <c r="J19" s="110">
        <f t="shared" si="5"/>
        <v>74.700299999999999</v>
      </c>
      <c r="K19" s="107"/>
      <c r="L19" s="54" t="s">
        <v>510</v>
      </c>
      <c r="O19" t="s">
        <v>511</v>
      </c>
      <c r="P19" s="72">
        <f>P18*P3</f>
        <v>918</v>
      </c>
      <c r="Q19" s="72">
        <f>Q18*Q3</f>
        <v>1250.8185600000002</v>
      </c>
      <c r="R19" s="72"/>
      <c r="V19" s="53" t="s">
        <v>511</v>
      </c>
      <c r="W19" s="72">
        <f>W18*W3</f>
        <v>918</v>
      </c>
      <c r="X19" s="72">
        <f>X18*X3</f>
        <v>1250.8185600000002</v>
      </c>
      <c r="Y19" s="72"/>
    </row>
    <row r="20" spans="1:25" x14ac:dyDescent="0.25">
      <c r="A20" s="4" t="str">
        <f>Plantilla!D20</f>
        <v>R. Forsyth</v>
      </c>
      <c r="B20">
        <f>Plantilla!E20</f>
        <v>22</v>
      </c>
      <c r="C20">
        <f>Plantilla!H20</f>
        <v>4</v>
      </c>
      <c r="D20" s="72">
        <f>Plantilla!I20</f>
        <v>3.9</v>
      </c>
      <c r="E20" s="106">
        <f t="shared" si="0"/>
        <v>3.9</v>
      </c>
      <c r="F20" s="106">
        <f t="shared" si="1"/>
        <v>4</v>
      </c>
      <c r="G20" s="106">
        <f t="shared" si="2"/>
        <v>4</v>
      </c>
      <c r="H20" s="106">
        <f t="shared" si="3"/>
        <v>4.99</v>
      </c>
      <c r="I20" s="110">
        <f t="shared" si="4"/>
        <v>62.4</v>
      </c>
      <c r="J20" s="110">
        <f t="shared" si="5"/>
        <v>99.600400000000008</v>
      </c>
      <c r="K20" s="107"/>
      <c r="L20" s="54" t="s">
        <v>512</v>
      </c>
      <c r="O20" s="93" t="s">
        <v>513</v>
      </c>
      <c r="P20" s="48">
        <f>(P19^(2/3))/27</f>
        <v>3.4983615409921129</v>
      </c>
      <c r="Q20" s="48">
        <f>(Q19^(2/3))/27</f>
        <v>4.2996434900872078</v>
      </c>
      <c r="R20" s="48"/>
      <c r="V20" s="53" t="s">
        <v>514</v>
      </c>
      <c r="W20" s="48">
        <f>(W19^(2/3))/30</f>
        <v>3.1485253868929015</v>
      </c>
      <c r="X20" s="48">
        <f>(X19^(2/3))/30</f>
        <v>3.8696791410784868</v>
      </c>
      <c r="Y20" s="48"/>
    </row>
    <row r="21" spans="1:25" x14ac:dyDescent="0.25">
      <c r="A21" s="4" t="str">
        <f>Plantilla!D22</f>
        <v>J-P. Kechele</v>
      </c>
      <c r="B21">
        <f>Plantilla!E22</f>
        <v>29</v>
      </c>
      <c r="C21">
        <f>Plantilla!H22</f>
        <v>5</v>
      </c>
      <c r="D21" s="72">
        <f>Plantilla!I22</f>
        <v>7.5999999999999988</v>
      </c>
      <c r="E21" s="106">
        <f t="shared" si="0"/>
        <v>7.5999999999999988</v>
      </c>
      <c r="F21" s="106">
        <f t="shared" si="1"/>
        <v>7.6999999999999984</v>
      </c>
      <c r="G21" s="106">
        <f t="shared" si="2"/>
        <v>5</v>
      </c>
      <c r="H21" s="106">
        <f t="shared" si="3"/>
        <v>5.99</v>
      </c>
      <c r="I21" s="110">
        <f t="shared" si="4"/>
        <v>189.99999999999997</v>
      </c>
      <c r="J21" s="110">
        <f t="shared" si="5"/>
        <v>276.27677</v>
      </c>
      <c r="K21" s="107"/>
      <c r="L21" s="54" t="s">
        <v>515</v>
      </c>
      <c r="O21" s="53" t="s">
        <v>363</v>
      </c>
      <c r="P21" s="233">
        <f>P17+P20</f>
        <v>9.2559372985678703</v>
      </c>
      <c r="Q21" s="233">
        <f>Q17+Q20</f>
        <v>10.123885914329632</v>
      </c>
      <c r="V21" s="53" t="s">
        <v>363</v>
      </c>
      <c r="W21" s="233">
        <f>W17+W20</f>
        <v>8.7367606810105478</v>
      </c>
      <c r="X21" s="233">
        <f>X17+X20</f>
        <v>9.5226203175490749</v>
      </c>
    </row>
    <row r="22" spans="1:25" x14ac:dyDescent="0.25">
      <c r="A22" s="4" t="str">
        <f>Plantilla!D23</f>
        <v>S. Zobbe</v>
      </c>
      <c r="B22">
        <f>Plantilla!E23</f>
        <v>36</v>
      </c>
      <c r="C22">
        <f>Plantilla!H23</f>
        <v>2</v>
      </c>
      <c r="D22" s="72">
        <f>Plantilla!I23</f>
        <v>15</v>
      </c>
      <c r="E22" s="106">
        <f t="shared" si="0"/>
        <v>15</v>
      </c>
      <c r="F22" s="106">
        <f t="shared" si="1"/>
        <v>15.1</v>
      </c>
      <c r="G22" s="106">
        <f t="shared" si="2"/>
        <v>2</v>
      </c>
      <c r="H22" s="106">
        <f t="shared" si="3"/>
        <v>2.99</v>
      </c>
      <c r="I22" s="110">
        <f t="shared" si="4"/>
        <v>60</v>
      </c>
      <c r="J22" s="110">
        <f t="shared" si="5"/>
        <v>134.99551000000002</v>
      </c>
      <c r="K22" s="107"/>
      <c r="L22" t="s">
        <v>516</v>
      </c>
    </row>
    <row r="23" spans="1:25" x14ac:dyDescent="0.25">
      <c r="A23" s="4" t="str">
        <f>Plantilla!D24</f>
        <v>P .Trivadi</v>
      </c>
      <c r="B23">
        <f>Plantilla!E24</f>
        <v>35</v>
      </c>
      <c r="C23">
        <f>Plantilla!H24</f>
        <v>5</v>
      </c>
      <c r="D23" s="72">
        <f>Plantilla!I24</f>
        <v>6.3</v>
      </c>
      <c r="E23" s="106">
        <f t="shared" si="0"/>
        <v>6.3</v>
      </c>
      <c r="F23" s="106">
        <f t="shared" si="1"/>
        <v>6.3999999999999995</v>
      </c>
      <c r="G23" s="106">
        <f t="shared" si="2"/>
        <v>5</v>
      </c>
      <c r="H23" s="106">
        <f t="shared" si="3"/>
        <v>5.99</v>
      </c>
      <c r="I23" s="110">
        <f t="shared" si="4"/>
        <v>157.5</v>
      </c>
      <c r="J23" s="110">
        <f t="shared" si="5"/>
        <v>229.63264000000001</v>
      </c>
      <c r="K23" s="107"/>
      <c r="O23" s="74">
        <v>42576</v>
      </c>
      <c r="P23">
        <v>6.76</v>
      </c>
      <c r="Q23">
        <v>6.99</v>
      </c>
      <c r="R23" t="s">
        <v>517</v>
      </c>
      <c r="W23" s="48"/>
    </row>
    <row r="24" spans="1:25" x14ac:dyDescent="0.25">
      <c r="A24" s="4">
        <f>Plantilla!D25</f>
        <v>0</v>
      </c>
      <c r="B24">
        <f>Plantilla!E25</f>
        <v>0</v>
      </c>
      <c r="C24">
        <f>Plantilla!H25</f>
        <v>0</v>
      </c>
      <c r="D24" s="72">
        <f>Plantilla!I25</f>
        <v>0</v>
      </c>
      <c r="E24" s="106">
        <f t="shared" si="0"/>
        <v>0</v>
      </c>
      <c r="F24" s="106">
        <f t="shared" si="1"/>
        <v>0.1</v>
      </c>
      <c r="G24" s="106">
        <f t="shared" si="2"/>
        <v>0</v>
      </c>
      <c r="H24" s="106">
        <f t="shared" si="3"/>
        <v>0.99</v>
      </c>
      <c r="I24" s="110">
        <f t="shared" si="4"/>
        <v>0</v>
      </c>
      <c r="J24" s="110">
        <f t="shared" si="5"/>
        <v>9.801E-2</v>
      </c>
    </row>
    <row r="25" spans="1:25" x14ac:dyDescent="0.25">
      <c r="A25" s="4">
        <f>Plantilla!D26</f>
        <v>0</v>
      </c>
      <c r="B25">
        <f>Plantilla!E26</f>
        <v>0</v>
      </c>
      <c r="C25">
        <f>Plantilla!H26</f>
        <v>0</v>
      </c>
      <c r="D25" s="72">
        <f>Plantilla!I26</f>
        <v>0</v>
      </c>
      <c r="E25" s="106">
        <f t="shared" si="0"/>
        <v>0</v>
      </c>
      <c r="F25" s="106">
        <f t="shared" si="1"/>
        <v>0.1</v>
      </c>
      <c r="G25" s="106">
        <f t="shared" si="2"/>
        <v>0</v>
      </c>
      <c r="H25" s="106">
        <f t="shared" si="3"/>
        <v>0.99</v>
      </c>
      <c r="I25" s="110">
        <f t="shared" si="4"/>
        <v>0</v>
      </c>
      <c r="J25" s="110">
        <f t="shared" si="5"/>
        <v>9.801E-2</v>
      </c>
      <c r="V25"/>
    </row>
    <row r="26" spans="1:25" x14ac:dyDescent="0.25">
      <c r="A26" s="4">
        <f>Plantilla!D27</f>
        <v>0</v>
      </c>
      <c r="B26">
        <f>Plantilla!E27</f>
        <v>0</v>
      </c>
      <c r="C26">
        <f>Plantilla!H27</f>
        <v>0</v>
      </c>
      <c r="D26" s="72">
        <f>Plantilla!I27</f>
        <v>0</v>
      </c>
      <c r="E26" s="106">
        <f t="shared" si="0"/>
        <v>0</v>
      </c>
      <c r="F26" s="106">
        <f t="shared" si="1"/>
        <v>0.1</v>
      </c>
      <c r="G26" s="106">
        <f t="shared" si="2"/>
        <v>0</v>
      </c>
      <c r="H26" s="106">
        <f t="shared" si="3"/>
        <v>0.99</v>
      </c>
      <c r="I26" s="110">
        <f t="shared" si="4"/>
        <v>0</v>
      </c>
      <c r="J26" s="110">
        <f t="shared" si="5"/>
        <v>9.801E-2</v>
      </c>
      <c r="V26"/>
    </row>
    <row r="27" spans="1:25" x14ac:dyDescent="0.25">
      <c r="V27"/>
    </row>
  </sheetData>
  <conditionalFormatting sqref="I3:J26">
    <cfRule type="cellIs" dxfId="25" priority="1" operator="between">
      <formula>70</formula>
      <formula>100</formula>
    </cfRule>
  </conditionalFormatting>
  <conditionalFormatting sqref="I3:J26">
    <cfRule type="cellIs" dxfId="24" priority="2" operator="greaterThan">
      <formula>100</formula>
    </cfRule>
  </conditionalFormatting>
  <pageMargins left="0.7" right="0.7" top="0.75" bottom="0.75" header="0.3" footer="0.3"/>
  <pageSetup paperSize="9" fitToWidth="0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4DFEC"/>
  </sheetPr>
  <dimension ref="A1:V45"/>
  <sheetViews>
    <sheetView workbookViewId="0">
      <selection activeCell="P4" sqref="P4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2.42578125" customWidth="1"/>
    <col min="5" max="5" width="5.5703125" customWidth="1"/>
    <col min="6" max="6" width="4.5703125" customWidth="1"/>
    <col min="7" max="7" width="3.7109375" customWidth="1"/>
    <col min="8" max="8" width="4.5703125" customWidth="1"/>
    <col min="9" max="9" width="5.28515625" customWidth="1"/>
    <col min="10" max="10" width="5.85546875" customWidth="1"/>
    <col min="11" max="11" width="6" customWidth="1"/>
    <col min="12" max="12" width="5" customWidth="1"/>
    <col min="13" max="13" width="13.42578125" style="58" customWidth="1"/>
    <col min="14" max="14" width="21.5703125" style="58" customWidth="1"/>
    <col min="15" max="15" width="14" style="58" customWidth="1"/>
    <col min="16" max="16" width="13" style="58" customWidth="1"/>
    <col min="17" max="17" width="10.42578125" style="58" customWidth="1"/>
    <col min="18" max="18" width="10.28515625" style="58" customWidth="1"/>
    <col min="19" max="19" width="21" style="58" customWidth="1"/>
    <col min="20" max="20" width="12" style="58" customWidth="1"/>
    <col min="21" max="21" width="16.85546875" style="58" customWidth="1"/>
    <col min="22" max="22" width="16.7109375" customWidth="1"/>
  </cols>
  <sheetData>
    <row r="1" spans="1:22" x14ac:dyDescent="0.25">
      <c r="A1" s="81" t="s">
        <v>84</v>
      </c>
      <c r="B1" s="81" t="s">
        <v>85</v>
      </c>
      <c r="C1" s="82" t="s">
        <v>518</v>
      </c>
      <c r="D1" s="83" t="s">
        <v>87</v>
      </c>
      <c r="E1" s="81" t="s">
        <v>88</v>
      </c>
      <c r="F1" s="81" t="s">
        <v>90</v>
      </c>
      <c r="G1" s="81" t="s">
        <v>91</v>
      </c>
      <c r="H1" s="81" t="s">
        <v>92</v>
      </c>
      <c r="I1" s="84" t="s">
        <v>519</v>
      </c>
      <c r="J1" s="84" t="s">
        <v>520</v>
      </c>
      <c r="K1" s="81" t="s">
        <v>103</v>
      </c>
      <c r="L1" s="81" t="s">
        <v>105</v>
      </c>
      <c r="M1" s="124" t="s">
        <v>521</v>
      </c>
      <c r="N1" s="124" t="s">
        <v>522</v>
      </c>
      <c r="O1" s="124" t="s">
        <v>523</v>
      </c>
      <c r="P1" s="124" t="s">
        <v>524</v>
      </c>
      <c r="Q1" s="124" t="s">
        <v>525</v>
      </c>
      <c r="R1" s="124" t="s">
        <v>526</v>
      </c>
      <c r="S1" s="124" t="s">
        <v>527</v>
      </c>
      <c r="T1" s="124" t="s">
        <v>528</v>
      </c>
      <c r="U1" s="124" t="s">
        <v>529</v>
      </c>
      <c r="V1" s="124" t="s">
        <v>530</v>
      </c>
    </row>
    <row r="2" spans="1:22" x14ac:dyDescent="0.25">
      <c r="A2" s="80"/>
      <c r="B2" s="80" t="s">
        <v>531</v>
      </c>
      <c r="C2" s="80"/>
      <c r="D2" s="77" t="s">
        <v>532</v>
      </c>
      <c r="E2" s="55">
        <v>42</v>
      </c>
      <c r="F2" s="71" t="s">
        <v>159</v>
      </c>
      <c r="G2" s="111">
        <v>3</v>
      </c>
      <c r="H2" s="57">
        <v>16.004000000000001</v>
      </c>
      <c r="I2" s="85">
        <f>(G2)*(G2)*(H2)</f>
        <v>144.036</v>
      </c>
      <c r="J2" s="85">
        <f>(G2+1)*(G2+1)*H2</f>
        <v>256.06400000000002</v>
      </c>
      <c r="K2" s="78">
        <v>0</v>
      </c>
      <c r="L2" s="78">
        <v>300</v>
      </c>
      <c r="M2" s="125">
        <v>41576</v>
      </c>
      <c r="N2" s="125">
        <v>41731</v>
      </c>
      <c r="O2" s="125">
        <v>42305</v>
      </c>
      <c r="P2" s="60">
        <v>772000</v>
      </c>
      <c r="Q2" s="60">
        <f>((N2-M2)/7)*L2</f>
        <v>6642.8571428571431</v>
      </c>
      <c r="R2" s="60">
        <f ca="1">((TODAY()-N2)/7)*L2</f>
        <v>98914.28571428571</v>
      </c>
      <c r="S2" s="60">
        <v>2068800</v>
      </c>
      <c r="T2" s="60">
        <f ca="1">S2+Q2+P2+R2</f>
        <v>2946357.1428571432</v>
      </c>
      <c r="U2" s="64">
        <f ca="1">T2/((O2-N2)/112)</f>
        <v>574898.95470383286</v>
      </c>
      <c r="V2" s="49">
        <f>(O2-N2)/112</f>
        <v>5.125</v>
      </c>
    </row>
    <row r="3" spans="1:22" x14ac:dyDescent="0.25">
      <c r="A3" s="81" t="s">
        <v>84</v>
      </c>
      <c r="B3" s="81" t="s">
        <v>85</v>
      </c>
      <c r="C3" s="82" t="s">
        <v>518</v>
      </c>
      <c r="D3" s="83" t="s">
        <v>87</v>
      </c>
      <c r="E3" s="81" t="s">
        <v>88</v>
      </c>
      <c r="F3" s="81" t="s">
        <v>90</v>
      </c>
      <c r="G3" s="81" t="s">
        <v>91</v>
      </c>
      <c r="H3" s="81" t="s">
        <v>92</v>
      </c>
      <c r="I3" s="84" t="s">
        <v>519</v>
      </c>
      <c r="J3" s="84" t="s">
        <v>520</v>
      </c>
      <c r="K3" s="81" t="s">
        <v>103</v>
      </c>
      <c r="L3" s="81" t="s">
        <v>105</v>
      </c>
      <c r="M3" s="124" t="s">
        <v>521</v>
      </c>
      <c r="N3" s="124" t="s">
        <v>522</v>
      </c>
      <c r="O3" s="124" t="s">
        <v>523</v>
      </c>
      <c r="P3" s="124" t="s">
        <v>524</v>
      </c>
      <c r="Q3" s="124" t="s">
        <v>525</v>
      </c>
      <c r="R3" s="124" t="s">
        <v>526</v>
      </c>
      <c r="S3" s="124" t="s">
        <v>527</v>
      </c>
      <c r="T3" s="124" t="s">
        <v>528</v>
      </c>
      <c r="U3" s="124" t="s">
        <v>529</v>
      </c>
      <c r="V3" s="124" t="s">
        <v>530</v>
      </c>
    </row>
    <row r="4" spans="1:22" x14ac:dyDescent="0.25">
      <c r="A4" s="80"/>
      <c r="B4" s="80" t="s">
        <v>531</v>
      </c>
      <c r="C4" s="80"/>
      <c r="D4" s="77" t="s">
        <v>533</v>
      </c>
      <c r="E4" s="55">
        <v>44</v>
      </c>
      <c r="F4" s="71" t="s">
        <v>159</v>
      </c>
      <c r="G4" s="111">
        <v>5</v>
      </c>
      <c r="H4" s="57">
        <v>16.109000000000002</v>
      </c>
      <c r="I4" s="85">
        <f>(G4)*(G4)*(H4)</f>
        <v>402.72500000000002</v>
      </c>
      <c r="J4" s="85">
        <f>(G4+1)*(G4+1)*H4</f>
        <v>579.92400000000009</v>
      </c>
      <c r="K4" s="78">
        <v>0</v>
      </c>
      <c r="L4" s="78">
        <v>300</v>
      </c>
      <c r="M4" s="125">
        <v>41976</v>
      </c>
      <c r="N4" s="125">
        <v>42305</v>
      </c>
      <c r="O4" s="125">
        <v>42908</v>
      </c>
      <c r="P4" s="60">
        <v>1052640</v>
      </c>
      <c r="Q4" s="60">
        <f>((N4-M4)/7)*L4</f>
        <v>14100</v>
      </c>
      <c r="R4" s="60">
        <f ca="1">((TODAY()-N4)/7)*L4</f>
        <v>74314.28571428571</v>
      </c>
      <c r="S4" s="60">
        <v>2059800</v>
      </c>
      <c r="T4" s="60">
        <f>S4+Q4+P4</f>
        <v>3126540</v>
      </c>
      <c r="U4" s="64">
        <f>T4/((O4-N4)/112)</f>
        <v>580717.21393034828</v>
      </c>
      <c r="V4" s="49">
        <f ca="1">(A7-N4)/112</f>
        <v>15.482142857142858</v>
      </c>
    </row>
    <row r="5" spans="1:22" x14ac:dyDescent="0.25">
      <c r="O5" s="207"/>
    </row>
    <row r="7" spans="1:22" x14ac:dyDescent="0.25">
      <c r="A7" s="52">
        <f ca="1">TODAY()</f>
        <v>44039</v>
      </c>
    </row>
    <row r="8" spans="1:22" x14ac:dyDescent="0.25">
      <c r="A8" s="52">
        <v>41757</v>
      </c>
    </row>
    <row r="9" spans="1:22" x14ac:dyDescent="0.25">
      <c r="A9" s="53">
        <f ca="1">A7-A8</f>
        <v>2282</v>
      </c>
    </row>
    <row r="10" spans="1:22" x14ac:dyDescent="0.25">
      <c r="A10" s="123">
        <f ca="1">A9/112</f>
        <v>20.375</v>
      </c>
    </row>
    <row r="12" spans="1:22" x14ac:dyDescent="0.25">
      <c r="A12" s="81" t="s">
        <v>84</v>
      </c>
      <c r="B12" s="81" t="s">
        <v>85</v>
      </c>
      <c r="C12" s="82" t="s">
        <v>518</v>
      </c>
      <c r="D12" s="83" t="s">
        <v>87</v>
      </c>
      <c r="E12" s="81" t="s">
        <v>88</v>
      </c>
      <c r="F12" s="81" t="s">
        <v>90</v>
      </c>
      <c r="G12" s="81" t="s">
        <v>91</v>
      </c>
      <c r="H12" s="81" t="s">
        <v>92</v>
      </c>
      <c r="I12" s="84" t="s">
        <v>519</v>
      </c>
      <c r="J12" s="84" t="s">
        <v>520</v>
      </c>
      <c r="K12" s="81" t="s">
        <v>103</v>
      </c>
      <c r="L12" s="81" t="s">
        <v>105</v>
      </c>
      <c r="M12" s="124" t="s">
        <v>521</v>
      </c>
      <c r="N12" s="124" t="s">
        <v>522</v>
      </c>
      <c r="O12" s="124" t="s">
        <v>523</v>
      </c>
      <c r="P12" s="124" t="s">
        <v>524</v>
      </c>
      <c r="Q12" s="124" t="s">
        <v>525</v>
      </c>
      <c r="R12" s="124" t="s">
        <v>526</v>
      </c>
      <c r="S12" s="124" t="s">
        <v>527</v>
      </c>
      <c r="T12" s="124" t="s">
        <v>528</v>
      </c>
      <c r="U12" s="124" t="s">
        <v>529</v>
      </c>
      <c r="V12" s="124" t="s">
        <v>530</v>
      </c>
    </row>
    <row r="13" spans="1:22" x14ac:dyDescent="0.25">
      <c r="D13" s="77" t="s">
        <v>534</v>
      </c>
      <c r="E13" s="55">
        <v>39</v>
      </c>
      <c r="F13" s="71"/>
      <c r="G13" s="111">
        <v>6</v>
      </c>
      <c r="H13" s="57">
        <v>13</v>
      </c>
      <c r="I13" s="85">
        <f>(G13)*(G13)*(H13)</f>
        <v>468</v>
      </c>
      <c r="J13" s="85">
        <f>(G13+1)*(G13+1)*H13</f>
        <v>637</v>
      </c>
      <c r="K13" s="78">
        <v>1130</v>
      </c>
      <c r="L13" s="78">
        <v>864</v>
      </c>
      <c r="M13" s="125">
        <v>42628</v>
      </c>
      <c r="N13" s="125">
        <f>O4</f>
        <v>42908</v>
      </c>
      <c r="O13" s="125">
        <f ca="1">TODAY()</f>
        <v>44039</v>
      </c>
      <c r="P13" s="209">
        <v>1800000</v>
      </c>
      <c r="Q13" s="60">
        <v>372</v>
      </c>
      <c r="R13" s="60">
        <f ca="1">((TODAY()-N13)/7)*L13</f>
        <v>139597.71428571429</v>
      </c>
      <c r="S13" s="209">
        <v>2553000</v>
      </c>
      <c r="T13" s="60">
        <f>S13+Q13+P13</f>
        <v>4353372</v>
      </c>
      <c r="U13" s="64">
        <f ca="1">T13/((O13-N13)/112)</f>
        <v>431103.15119363391</v>
      </c>
      <c r="V13" s="49">
        <v>7</v>
      </c>
    </row>
    <row r="17" spans="1:22" ht="18" x14ac:dyDescent="0.25">
      <c r="A17" s="198">
        <v>42908</v>
      </c>
      <c r="B17" s="74"/>
      <c r="C17">
        <v>112</v>
      </c>
      <c r="D17">
        <v>0</v>
      </c>
    </row>
    <row r="18" spans="1:22" x14ac:dyDescent="0.25">
      <c r="A18" s="74">
        <f ca="1">TODAY()</f>
        <v>44039</v>
      </c>
      <c r="B18" s="74"/>
      <c r="C18">
        <v>400</v>
      </c>
      <c r="D18">
        <v>1</v>
      </c>
    </row>
    <row r="19" spans="1:22" x14ac:dyDescent="0.25">
      <c r="A19">
        <f ca="1">A18-A17</f>
        <v>1131</v>
      </c>
      <c r="C19">
        <f>C18-C17</f>
        <v>288</v>
      </c>
      <c r="D19" s="199">
        <f ca="1">(A19-C17)/C19</f>
        <v>3.5381944444444446</v>
      </c>
    </row>
    <row r="20" spans="1:22" x14ac:dyDescent="0.25">
      <c r="D20" t="s">
        <v>535</v>
      </c>
    </row>
    <row r="24" spans="1:22" x14ac:dyDescent="0.25">
      <c r="A24" s="81" t="s">
        <v>84</v>
      </c>
      <c r="B24" s="81" t="s">
        <v>85</v>
      </c>
      <c r="C24" s="82" t="s">
        <v>518</v>
      </c>
      <c r="D24" s="83" t="s">
        <v>87</v>
      </c>
      <c r="E24" s="81" t="s">
        <v>88</v>
      </c>
      <c r="F24" s="81" t="s">
        <v>90</v>
      </c>
      <c r="G24" s="81" t="s">
        <v>91</v>
      </c>
      <c r="H24" s="81" t="s">
        <v>92</v>
      </c>
      <c r="I24" s="84" t="s">
        <v>519</v>
      </c>
      <c r="J24" s="84" t="s">
        <v>520</v>
      </c>
      <c r="K24" s="81" t="s">
        <v>103</v>
      </c>
      <c r="L24" s="81" t="s">
        <v>105</v>
      </c>
      <c r="M24" s="124" t="s">
        <v>521</v>
      </c>
      <c r="N24" s="124" t="s">
        <v>522</v>
      </c>
      <c r="O24" s="124" t="s">
        <v>523</v>
      </c>
      <c r="P24" s="124" t="s">
        <v>524</v>
      </c>
      <c r="Q24" s="124" t="s">
        <v>525</v>
      </c>
      <c r="R24" s="124" t="s">
        <v>526</v>
      </c>
      <c r="S24" s="124" t="s">
        <v>527</v>
      </c>
      <c r="T24" s="124" t="s">
        <v>528</v>
      </c>
      <c r="U24" s="124" t="s">
        <v>529</v>
      </c>
      <c r="V24" s="124" t="s">
        <v>530</v>
      </c>
    </row>
    <row r="28" spans="1:22" ht="19.5" x14ac:dyDescent="0.25">
      <c r="A28" s="507" t="s">
        <v>536</v>
      </c>
      <c r="B28" s="507"/>
      <c r="C28" s="507"/>
      <c r="D28" s="507"/>
    </row>
    <row r="29" spans="1:22" x14ac:dyDescent="0.25">
      <c r="A29" s="508" t="s">
        <v>537</v>
      </c>
      <c r="B29" s="509" t="s">
        <v>538</v>
      </c>
      <c r="C29" s="509" t="s">
        <v>539</v>
      </c>
      <c r="D29" s="509" t="s">
        <v>540</v>
      </c>
    </row>
    <row r="30" spans="1:22" x14ac:dyDescent="0.25">
      <c r="A30" s="508"/>
      <c r="B30" s="509"/>
      <c r="C30" s="509"/>
      <c r="D30" s="509"/>
    </row>
    <row r="31" spans="1:22" x14ac:dyDescent="0.25">
      <c r="A31" s="61" t="s">
        <v>538</v>
      </c>
      <c r="B31" s="62" t="s">
        <v>541</v>
      </c>
      <c r="C31" s="62" t="s">
        <v>542</v>
      </c>
      <c r="D31" s="62" t="s">
        <v>542</v>
      </c>
    </row>
    <row r="32" spans="1:22" x14ac:dyDescent="0.25">
      <c r="A32" s="208" t="s">
        <v>539</v>
      </c>
      <c r="B32" s="63" t="s">
        <v>543</v>
      </c>
      <c r="C32" s="63" t="s">
        <v>544</v>
      </c>
      <c r="D32" s="63" t="s">
        <v>542</v>
      </c>
    </row>
    <row r="33" spans="1:4" x14ac:dyDescent="0.25">
      <c r="A33" s="61" t="s">
        <v>540</v>
      </c>
      <c r="B33" s="62" t="s">
        <v>545</v>
      </c>
      <c r="C33" s="62" t="s">
        <v>546</v>
      </c>
      <c r="D33" s="62" t="s">
        <v>547</v>
      </c>
    </row>
    <row r="34" spans="1:4" x14ac:dyDescent="0.25">
      <c r="A34" s="208" t="s">
        <v>548</v>
      </c>
      <c r="B34" s="63" t="s">
        <v>549</v>
      </c>
      <c r="C34" s="63" t="s">
        <v>550</v>
      </c>
      <c r="D34" s="63" t="s">
        <v>551</v>
      </c>
    </row>
    <row r="35" spans="1:4" x14ac:dyDescent="0.25">
      <c r="A35" s="61" t="s">
        <v>552</v>
      </c>
      <c r="B35" s="62" t="s">
        <v>553</v>
      </c>
      <c r="C35" s="62" t="s">
        <v>554</v>
      </c>
      <c r="D35" s="62" t="s">
        <v>555</v>
      </c>
    </row>
    <row r="36" spans="1:4" x14ac:dyDescent="0.25">
      <c r="A36" s="208" t="s">
        <v>556</v>
      </c>
      <c r="B36" s="63" t="s">
        <v>557</v>
      </c>
      <c r="C36" s="63" t="s">
        <v>558</v>
      </c>
      <c r="D36" s="63" t="s">
        <v>559</v>
      </c>
    </row>
    <row r="37" spans="1:4" x14ac:dyDescent="0.25">
      <c r="A37" s="61" t="s">
        <v>560</v>
      </c>
      <c r="B37" s="62" t="s">
        <v>561</v>
      </c>
      <c r="C37" s="62" t="s">
        <v>562</v>
      </c>
      <c r="D37" s="62" t="s">
        <v>563</v>
      </c>
    </row>
    <row r="38" spans="1:4" x14ac:dyDescent="0.25">
      <c r="A38" s="208" t="s">
        <v>564</v>
      </c>
      <c r="B38" s="63" t="s">
        <v>565</v>
      </c>
      <c r="C38" s="63" t="s">
        <v>566</v>
      </c>
      <c r="D38" s="63" t="s">
        <v>567</v>
      </c>
    </row>
    <row r="39" spans="1:4" x14ac:dyDescent="0.25">
      <c r="A39" s="61" t="s">
        <v>568</v>
      </c>
      <c r="B39" s="62" t="s">
        <v>569</v>
      </c>
      <c r="C39" s="62" t="s">
        <v>570</v>
      </c>
      <c r="D39" s="62" t="s">
        <v>571</v>
      </c>
    </row>
    <row r="40" spans="1:4" x14ac:dyDescent="0.25">
      <c r="A40" s="208" t="s">
        <v>572</v>
      </c>
      <c r="B40" s="63" t="s">
        <v>573</v>
      </c>
      <c r="C40" s="63" t="s">
        <v>574</v>
      </c>
      <c r="D40" s="63" t="s">
        <v>575</v>
      </c>
    </row>
    <row r="41" spans="1:4" x14ac:dyDescent="0.25">
      <c r="A41" s="61" t="s">
        <v>576</v>
      </c>
      <c r="B41" s="62" t="s">
        <v>577</v>
      </c>
      <c r="C41" s="62" t="s">
        <v>578</v>
      </c>
      <c r="D41" s="62" t="s">
        <v>579</v>
      </c>
    </row>
    <row r="42" spans="1:4" x14ac:dyDescent="0.25">
      <c r="A42" s="208" t="s">
        <v>580</v>
      </c>
      <c r="B42" s="63" t="s">
        <v>581</v>
      </c>
      <c r="C42" s="63" t="s">
        <v>582</v>
      </c>
      <c r="D42" s="63" t="s">
        <v>583</v>
      </c>
    </row>
    <row r="43" spans="1:4" x14ac:dyDescent="0.25">
      <c r="A43" s="61" t="s">
        <v>584</v>
      </c>
      <c r="B43" s="62" t="s">
        <v>585</v>
      </c>
      <c r="C43" s="62" t="s">
        <v>586</v>
      </c>
      <c r="D43" s="62" t="s">
        <v>587</v>
      </c>
    </row>
    <row r="44" spans="1:4" x14ac:dyDescent="0.25">
      <c r="A44" s="208" t="s">
        <v>588</v>
      </c>
      <c r="B44" s="63" t="s">
        <v>589</v>
      </c>
      <c r="C44" s="63" t="s">
        <v>590</v>
      </c>
      <c r="D44" s="63" t="s">
        <v>591</v>
      </c>
    </row>
    <row r="45" spans="1:4" x14ac:dyDescent="0.25">
      <c r="A45" s="61" t="s">
        <v>592</v>
      </c>
      <c r="B45" s="62" t="s">
        <v>593</v>
      </c>
      <c r="C45" s="62" t="s">
        <v>594</v>
      </c>
      <c r="D45" s="62" t="s">
        <v>595</v>
      </c>
    </row>
  </sheetData>
  <mergeCells count="5">
    <mergeCell ref="A28:D28"/>
    <mergeCell ref="A29:A30"/>
    <mergeCell ref="B29:B30"/>
    <mergeCell ref="C29:C30"/>
    <mergeCell ref="D29:D30"/>
  </mergeCells>
  <conditionalFormatting sqref="M4:O4">
    <cfRule type="colorScale" priority="1">
      <colorScale>
        <cfvo type="min"/>
        <cfvo type="max"/>
        <color rgb="FFFFEF9C"/>
        <color rgb="FFFF7128"/>
      </colorScale>
    </cfRule>
  </conditionalFormatting>
  <conditionalFormatting sqref="C4">
    <cfRule type="colorScale" priority="2">
      <colorScale>
        <cfvo type="min"/>
        <cfvo type="max"/>
        <color rgb="FFFFEF9C"/>
        <color rgb="FF63BE7B"/>
      </colorScale>
    </cfRule>
  </conditionalFormatting>
  <conditionalFormatting sqref="L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{7B2E120E-95D3-A388-E0D2-EB58677BD115}</x14:id>
        </ext>
      </extLst>
    </cfRule>
  </conditionalFormatting>
  <conditionalFormatting sqref="K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{0FAB6D97-9738-449C-FA91-E947F0398647}</x14:id>
        </ext>
      </extLst>
    </cfRule>
  </conditionalFormatting>
  <conditionalFormatting sqref="C2">
    <cfRule type="colorScale" priority="5">
      <colorScale>
        <cfvo type="min"/>
        <cfvo type="max"/>
        <color rgb="FFFFEF9C"/>
        <color rgb="FF63BE7B"/>
      </colorScale>
    </cfRule>
  </conditionalFormatting>
  <conditionalFormatting sqref="L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{64548BBD-AC24-B4C1-E251-9C30C2874967}</x14:id>
        </ext>
      </extLst>
    </cfRule>
  </conditionalFormatting>
  <conditionalFormatting sqref="K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{259CDE62-511F-AFB7-8EC9-D01462A2A56D}</x14:id>
        </ext>
      </extLst>
    </cfRule>
  </conditionalFormatting>
  <conditionalFormatting sqref="M2:O2">
    <cfRule type="colorScale" priority="8">
      <colorScale>
        <cfvo type="min"/>
        <cfvo type="max"/>
        <color rgb="FFFFEF9C"/>
        <color rgb="FFFF7128"/>
      </colorScale>
    </cfRule>
  </conditionalFormatting>
  <conditionalFormatting sqref="L1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{1F4114F6-32BC-2D65-6C6C-1F291CD95F4B}</x14:id>
        </ext>
      </extLst>
    </cfRule>
  </conditionalFormatting>
  <conditionalFormatting sqref="K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{77E5CBD7-FEE0-E887-C615-D95CD96F3F4B}</x14:id>
        </ext>
      </extLst>
    </cfRule>
  </conditionalFormatting>
  <conditionalFormatting sqref="M13:O13">
    <cfRule type="colorScale" priority="1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2E120E-95D3-A388-E0D2-EB58677BD115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0FAB6D97-9738-449C-FA91-E947F039864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64548BBD-AC24-B4C1-E251-9C30C287496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259CDE62-511F-AFB7-8EC9-D01462A2A56D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1F4114F6-32BC-2D65-6C6C-1F291CD95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77E5CBD7-FEE0-E887-C615-D95CD96F3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K13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ABF8F"/>
  </sheetPr>
  <dimension ref="A1:BA33"/>
  <sheetViews>
    <sheetView workbookViewId="0">
      <pane xSplit="6" ySplit="3" topLeftCell="R4" activePane="bottomRight" state="frozen"/>
      <selection pane="topRight"/>
      <selection pane="bottomLeft"/>
      <selection pane="bottomRight" activeCell="AM12" sqref="AM12"/>
    </sheetView>
  </sheetViews>
  <sheetFormatPr baseColWidth="10" defaultColWidth="11.42578125" defaultRowHeight="15" x14ac:dyDescent="0.25"/>
  <cols>
    <col min="1" max="1" width="4.7109375" customWidth="1"/>
    <col min="2" max="2" width="5.140625" customWidth="1"/>
    <col min="3" max="3" width="15.140625" style="53" customWidth="1"/>
    <col min="4" max="4" width="5.5703125" customWidth="1"/>
    <col min="5" max="5" width="5" customWidth="1"/>
    <col min="6" max="6" width="4.5703125" style="58" customWidth="1"/>
    <col min="7" max="7" width="3.7109375" style="4" customWidth="1"/>
    <col min="8" max="8" width="4.5703125" customWidth="1"/>
    <col min="9" max="9" width="6.140625" style="47" customWidth="1"/>
    <col min="10" max="13" width="6.140625" customWidth="1"/>
    <col min="14" max="14" width="5" customWidth="1"/>
    <col min="15" max="15" width="6.140625" customWidth="1"/>
    <col min="16" max="16" width="5.5703125" style="58" customWidth="1"/>
    <col min="17" max="17" width="5" style="58" customWidth="1"/>
    <col min="18" max="18" width="4.42578125" style="58" customWidth="1"/>
    <col min="19" max="25" width="5.5703125" style="58" customWidth="1"/>
    <col min="26" max="27" width="4.5703125" customWidth="1"/>
    <col min="28" max="28" width="5.5703125" customWidth="1"/>
    <col min="29" max="32" width="4.5703125" customWidth="1"/>
    <col min="33" max="33" width="3.7109375" customWidth="1"/>
    <col min="34" max="34" width="6.140625" customWidth="1"/>
    <col min="35" max="35" width="15.140625" customWidth="1"/>
    <col min="36" max="37" width="7.85546875" customWidth="1"/>
    <col min="38" max="38" width="7.7109375" customWidth="1"/>
    <col min="39" max="39" width="7.140625" customWidth="1"/>
    <col min="40" max="41" width="6.5703125" customWidth="1"/>
    <col min="42" max="42" width="6.42578125" customWidth="1"/>
    <col min="43" max="44" width="5.85546875" customWidth="1"/>
    <col min="45" max="45" width="5.5703125" customWidth="1"/>
    <col min="46" max="46" width="4.5703125" customWidth="1"/>
    <col min="47" max="47" width="5.5703125" customWidth="1"/>
    <col min="48" max="48" width="11" customWidth="1"/>
    <col min="49" max="49" width="5.85546875" customWidth="1"/>
    <col min="50" max="50" width="12.42578125" customWidth="1"/>
    <col min="51" max="51" width="15.140625" customWidth="1"/>
    <col min="52" max="53" width="9.5703125" customWidth="1"/>
  </cols>
  <sheetData>
    <row r="1" spans="1:53" ht="18.75" x14ac:dyDescent="0.3">
      <c r="P1"/>
      <c r="Q1"/>
      <c r="AH1" s="510" t="s">
        <v>596</v>
      </c>
      <c r="AI1" s="510"/>
      <c r="AJ1" s="510"/>
      <c r="AK1" s="510"/>
      <c r="AL1" s="510"/>
      <c r="AM1" s="510"/>
      <c r="AN1" s="510"/>
      <c r="AO1" s="510"/>
      <c r="AP1" s="510"/>
      <c r="AQ1" s="510"/>
      <c r="AR1" s="510"/>
      <c r="AS1" s="510"/>
      <c r="AT1" s="510"/>
      <c r="AV1" s="136" t="s">
        <v>488</v>
      </c>
      <c r="AW1" s="136" t="s">
        <v>489</v>
      </c>
      <c r="AX1" s="136" t="s">
        <v>597</v>
      </c>
      <c r="AY1" s="137" t="s">
        <v>598</v>
      </c>
      <c r="AZ1" s="58" t="s">
        <v>599</v>
      </c>
      <c r="BA1" s="58" t="s">
        <v>600</v>
      </c>
    </row>
    <row r="2" spans="1:53" s="66" customFormat="1" ht="18.75" x14ac:dyDescent="0.3">
      <c r="C2" s="100">
        <f ca="1">TODAY()</f>
        <v>44039</v>
      </c>
      <c r="D2" s="475">
        <v>41471</v>
      </c>
      <c r="E2" s="475"/>
      <c r="F2" s="475"/>
      <c r="G2" s="67"/>
      <c r="H2" s="67"/>
      <c r="I2" s="89"/>
      <c r="J2" s="67"/>
      <c r="K2" s="67"/>
      <c r="L2" s="67"/>
      <c r="M2" s="67"/>
      <c r="N2" s="67"/>
      <c r="O2" s="67"/>
      <c r="P2" s="119"/>
      <c r="Q2" s="73"/>
      <c r="R2" s="73"/>
      <c r="S2" s="73">
        <v>0</v>
      </c>
      <c r="T2" s="73">
        <v>0</v>
      </c>
      <c r="U2" s="73">
        <v>40</v>
      </c>
      <c r="V2" s="73">
        <v>0</v>
      </c>
      <c r="W2" s="73">
        <v>0</v>
      </c>
      <c r="X2" s="73">
        <v>17</v>
      </c>
      <c r="Y2" s="73">
        <v>0</v>
      </c>
      <c r="AJ2" s="134">
        <f>SUM(AJ4:AJ14)*$AY$3</f>
        <v>0</v>
      </c>
      <c r="AK2" s="134">
        <f>SUM(AK4:AK14)*$AY$3</f>
        <v>0</v>
      </c>
      <c r="AL2" s="134">
        <f>SUM(AL4:AL14)*$AY$2</f>
        <v>0</v>
      </c>
      <c r="AM2" s="134">
        <f>SUM(AM4:AM14)*$AY$4</f>
        <v>4.3637500000000005</v>
      </c>
      <c r="AN2" s="134" t="e">
        <f>SUM(AN4:AN14)*$AY$5</f>
        <v>#REF!</v>
      </c>
      <c r="AO2" s="134" t="e">
        <f>SUM(AO4:AO14)*$AY$5</f>
        <v>#REF!</v>
      </c>
      <c r="AP2" s="134" t="e">
        <f>SUM(AP4:AP14)*$AY$6</f>
        <v>#REF!</v>
      </c>
      <c r="AQ2" s="135" t="e">
        <f>SUM(AQ4:AQ14)</f>
        <v>#REF!</v>
      </c>
      <c r="AR2" s="135" t="e">
        <f>SUM(AR4:AR14)</f>
        <v>#REF!</v>
      </c>
      <c r="AS2" s="135">
        <f>SUM(AS4:AS14)</f>
        <v>7.8562499999999993</v>
      </c>
      <c r="AT2" s="135">
        <f>SUM(AT4:AT14)</f>
        <v>0</v>
      </c>
      <c r="AV2" s="70" t="s">
        <v>490</v>
      </c>
      <c r="AW2" s="138">
        <v>1</v>
      </c>
      <c r="AX2" s="139">
        <v>0.624</v>
      </c>
      <c r="AY2" s="140">
        <v>0.24500000000000002</v>
      </c>
      <c r="AZ2" s="97">
        <f>AY2*10</f>
        <v>2.4500000000000002</v>
      </c>
      <c r="BA2" s="97">
        <f>AY2*15</f>
        <v>3.6750000000000003</v>
      </c>
    </row>
    <row r="3" spans="1:53" ht="18.75" x14ac:dyDescent="0.3">
      <c r="A3" s="81" t="s">
        <v>84</v>
      </c>
      <c r="B3" s="81" t="s">
        <v>85</v>
      </c>
      <c r="C3" s="83" t="s">
        <v>87</v>
      </c>
      <c r="D3" s="81" t="s">
        <v>88</v>
      </c>
      <c r="E3" s="81" t="s">
        <v>89</v>
      </c>
      <c r="F3" s="81" t="s">
        <v>90</v>
      </c>
      <c r="G3" s="81" t="s">
        <v>91</v>
      </c>
      <c r="H3" s="81" t="s">
        <v>92</v>
      </c>
      <c r="I3" s="81" t="s">
        <v>107</v>
      </c>
      <c r="J3" s="81" t="s">
        <v>108</v>
      </c>
      <c r="K3" s="81" t="s">
        <v>109</v>
      </c>
      <c r="L3" s="81" t="s">
        <v>110</v>
      </c>
      <c r="M3" s="81" t="s">
        <v>111</v>
      </c>
      <c r="N3" s="81" t="s">
        <v>112</v>
      </c>
      <c r="O3" s="81" t="s">
        <v>90</v>
      </c>
      <c r="P3" s="121" t="s">
        <v>88</v>
      </c>
      <c r="Q3" s="121" t="s">
        <v>89</v>
      </c>
      <c r="R3" s="120" t="s">
        <v>92</v>
      </c>
      <c r="S3" s="120" t="s">
        <v>107</v>
      </c>
      <c r="T3" s="120" t="s">
        <v>108</v>
      </c>
      <c r="U3" s="120" t="s">
        <v>109</v>
      </c>
      <c r="V3" s="120" t="s">
        <v>110</v>
      </c>
      <c r="W3" s="120" t="s">
        <v>111</v>
      </c>
      <c r="X3" s="120" t="s">
        <v>112</v>
      </c>
      <c r="Y3" s="120" t="s">
        <v>90</v>
      </c>
      <c r="Z3" s="120" t="s">
        <v>107</v>
      </c>
      <c r="AA3" s="120" t="s">
        <v>108</v>
      </c>
      <c r="AB3" s="120" t="s">
        <v>109</v>
      </c>
      <c r="AC3" s="120" t="s">
        <v>110</v>
      </c>
      <c r="AD3" s="120" t="s">
        <v>111</v>
      </c>
      <c r="AE3" s="120" t="s">
        <v>112</v>
      </c>
      <c r="AF3" s="120" t="s">
        <v>90</v>
      </c>
      <c r="AH3" s="511">
        <v>451</v>
      </c>
      <c r="AI3" s="512"/>
      <c r="AJ3" s="95" t="s">
        <v>601</v>
      </c>
      <c r="AK3" s="95" t="s">
        <v>602</v>
      </c>
      <c r="AL3" s="95" t="s">
        <v>603</v>
      </c>
      <c r="AM3" s="95" t="s">
        <v>604</v>
      </c>
      <c r="AN3" s="95" t="s">
        <v>605</v>
      </c>
      <c r="AO3" s="95" t="s">
        <v>606</v>
      </c>
      <c r="AP3" s="95" t="s">
        <v>607</v>
      </c>
      <c r="AQ3" s="95" t="s">
        <v>608</v>
      </c>
      <c r="AR3" s="95" t="s">
        <v>609</v>
      </c>
      <c r="AS3" s="95" t="s">
        <v>481</v>
      </c>
      <c r="AT3" s="95" t="s">
        <v>104</v>
      </c>
      <c r="AV3" s="70" t="s">
        <v>491</v>
      </c>
      <c r="AW3" s="138">
        <v>1</v>
      </c>
      <c r="AX3" s="139">
        <v>1.002</v>
      </c>
      <c r="AY3" s="140">
        <v>0.34000000000000008</v>
      </c>
      <c r="AZ3" s="97">
        <f>AY3*10</f>
        <v>3.4000000000000008</v>
      </c>
      <c r="BA3" s="97">
        <f>AY3*15</f>
        <v>5.1000000000000014</v>
      </c>
    </row>
    <row r="4" spans="1:53" s="66" customFormat="1" ht="18.75" x14ac:dyDescent="0.3">
      <c r="A4" s="5" t="str">
        <f>Plantilla!A4</f>
        <v>#30</v>
      </c>
      <c r="B4" s="5" t="str">
        <f>Plantilla!B4</f>
        <v>POR</v>
      </c>
      <c r="C4" s="77" t="str">
        <f>Plantilla!D4</f>
        <v>D. Gehmacher</v>
      </c>
      <c r="D4" s="55">
        <f>Plantilla!E4</f>
        <v>38</v>
      </c>
      <c r="E4" s="56">
        <f ca="1">Plantilla!F4</f>
        <v>65</v>
      </c>
      <c r="F4" s="71"/>
      <c r="G4" s="246">
        <f>Plantilla!H4</f>
        <v>6</v>
      </c>
      <c r="H4" s="57">
        <f>Plantilla!I4</f>
        <v>25.5</v>
      </c>
      <c r="I4" s="143">
        <f>Plantilla!X4</f>
        <v>14.95</v>
      </c>
      <c r="J4" s="143">
        <f>Plantilla!Y4</f>
        <v>8.9499999999999993</v>
      </c>
      <c r="K4" s="143">
        <f>Plantilla!Z4</f>
        <v>0.95</v>
      </c>
      <c r="L4" s="143">
        <f>Plantilla!AA4</f>
        <v>0</v>
      </c>
      <c r="M4" s="143">
        <f>Plantilla!AB4</f>
        <v>0</v>
      </c>
      <c r="N4" s="143">
        <f>Plantilla!AC4</f>
        <v>0</v>
      </c>
      <c r="O4" s="143">
        <f>Plantilla!AD4</f>
        <v>17.95</v>
      </c>
      <c r="P4" s="70">
        <f t="shared" ref="P4:P27" si="0">D4</f>
        <v>38</v>
      </c>
      <c r="Q4" s="122">
        <f t="shared" ref="Q4:Q27" ca="1" si="1">E4+7</f>
        <v>72</v>
      </c>
      <c r="R4" s="79">
        <f t="shared" ref="R4:R27" si="2">H4+$R$2</f>
        <v>25.5</v>
      </c>
      <c r="S4" s="158">
        <f t="shared" ref="S4:S12" si="3">I4</f>
        <v>14.95</v>
      </c>
      <c r="T4" s="158">
        <f t="shared" ref="T4:T12" si="4">J4</f>
        <v>8.9499999999999993</v>
      </c>
      <c r="U4" s="158">
        <f t="shared" ref="U4:U12" si="5">K4</f>
        <v>0.95</v>
      </c>
      <c r="V4" s="158">
        <f t="shared" ref="V4:V12" si="6">L4</f>
        <v>0</v>
      </c>
      <c r="W4" s="158">
        <f t="shared" ref="W4:W12" si="7">M4</f>
        <v>0</v>
      </c>
      <c r="X4" s="158">
        <f t="shared" ref="X4:X12" si="8">N4</f>
        <v>0</v>
      </c>
      <c r="Y4" s="158">
        <f t="shared" ref="Y4:Y12" si="9">O4</f>
        <v>17.95</v>
      </c>
      <c r="Z4" s="127">
        <f t="shared" ref="Z4:Z27" si="10">S4-I4</f>
        <v>0</v>
      </c>
      <c r="AA4" s="127">
        <f t="shared" ref="AA4:AA27" si="11">T4-J4</f>
        <v>0</v>
      </c>
      <c r="AB4" s="127">
        <f t="shared" ref="AB4:AB27" si="12">U4-K4</f>
        <v>0</v>
      </c>
      <c r="AC4" s="127">
        <f t="shared" ref="AC4:AC27" si="13">V4-L4</f>
        <v>0</v>
      </c>
      <c r="AD4" s="127">
        <f t="shared" ref="AD4:AD27" si="14">W4-M4</f>
        <v>0</v>
      </c>
      <c r="AE4" s="127">
        <f t="shared" ref="AE4:AE27" si="15">X4-N4</f>
        <v>0</v>
      </c>
      <c r="AF4" s="127">
        <f t="shared" ref="AF4:AF27" si="16">Y4-O4</f>
        <v>0</v>
      </c>
      <c r="AH4" s="128" t="s">
        <v>14</v>
      </c>
      <c r="AI4" s="86"/>
      <c r="AJ4" s="130">
        <v>0</v>
      </c>
      <c r="AK4" s="130">
        <v>0</v>
      </c>
      <c r="AL4" s="130">
        <v>0</v>
      </c>
      <c r="AM4" s="130">
        <v>0</v>
      </c>
      <c r="AN4" s="130">
        <v>0</v>
      </c>
      <c r="AO4" s="130">
        <v>0</v>
      </c>
      <c r="AP4" s="130">
        <v>0</v>
      </c>
      <c r="AQ4" s="180">
        <v>0</v>
      </c>
      <c r="AR4" s="180">
        <f>0.08*Z4+0.1*AF4</f>
        <v>0</v>
      </c>
      <c r="AS4" s="132">
        <v>0</v>
      </c>
      <c r="AT4" s="132">
        <v>0</v>
      </c>
      <c r="AV4" s="70" t="s">
        <v>492</v>
      </c>
      <c r="AW4" s="138">
        <v>1</v>
      </c>
      <c r="AX4" s="139">
        <v>0.46800000000000008</v>
      </c>
      <c r="AY4" s="140">
        <v>0.125</v>
      </c>
      <c r="AZ4" s="97">
        <f>AY4*10</f>
        <v>1.25</v>
      </c>
      <c r="BA4" s="97">
        <f>AY4*15</f>
        <v>1.875</v>
      </c>
    </row>
    <row r="5" spans="1:53" s="66" customFormat="1" ht="18.75" x14ac:dyDescent="0.3">
      <c r="A5" s="5" t="str">
        <f>Plantilla!A5</f>
        <v>#1</v>
      </c>
      <c r="B5" s="5" t="str">
        <f>Plantilla!B5</f>
        <v>POR</v>
      </c>
      <c r="C5" s="77" t="str">
        <f>Plantilla!D5</f>
        <v>林 (Lin) 光维 (Guangwei)</v>
      </c>
      <c r="D5" s="55">
        <f>Plantilla!E5</f>
        <v>22</v>
      </c>
      <c r="E5" s="56">
        <f ca="1">Plantilla!F5</f>
        <v>104</v>
      </c>
      <c r="F5" s="71" t="str">
        <f>Plantilla!G5</f>
        <v>IMP</v>
      </c>
      <c r="G5" s="246">
        <f>Plantilla!H5</f>
        <v>0</v>
      </c>
      <c r="H5" s="57">
        <f>Plantilla!I5</f>
        <v>3.5</v>
      </c>
      <c r="I5" s="143">
        <f>Plantilla!X5</f>
        <v>15</v>
      </c>
      <c r="J5" s="143">
        <f>Plantilla!Y5</f>
        <v>5</v>
      </c>
      <c r="K5" s="143">
        <f>Plantilla!Z5</f>
        <v>2</v>
      </c>
      <c r="L5" s="143">
        <f>Plantilla!AA5</f>
        <v>1</v>
      </c>
      <c r="M5" s="143">
        <f>Plantilla!AB5</f>
        <v>5</v>
      </c>
      <c r="N5" s="143">
        <f>Plantilla!AC5</f>
        <v>3</v>
      </c>
      <c r="O5" s="143">
        <f>Plantilla!AD5</f>
        <v>19.25</v>
      </c>
      <c r="P5" s="70">
        <f t="shared" si="0"/>
        <v>22</v>
      </c>
      <c r="Q5" s="122">
        <f t="shared" ca="1" si="1"/>
        <v>111</v>
      </c>
      <c r="R5" s="79">
        <f t="shared" si="2"/>
        <v>3.5</v>
      </c>
      <c r="S5" s="158">
        <f t="shared" si="3"/>
        <v>15</v>
      </c>
      <c r="T5" s="158">
        <f t="shared" si="4"/>
        <v>5</v>
      </c>
      <c r="U5" s="158">
        <f t="shared" si="5"/>
        <v>2</v>
      </c>
      <c r="V5" s="158">
        <f t="shared" si="6"/>
        <v>1</v>
      </c>
      <c r="W5" s="158">
        <f t="shared" si="7"/>
        <v>5</v>
      </c>
      <c r="X5" s="158">
        <f t="shared" si="8"/>
        <v>3</v>
      </c>
      <c r="Y5" s="158">
        <f t="shared" si="9"/>
        <v>19.25</v>
      </c>
      <c r="Z5" s="127">
        <f t="shared" si="10"/>
        <v>0</v>
      </c>
      <c r="AA5" s="127">
        <f t="shared" si="11"/>
        <v>0</v>
      </c>
      <c r="AB5" s="127">
        <f t="shared" si="12"/>
        <v>0</v>
      </c>
      <c r="AC5" s="127">
        <f t="shared" si="13"/>
        <v>0</v>
      </c>
      <c r="AD5" s="127">
        <f t="shared" si="14"/>
        <v>0</v>
      </c>
      <c r="AE5" s="127">
        <f t="shared" si="15"/>
        <v>0</v>
      </c>
      <c r="AF5" s="127">
        <f t="shared" si="16"/>
        <v>0</v>
      </c>
      <c r="AH5" s="128" t="s">
        <v>197</v>
      </c>
      <c r="AI5" s="86"/>
      <c r="AJ5" s="130">
        <v>0</v>
      </c>
      <c r="AK5" s="130">
        <v>0</v>
      </c>
      <c r="AL5" s="130">
        <v>0</v>
      </c>
      <c r="AM5" s="130">
        <v>0</v>
      </c>
      <c r="AN5" s="130">
        <f>AC19*0.588</f>
        <v>0</v>
      </c>
      <c r="AO5" s="130">
        <v>0</v>
      </c>
      <c r="AP5" s="130">
        <v>0</v>
      </c>
      <c r="AQ5" s="132">
        <f>(0.5*AE19+0.3*AF19)/10</f>
        <v>0.14166666666666669</v>
      </c>
      <c r="AR5" s="132">
        <f>(0.4*AA19+0.3*AF19)/10</f>
        <v>0</v>
      </c>
      <c r="AS5" s="132">
        <f>((T19+1)+(W19+1)*2)/8</f>
        <v>3</v>
      </c>
      <c r="AT5" s="132">
        <f>((AA19)+(AD19)*2)/8</f>
        <v>0</v>
      </c>
      <c r="AV5" s="70" t="s">
        <v>493</v>
      </c>
      <c r="AW5" s="138">
        <v>1</v>
      </c>
      <c r="AX5" s="139">
        <v>0.877</v>
      </c>
      <c r="AY5" s="140">
        <v>0.25</v>
      </c>
      <c r="AZ5" s="97">
        <f>AY5*10</f>
        <v>2.5</v>
      </c>
      <c r="BA5" s="97">
        <f>AY5*15</f>
        <v>3.75</v>
      </c>
    </row>
    <row r="6" spans="1:53" ht="18.75" x14ac:dyDescent="0.3">
      <c r="A6" s="5" t="str">
        <f>Plantilla!A10</f>
        <v>#2</v>
      </c>
      <c r="B6" s="5" t="str">
        <f>Plantilla!B10</f>
        <v>DEF</v>
      </c>
      <c r="C6" s="77" t="str">
        <f>Plantilla!D10</f>
        <v>S. Swärdborn</v>
      </c>
      <c r="D6" s="55">
        <f>Plantilla!E10</f>
        <v>22</v>
      </c>
      <c r="E6" s="56">
        <f ca="1">Plantilla!F10</f>
        <v>21</v>
      </c>
      <c r="F6" s="71"/>
      <c r="G6" s="246">
        <f>Plantilla!H10</f>
        <v>2</v>
      </c>
      <c r="H6" s="57">
        <f>Plantilla!I10</f>
        <v>4.7</v>
      </c>
      <c r="I6" s="143">
        <f>Plantilla!X10</f>
        <v>0</v>
      </c>
      <c r="J6" s="143">
        <f>Plantilla!Y10</f>
        <v>12</v>
      </c>
      <c r="K6" s="143">
        <f>Plantilla!Z10</f>
        <v>7</v>
      </c>
      <c r="L6" s="143">
        <f>Plantilla!AA10</f>
        <v>1</v>
      </c>
      <c r="M6" s="143">
        <f>Plantilla!AB10</f>
        <v>3</v>
      </c>
      <c r="N6" s="143">
        <f>Plantilla!AC10</f>
        <v>6</v>
      </c>
      <c r="O6" s="143">
        <f>Plantilla!AD10</f>
        <v>15.333333333333334</v>
      </c>
      <c r="P6" s="70">
        <f t="shared" si="0"/>
        <v>22</v>
      </c>
      <c r="Q6" s="122">
        <f t="shared" ca="1" si="1"/>
        <v>28</v>
      </c>
      <c r="R6" s="79">
        <f t="shared" si="2"/>
        <v>4.7</v>
      </c>
      <c r="S6" s="158">
        <f t="shared" si="3"/>
        <v>0</v>
      </c>
      <c r="T6" s="158">
        <f t="shared" si="4"/>
        <v>12</v>
      </c>
      <c r="U6" s="158">
        <f t="shared" si="5"/>
        <v>7</v>
      </c>
      <c r="V6" s="158">
        <f t="shared" si="6"/>
        <v>1</v>
      </c>
      <c r="W6" s="158">
        <f t="shared" si="7"/>
        <v>3</v>
      </c>
      <c r="X6" s="158">
        <f t="shared" si="8"/>
        <v>6</v>
      </c>
      <c r="Y6" s="158">
        <f t="shared" si="9"/>
        <v>15.333333333333334</v>
      </c>
      <c r="Z6" s="127">
        <f t="shared" si="10"/>
        <v>0</v>
      </c>
      <c r="AA6" s="127">
        <f t="shared" si="11"/>
        <v>0</v>
      </c>
      <c r="AB6" s="127">
        <f t="shared" si="12"/>
        <v>0</v>
      </c>
      <c r="AC6" s="127">
        <f t="shared" si="13"/>
        <v>0</v>
      </c>
      <c r="AD6" s="127">
        <f t="shared" si="14"/>
        <v>0</v>
      </c>
      <c r="AE6" s="127">
        <f t="shared" si="15"/>
        <v>0</v>
      </c>
      <c r="AF6" s="127">
        <f t="shared" si="16"/>
        <v>0</v>
      </c>
      <c r="AH6" s="129" t="s">
        <v>610</v>
      </c>
      <c r="AI6" s="86"/>
      <c r="AJ6" s="130">
        <v>0</v>
      </c>
      <c r="AK6" s="130">
        <v>0</v>
      </c>
      <c r="AL6" s="130">
        <v>0</v>
      </c>
      <c r="AM6" s="131">
        <v>0</v>
      </c>
      <c r="AN6" s="131">
        <v>0</v>
      </c>
      <c r="AO6" s="131">
        <v>0</v>
      </c>
      <c r="AP6" s="131">
        <v>0</v>
      </c>
      <c r="AQ6" s="133">
        <f>(0.5*AE15+0.3*AF15)/10</f>
        <v>0.17</v>
      </c>
      <c r="AR6" s="133">
        <f>(0.4*AA15+0.3*AF15)/10</f>
        <v>0</v>
      </c>
      <c r="AS6" s="132">
        <f>((T15+1)+(W15+1)*2)/8</f>
        <v>1.375</v>
      </c>
      <c r="AT6" s="132">
        <f>((AA15)+(AD15)*2)/8</f>
        <v>0</v>
      </c>
      <c r="AV6" s="70" t="s">
        <v>494</v>
      </c>
      <c r="AW6" s="138">
        <v>1</v>
      </c>
      <c r="AX6" s="139">
        <v>0.59299999999999997</v>
      </c>
      <c r="AY6" s="140">
        <v>0.19</v>
      </c>
      <c r="AZ6" s="97">
        <f>AY6*10</f>
        <v>1.9</v>
      </c>
      <c r="BA6" s="97">
        <f>AY6*15</f>
        <v>2.85</v>
      </c>
    </row>
    <row r="7" spans="1:53" x14ac:dyDescent="0.25">
      <c r="A7" s="5" t="e">
        <f>#REF!</f>
        <v>#REF!</v>
      </c>
      <c r="B7" s="5" t="e">
        <f>#REF!</f>
        <v>#REF!</v>
      </c>
      <c r="C7" s="77" t="e">
        <f>#REF!</f>
        <v>#REF!</v>
      </c>
      <c r="D7" s="55" t="e">
        <f>#REF!</f>
        <v>#REF!</v>
      </c>
      <c r="E7" s="56" t="e">
        <f>#REF!</f>
        <v>#REF!</v>
      </c>
      <c r="F7" s="71"/>
      <c r="G7" s="246" t="e">
        <f>#REF!</f>
        <v>#REF!</v>
      </c>
      <c r="H7" s="57" t="e">
        <f>#REF!</f>
        <v>#REF!</v>
      </c>
      <c r="I7" s="143" t="e">
        <f>#REF!</f>
        <v>#REF!</v>
      </c>
      <c r="J7" s="143" t="e">
        <f>#REF!</f>
        <v>#REF!</v>
      </c>
      <c r="K7" s="143" t="e">
        <f>#REF!</f>
        <v>#REF!</v>
      </c>
      <c r="L7" s="143" t="e">
        <f>#REF!</f>
        <v>#REF!</v>
      </c>
      <c r="M7" s="143" t="e">
        <f>#REF!</f>
        <v>#REF!</v>
      </c>
      <c r="N7" s="143" t="e">
        <f>#REF!</f>
        <v>#REF!</v>
      </c>
      <c r="O7" s="143" t="e">
        <f>#REF!</f>
        <v>#REF!</v>
      </c>
      <c r="P7" s="70" t="e">
        <f t="shared" si="0"/>
        <v>#REF!</v>
      </c>
      <c r="Q7" s="122" t="e">
        <f t="shared" si="1"/>
        <v>#REF!</v>
      </c>
      <c r="R7" s="79" t="e">
        <f t="shared" si="2"/>
        <v>#REF!</v>
      </c>
      <c r="S7" s="158" t="e">
        <f t="shared" si="3"/>
        <v>#REF!</v>
      </c>
      <c r="T7" s="158" t="e">
        <f t="shared" si="4"/>
        <v>#REF!</v>
      </c>
      <c r="U7" s="158" t="e">
        <f t="shared" si="5"/>
        <v>#REF!</v>
      </c>
      <c r="V7" s="158" t="e">
        <f t="shared" si="6"/>
        <v>#REF!</v>
      </c>
      <c r="W7" s="158" t="e">
        <f t="shared" si="7"/>
        <v>#REF!</v>
      </c>
      <c r="X7" s="158" t="e">
        <f t="shared" si="8"/>
        <v>#REF!</v>
      </c>
      <c r="Y7" s="158" t="e">
        <f t="shared" si="9"/>
        <v>#REF!</v>
      </c>
      <c r="Z7" s="127" t="e">
        <f t="shared" si="10"/>
        <v>#REF!</v>
      </c>
      <c r="AA7" s="127" t="e">
        <f t="shared" si="11"/>
        <v>#REF!</v>
      </c>
      <c r="AB7" s="127" t="e">
        <f t="shared" si="12"/>
        <v>#REF!</v>
      </c>
      <c r="AC7" s="127" t="e">
        <f t="shared" si="13"/>
        <v>#REF!</v>
      </c>
      <c r="AD7" s="127" t="e">
        <f t="shared" si="14"/>
        <v>#REF!</v>
      </c>
      <c r="AE7" s="127" t="e">
        <f t="shared" si="15"/>
        <v>#REF!</v>
      </c>
      <c r="AF7" s="127" t="e">
        <f t="shared" si="16"/>
        <v>#REF!</v>
      </c>
      <c r="AH7" s="129" t="s">
        <v>610</v>
      </c>
      <c r="AI7" s="86"/>
      <c r="AJ7" s="130">
        <v>0</v>
      </c>
      <c r="AK7" s="130">
        <v>0</v>
      </c>
      <c r="AL7" s="130">
        <v>0</v>
      </c>
      <c r="AM7" s="131">
        <v>0</v>
      </c>
      <c r="AN7" s="131">
        <v>0</v>
      </c>
      <c r="AO7" s="131">
        <f>AC8*0.588</f>
        <v>0</v>
      </c>
      <c r="AP7" s="131">
        <v>0</v>
      </c>
      <c r="AQ7" s="133">
        <f>(0.5*AE8+0.3*AF8)/10</f>
        <v>0</v>
      </c>
      <c r="AR7" s="133">
        <f>(0.4*AA8+0.3*AF8)/10</f>
        <v>0</v>
      </c>
      <c r="AS7" s="132">
        <f>((T8+1)+(W8+1)*2)/8</f>
        <v>3.4812499999999993</v>
      </c>
      <c r="AT7" s="132">
        <f>((AA8)+(AD8)*2)/8</f>
        <v>0</v>
      </c>
    </row>
    <row r="8" spans="1:53" s="1" customFormat="1" x14ac:dyDescent="0.25">
      <c r="A8" s="5" t="str">
        <f>Plantilla!A7</f>
        <v>#36</v>
      </c>
      <c r="B8" s="5" t="str">
        <f>Plantilla!B7</f>
        <v>DEF</v>
      </c>
      <c r="C8" s="77" t="str">
        <f>Plantilla!D7</f>
        <v>F. Lasprilla</v>
      </c>
      <c r="D8" s="55">
        <f>Plantilla!E7</f>
        <v>35</v>
      </c>
      <c r="E8" s="56">
        <f ca="1">Plantilla!F7</f>
        <v>84</v>
      </c>
      <c r="F8" s="71"/>
      <c r="G8" s="246">
        <f>Plantilla!H7</f>
        <v>4</v>
      </c>
      <c r="H8" s="57">
        <f>Plantilla!I7</f>
        <v>7.1</v>
      </c>
      <c r="I8" s="143">
        <f>Plantilla!X7</f>
        <v>0</v>
      </c>
      <c r="J8" s="143">
        <f>Plantilla!Y7</f>
        <v>8.9499999999999975</v>
      </c>
      <c r="K8" s="143">
        <f>Plantilla!Z7</f>
        <v>7.95</v>
      </c>
      <c r="L8" s="143">
        <f>Plantilla!AA7</f>
        <v>4.95</v>
      </c>
      <c r="M8" s="143">
        <f>Plantilla!AB7</f>
        <v>7.95</v>
      </c>
      <c r="N8" s="143">
        <f>Plantilla!AC7</f>
        <v>0.95</v>
      </c>
      <c r="O8" s="143">
        <f>Plantilla!AD7</f>
        <v>14</v>
      </c>
      <c r="P8" s="70">
        <f t="shared" si="0"/>
        <v>35</v>
      </c>
      <c r="Q8" s="122">
        <f t="shared" ca="1" si="1"/>
        <v>91</v>
      </c>
      <c r="R8" s="79">
        <f t="shared" si="2"/>
        <v>7.1</v>
      </c>
      <c r="S8" s="158">
        <f t="shared" si="3"/>
        <v>0</v>
      </c>
      <c r="T8" s="158">
        <f t="shared" si="4"/>
        <v>8.9499999999999975</v>
      </c>
      <c r="U8" s="158">
        <f t="shared" si="5"/>
        <v>7.95</v>
      </c>
      <c r="V8" s="158">
        <f t="shared" si="6"/>
        <v>4.95</v>
      </c>
      <c r="W8" s="158">
        <f t="shared" si="7"/>
        <v>7.95</v>
      </c>
      <c r="X8" s="158">
        <f t="shared" si="8"/>
        <v>0.95</v>
      </c>
      <c r="Y8" s="158">
        <f t="shared" si="9"/>
        <v>14</v>
      </c>
      <c r="Z8" s="127">
        <f t="shared" si="10"/>
        <v>0</v>
      </c>
      <c r="AA8" s="127">
        <f t="shared" si="11"/>
        <v>0</v>
      </c>
      <c r="AB8" s="127">
        <f t="shared" si="12"/>
        <v>0</v>
      </c>
      <c r="AC8" s="127">
        <f t="shared" si="13"/>
        <v>0</v>
      </c>
      <c r="AD8" s="127">
        <f t="shared" si="14"/>
        <v>0</v>
      </c>
      <c r="AE8" s="127">
        <f t="shared" si="15"/>
        <v>0</v>
      </c>
      <c r="AF8" s="127">
        <f t="shared" si="16"/>
        <v>0</v>
      </c>
      <c r="AH8" s="128" t="s">
        <v>197</v>
      </c>
      <c r="AI8" s="86"/>
      <c r="AJ8" s="130">
        <v>0</v>
      </c>
      <c r="AK8" s="130">
        <v>0</v>
      </c>
      <c r="AL8" s="130">
        <v>0</v>
      </c>
      <c r="AM8" s="130">
        <v>0</v>
      </c>
      <c r="AN8" s="130" t="e">
        <f>(#REF!*0.864)+(#REF!*0.244)</f>
        <v>#REF!</v>
      </c>
      <c r="AO8" s="130">
        <v>0</v>
      </c>
      <c r="AP8" s="130" t="e">
        <f>(#REF!*0.121)</f>
        <v>#REF!</v>
      </c>
      <c r="AQ8" s="133" t="e">
        <f>(0.5*#REF!+0.3*#REF!)/10</f>
        <v>#REF!</v>
      </c>
      <c r="AR8" s="133" t="e">
        <f>(0.4*#REF!+0.3*#REF!)/10</f>
        <v>#REF!</v>
      </c>
      <c r="AS8" s="132">
        <v>0</v>
      </c>
      <c r="AT8" s="132">
        <v>0</v>
      </c>
    </row>
    <row r="9" spans="1:53" x14ac:dyDescent="0.25">
      <c r="A9" s="5" t="str">
        <f>Plantilla!A8</f>
        <v>#31</v>
      </c>
      <c r="B9" s="5" t="str">
        <f>Plantilla!B8</f>
        <v>DEF</v>
      </c>
      <c r="C9" s="77" t="str">
        <f>Plantilla!D8</f>
        <v>E. Romweber</v>
      </c>
      <c r="D9" s="55">
        <f>Plantilla!E8</f>
        <v>39</v>
      </c>
      <c r="E9" s="56">
        <f ca="1">Plantilla!F8</f>
        <v>38</v>
      </c>
      <c r="F9" s="71" t="str">
        <f>Plantilla!G8</f>
        <v>IMP</v>
      </c>
      <c r="G9" s="246">
        <f>Plantilla!H8</f>
        <v>0</v>
      </c>
      <c r="H9" s="57">
        <f>Plantilla!I8</f>
        <v>19.100000000000001</v>
      </c>
      <c r="I9" s="143">
        <f>Plantilla!X8</f>
        <v>0</v>
      </c>
      <c r="J9" s="143">
        <f>Plantilla!Y8</f>
        <v>8.9499999999999975</v>
      </c>
      <c r="K9" s="143">
        <f>Plantilla!Z8</f>
        <v>8.9499999999999975</v>
      </c>
      <c r="L9" s="143">
        <f>Plantilla!AA8</f>
        <v>8.9499999999999975</v>
      </c>
      <c r="M9" s="143">
        <f>Plantilla!AB8</f>
        <v>6.95</v>
      </c>
      <c r="N9" s="143">
        <f>Plantilla!AC8</f>
        <v>0.95</v>
      </c>
      <c r="O9" s="143">
        <f>Plantilla!AD8</f>
        <v>16</v>
      </c>
      <c r="P9" s="70">
        <f t="shared" si="0"/>
        <v>39</v>
      </c>
      <c r="Q9" s="122">
        <f t="shared" ca="1" si="1"/>
        <v>45</v>
      </c>
      <c r="R9" s="79">
        <f t="shared" si="2"/>
        <v>19.100000000000001</v>
      </c>
      <c r="S9" s="158">
        <f t="shared" si="3"/>
        <v>0</v>
      </c>
      <c r="T9" s="158">
        <f t="shared" si="4"/>
        <v>8.9499999999999975</v>
      </c>
      <c r="U9" s="158">
        <f t="shared" si="5"/>
        <v>8.9499999999999975</v>
      </c>
      <c r="V9" s="158">
        <f t="shared" si="6"/>
        <v>8.9499999999999975</v>
      </c>
      <c r="W9" s="158">
        <f t="shared" si="7"/>
        <v>6.95</v>
      </c>
      <c r="X9" s="158">
        <f t="shared" si="8"/>
        <v>0.95</v>
      </c>
      <c r="Y9" s="158">
        <f t="shared" si="9"/>
        <v>16</v>
      </c>
      <c r="Z9" s="127">
        <f t="shared" si="10"/>
        <v>0</v>
      </c>
      <c r="AA9" s="127">
        <f t="shared" si="11"/>
        <v>0</v>
      </c>
      <c r="AB9" s="127">
        <f t="shared" si="12"/>
        <v>0</v>
      </c>
      <c r="AC9" s="127">
        <f t="shared" si="13"/>
        <v>0</v>
      </c>
      <c r="AD9" s="127">
        <f t="shared" si="14"/>
        <v>0</v>
      </c>
      <c r="AE9" s="127">
        <f t="shared" si="15"/>
        <v>0</v>
      </c>
      <c r="AF9" s="127">
        <f t="shared" si="16"/>
        <v>0</v>
      </c>
      <c r="AH9" s="129" t="s">
        <v>135</v>
      </c>
      <c r="AI9" s="5" t="str">
        <f>C15</f>
        <v>G. Piscaer</v>
      </c>
      <c r="AJ9" s="131">
        <f>AA15*0.189</f>
        <v>0</v>
      </c>
      <c r="AK9" s="131">
        <v>0</v>
      </c>
      <c r="AL9" s="131">
        <f>AA15*0.4</f>
        <v>0</v>
      </c>
      <c r="AM9" s="131">
        <f>AB15*1</f>
        <v>8</v>
      </c>
      <c r="AN9" s="131">
        <f>(AC13*0.574)+(AD13*0.315)</f>
        <v>0</v>
      </c>
      <c r="AO9" s="131">
        <v>0</v>
      </c>
      <c r="AP9" s="131">
        <f>AD13*0.241</f>
        <v>0</v>
      </c>
      <c r="AQ9" s="133">
        <f>(0.5*AE13+0.3*AF13)/10</f>
        <v>0.17</v>
      </c>
      <c r="AR9" s="133">
        <f>(0.4*AA13+0.3*AF13)/10</f>
        <v>0</v>
      </c>
      <c r="AS9" s="133">
        <v>0</v>
      </c>
      <c r="AT9" s="133">
        <v>0</v>
      </c>
    </row>
    <row r="10" spans="1:53" s="4" customFormat="1" x14ac:dyDescent="0.25">
      <c r="A10" s="5" t="str">
        <f>Plantilla!A21</f>
        <v>#35</v>
      </c>
      <c r="B10" s="5" t="str">
        <f>Plantilla!B21</f>
        <v>DEF</v>
      </c>
      <c r="C10" s="77" t="str">
        <f>Plantilla!D21</f>
        <v>S. Buschelman</v>
      </c>
      <c r="D10" s="55">
        <f>Plantilla!E21</f>
        <v>37</v>
      </c>
      <c r="E10" s="56">
        <f ca="1">Plantilla!F21</f>
        <v>109</v>
      </c>
      <c r="F10" s="71" t="str">
        <f>Plantilla!G21</f>
        <v>TEC</v>
      </c>
      <c r="G10" s="246">
        <f>Plantilla!H21</f>
        <v>3</v>
      </c>
      <c r="H10" s="57">
        <f>Plantilla!I21</f>
        <v>15.4</v>
      </c>
      <c r="I10" s="143">
        <f>Plantilla!X21</f>
        <v>0</v>
      </c>
      <c r="J10" s="143">
        <f>Plantilla!Y21</f>
        <v>7.95</v>
      </c>
      <c r="K10" s="143">
        <f>Plantilla!Z21</f>
        <v>11.95</v>
      </c>
      <c r="L10" s="143">
        <f>Plantilla!AA21</f>
        <v>9.9499999999999993</v>
      </c>
      <c r="M10" s="143">
        <f>Plantilla!AB21</f>
        <v>6.95</v>
      </c>
      <c r="N10" s="143">
        <f>Plantilla!AC21</f>
        <v>0.95</v>
      </c>
      <c r="O10" s="143">
        <f>Plantilla!AD21</f>
        <v>16</v>
      </c>
      <c r="P10" s="70">
        <f t="shared" si="0"/>
        <v>37</v>
      </c>
      <c r="Q10" s="122">
        <f t="shared" ca="1" si="1"/>
        <v>116</v>
      </c>
      <c r="R10" s="79">
        <f t="shared" si="2"/>
        <v>15.4</v>
      </c>
      <c r="S10" s="158">
        <f t="shared" si="3"/>
        <v>0</v>
      </c>
      <c r="T10" s="158">
        <f t="shared" si="4"/>
        <v>7.95</v>
      </c>
      <c r="U10" s="158">
        <f t="shared" si="5"/>
        <v>11.95</v>
      </c>
      <c r="V10" s="158">
        <f t="shared" si="6"/>
        <v>9.9499999999999993</v>
      </c>
      <c r="W10" s="158">
        <f t="shared" si="7"/>
        <v>6.95</v>
      </c>
      <c r="X10" s="158">
        <f t="shared" si="8"/>
        <v>0.95</v>
      </c>
      <c r="Y10" s="158">
        <f t="shared" si="9"/>
        <v>16</v>
      </c>
      <c r="Z10" s="127">
        <f t="shared" si="10"/>
        <v>0</v>
      </c>
      <c r="AA10" s="127">
        <f t="shared" si="11"/>
        <v>0</v>
      </c>
      <c r="AB10" s="127">
        <f t="shared" si="12"/>
        <v>0</v>
      </c>
      <c r="AC10" s="127">
        <f t="shared" si="13"/>
        <v>0</v>
      </c>
      <c r="AD10" s="127">
        <f t="shared" si="14"/>
        <v>0</v>
      </c>
      <c r="AE10" s="127">
        <f t="shared" si="15"/>
        <v>0</v>
      </c>
      <c r="AF10" s="127">
        <f t="shared" si="16"/>
        <v>0</v>
      </c>
      <c r="AH10" s="129" t="s">
        <v>611</v>
      </c>
      <c r="AI10" s="5" t="str">
        <f>C18</f>
        <v>R. Forsyth</v>
      </c>
      <c r="AJ10" s="131">
        <f>AA18*((0.27+0.135)/2)</f>
        <v>0</v>
      </c>
      <c r="AK10" s="131">
        <f>AJ10</f>
        <v>0</v>
      </c>
      <c r="AL10" s="131">
        <f>AA18*0.594</f>
        <v>0</v>
      </c>
      <c r="AM10" s="131">
        <f>AB18*0.944</f>
        <v>7.5519999999999996</v>
      </c>
      <c r="AN10" s="131">
        <f>AD16*0.188</f>
        <v>0</v>
      </c>
      <c r="AO10" s="131">
        <f>AN10</f>
        <v>0</v>
      </c>
      <c r="AP10" s="131">
        <f>AD16*0.507+AE16*0.31</f>
        <v>1.054</v>
      </c>
      <c r="AQ10" s="133">
        <f>(0.5*AE16+0.3*AF16)/10</f>
        <v>0.17</v>
      </c>
      <c r="AR10" s="133">
        <f>(0.4*AA16+0.3*AF16)/10</f>
        <v>0</v>
      </c>
      <c r="AS10" s="133">
        <v>0</v>
      </c>
      <c r="AT10" s="133">
        <v>0</v>
      </c>
    </row>
    <row r="11" spans="1:53" x14ac:dyDescent="0.25">
      <c r="A11" s="5" t="e">
        <f>#REF!</f>
        <v>#REF!</v>
      </c>
      <c r="B11" s="5" t="e">
        <f>#REF!</f>
        <v>#REF!</v>
      </c>
      <c r="C11" s="77" t="e">
        <f>#REF!</f>
        <v>#REF!</v>
      </c>
      <c r="D11" s="55" t="e">
        <f>#REF!</f>
        <v>#REF!</v>
      </c>
      <c r="E11" s="56" t="e">
        <f>#REF!</f>
        <v>#REF!</v>
      </c>
      <c r="F11" s="71"/>
      <c r="G11" s="246" t="e">
        <f>#REF!</f>
        <v>#REF!</v>
      </c>
      <c r="H11" s="57" t="e">
        <f>#REF!</f>
        <v>#REF!</v>
      </c>
      <c r="I11" s="143" t="e">
        <f>#REF!</f>
        <v>#REF!</v>
      </c>
      <c r="J11" s="143" t="e">
        <f>#REF!</f>
        <v>#REF!</v>
      </c>
      <c r="K11" s="143" t="e">
        <f>#REF!</f>
        <v>#REF!</v>
      </c>
      <c r="L11" s="143" t="e">
        <f>#REF!</f>
        <v>#REF!</v>
      </c>
      <c r="M11" s="143" t="e">
        <f>#REF!</f>
        <v>#REF!</v>
      </c>
      <c r="N11" s="143" t="e">
        <f>#REF!</f>
        <v>#REF!</v>
      </c>
      <c r="O11" s="143" t="e">
        <f>#REF!</f>
        <v>#REF!</v>
      </c>
      <c r="P11" s="70" t="e">
        <f t="shared" si="0"/>
        <v>#REF!</v>
      </c>
      <c r="Q11" s="122" t="e">
        <f t="shared" si="1"/>
        <v>#REF!</v>
      </c>
      <c r="R11" s="79" t="e">
        <f t="shared" si="2"/>
        <v>#REF!</v>
      </c>
      <c r="S11" s="158" t="e">
        <f t="shared" si="3"/>
        <v>#REF!</v>
      </c>
      <c r="T11" s="158" t="e">
        <f t="shared" si="4"/>
        <v>#REF!</v>
      </c>
      <c r="U11" s="158" t="e">
        <f t="shared" si="5"/>
        <v>#REF!</v>
      </c>
      <c r="V11" s="158" t="e">
        <f t="shared" si="6"/>
        <v>#REF!</v>
      </c>
      <c r="W11" s="158" t="e">
        <f t="shared" si="7"/>
        <v>#REF!</v>
      </c>
      <c r="X11" s="158" t="e">
        <f t="shared" si="8"/>
        <v>#REF!</v>
      </c>
      <c r="Y11" s="158" t="e">
        <f t="shared" si="9"/>
        <v>#REF!</v>
      </c>
      <c r="Z11" s="127" t="e">
        <f t="shared" si="10"/>
        <v>#REF!</v>
      </c>
      <c r="AA11" s="127" t="e">
        <f t="shared" si="11"/>
        <v>#REF!</v>
      </c>
      <c r="AB11" s="127" t="e">
        <f t="shared" si="12"/>
        <v>#REF!</v>
      </c>
      <c r="AC11" s="127" t="e">
        <f t="shared" si="13"/>
        <v>#REF!</v>
      </c>
      <c r="AD11" s="127" t="e">
        <f t="shared" si="14"/>
        <v>#REF!</v>
      </c>
      <c r="AE11" s="127" t="e">
        <f t="shared" si="15"/>
        <v>#REF!</v>
      </c>
      <c r="AF11" s="127" t="e">
        <f t="shared" si="16"/>
        <v>#REF!</v>
      </c>
      <c r="AH11" s="129" t="s">
        <v>135</v>
      </c>
      <c r="AI11" s="5" t="str">
        <f>C13</f>
        <v>I. Vanags</v>
      </c>
      <c r="AJ11" s="131">
        <v>0</v>
      </c>
      <c r="AK11" s="131">
        <f>AA13*0.189</f>
        <v>0</v>
      </c>
      <c r="AL11" s="131">
        <f>AA13*0.4</f>
        <v>0</v>
      </c>
      <c r="AM11" s="131">
        <f>AB13*1</f>
        <v>8</v>
      </c>
      <c r="AN11" s="131">
        <v>0</v>
      </c>
      <c r="AO11" s="131">
        <f>(AC14*0.574)+(AD14*0.314)</f>
        <v>0</v>
      </c>
      <c r="AP11" s="131">
        <f>AD14*0.241</f>
        <v>0</v>
      </c>
      <c r="AQ11" s="133">
        <f>(0.5*AE14+0.3*AF14)/10</f>
        <v>0.14166666666666669</v>
      </c>
      <c r="AR11" s="133">
        <f>(0.4*AA14+0.3*AF14)/10</f>
        <v>0</v>
      </c>
      <c r="AS11" s="133">
        <v>0</v>
      </c>
      <c r="AT11" s="133">
        <v>0</v>
      </c>
    </row>
    <row r="12" spans="1:53" x14ac:dyDescent="0.25">
      <c r="A12" s="5" t="e">
        <f>#REF!</f>
        <v>#REF!</v>
      </c>
      <c r="B12" s="5" t="e">
        <f>#REF!</f>
        <v>#REF!</v>
      </c>
      <c r="C12" s="77" t="e">
        <f>#REF!</f>
        <v>#REF!</v>
      </c>
      <c r="D12" s="55" t="e">
        <f>#REF!</f>
        <v>#REF!</v>
      </c>
      <c r="E12" s="56" t="e">
        <f>#REF!</f>
        <v>#REF!</v>
      </c>
      <c r="F12" s="71"/>
      <c r="G12" s="246" t="e">
        <f>#REF!</f>
        <v>#REF!</v>
      </c>
      <c r="H12" s="57" t="e">
        <f>#REF!</f>
        <v>#REF!</v>
      </c>
      <c r="I12" s="143" t="e">
        <f>#REF!</f>
        <v>#REF!</v>
      </c>
      <c r="J12" s="143" t="e">
        <f>#REF!</f>
        <v>#REF!</v>
      </c>
      <c r="K12" s="143" t="e">
        <f>#REF!</f>
        <v>#REF!</v>
      </c>
      <c r="L12" s="143" t="e">
        <f>#REF!</f>
        <v>#REF!</v>
      </c>
      <c r="M12" s="143" t="e">
        <f>#REF!</f>
        <v>#REF!</v>
      </c>
      <c r="N12" s="143" t="e">
        <f>#REF!</f>
        <v>#REF!</v>
      </c>
      <c r="O12" s="143" t="e">
        <f>#REF!</f>
        <v>#REF!</v>
      </c>
      <c r="P12" s="70" t="e">
        <f t="shared" si="0"/>
        <v>#REF!</v>
      </c>
      <c r="Q12" s="122" t="e">
        <f t="shared" si="1"/>
        <v>#REF!</v>
      </c>
      <c r="R12" s="79" t="e">
        <f t="shared" si="2"/>
        <v>#REF!</v>
      </c>
      <c r="S12" s="158" t="e">
        <f t="shared" si="3"/>
        <v>#REF!</v>
      </c>
      <c r="T12" s="158" t="e">
        <f t="shared" si="4"/>
        <v>#REF!</v>
      </c>
      <c r="U12" s="158" t="e">
        <f t="shared" si="5"/>
        <v>#REF!</v>
      </c>
      <c r="V12" s="158" t="e">
        <f t="shared" si="6"/>
        <v>#REF!</v>
      </c>
      <c r="W12" s="158" t="e">
        <f t="shared" si="7"/>
        <v>#REF!</v>
      </c>
      <c r="X12" s="158" t="e">
        <f t="shared" si="8"/>
        <v>#REF!</v>
      </c>
      <c r="Y12" s="158" t="e">
        <f t="shared" si="9"/>
        <v>#REF!</v>
      </c>
      <c r="Z12" s="127" t="e">
        <f t="shared" si="10"/>
        <v>#REF!</v>
      </c>
      <c r="AA12" s="127" t="e">
        <f t="shared" si="11"/>
        <v>#REF!</v>
      </c>
      <c r="AB12" s="127" t="e">
        <f t="shared" si="12"/>
        <v>#REF!</v>
      </c>
      <c r="AC12" s="127" t="e">
        <f t="shared" si="13"/>
        <v>#REF!</v>
      </c>
      <c r="AD12" s="127" t="e">
        <f t="shared" si="14"/>
        <v>#REF!</v>
      </c>
      <c r="AE12" s="127" t="e">
        <f t="shared" si="15"/>
        <v>#REF!</v>
      </c>
      <c r="AF12" s="127" t="e">
        <f t="shared" si="16"/>
        <v>#REF!</v>
      </c>
      <c r="AH12" s="129" t="s">
        <v>612</v>
      </c>
      <c r="AI12" s="5" t="str">
        <f>C14</f>
        <v>I. Stone</v>
      </c>
      <c r="AJ12" s="131">
        <f>AA14*0.284</f>
        <v>0</v>
      </c>
      <c r="AK12" s="131">
        <v>0</v>
      </c>
      <c r="AL12" s="131">
        <f>AA14*0.244</f>
        <v>0</v>
      </c>
      <c r="AM12" s="131">
        <f>AB14*0.631</f>
        <v>6.3100000000000005</v>
      </c>
      <c r="AN12" s="131">
        <v>0</v>
      </c>
      <c r="AO12" s="131" t="e">
        <f>(AC11*1)+(AD11*0.286)</f>
        <v>#REF!</v>
      </c>
      <c r="AP12" s="131" t="e">
        <f>AD11*0.135</f>
        <v>#REF!</v>
      </c>
      <c r="AQ12" s="133" t="e">
        <f>(0.5*AE11+0.3*AF11)/10</f>
        <v>#REF!</v>
      </c>
      <c r="AR12" s="133" t="e">
        <f>(0.4*AA11+0.3*AF11)/10</f>
        <v>#REF!</v>
      </c>
      <c r="AS12" s="133">
        <v>0</v>
      </c>
      <c r="AT12" s="133">
        <v>0</v>
      </c>
    </row>
    <row r="13" spans="1:53" s="1" customFormat="1" x14ac:dyDescent="0.25">
      <c r="A13" s="5" t="str">
        <f>Plantilla!A15</f>
        <v>#16</v>
      </c>
      <c r="B13" s="5" t="str">
        <f>Plantilla!B15</f>
        <v>MED</v>
      </c>
      <c r="C13" s="77" t="str">
        <f>Plantilla!D15</f>
        <v>I. Vanags</v>
      </c>
      <c r="D13" s="55">
        <f>Plantilla!E15</f>
        <v>22</v>
      </c>
      <c r="E13" s="56">
        <f ca="1">Plantilla!F15</f>
        <v>20</v>
      </c>
      <c r="F13" s="71" t="str">
        <f>Plantilla!G15</f>
        <v>CAB</v>
      </c>
      <c r="G13" s="246">
        <f>Plantilla!H15</f>
        <v>4</v>
      </c>
      <c r="H13" s="57">
        <f>Plantilla!I15</f>
        <v>2.6</v>
      </c>
      <c r="I13" s="143">
        <f>Plantilla!X15</f>
        <v>0</v>
      </c>
      <c r="J13" s="143">
        <f>Plantilla!Y15</f>
        <v>4</v>
      </c>
      <c r="K13" s="143">
        <f>Plantilla!Z15</f>
        <v>13</v>
      </c>
      <c r="L13" s="143">
        <f>Plantilla!AA15</f>
        <v>3</v>
      </c>
      <c r="M13" s="143">
        <f>Plantilla!AB15</f>
        <v>4</v>
      </c>
      <c r="N13" s="143">
        <f>Plantilla!AC15</f>
        <v>7</v>
      </c>
      <c r="O13" s="143">
        <f>Plantilla!AD15</f>
        <v>16.333333333333332</v>
      </c>
      <c r="P13" s="70">
        <f t="shared" si="0"/>
        <v>22</v>
      </c>
      <c r="Q13" s="122">
        <f t="shared" ca="1" si="1"/>
        <v>27</v>
      </c>
      <c r="R13" s="79">
        <f t="shared" si="2"/>
        <v>2.6</v>
      </c>
      <c r="S13" s="158">
        <f t="shared" ref="S13:S27" si="17">I13</f>
        <v>0</v>
      </c>
      <c r="T13" s="158">
        <f>J13+T$2/4</f>
        <v>4</v>
      </c>
      <c r="U13" s="158">
        <f>K13+U$2/5</f>
        <v>21</v>
      </c>
      <c r="V13" s="158">
        <f t="shared" ref="V13:V27" si="18">L13</f>
        <v>3</v>
      </c>
      <c r="W13" s="158">
        <f t="shared" ref="W13:W27" si="19">M13</f>
        <v>4</v>
      </c>
      <c r="X13" s="158">
        <f>N13+X$2/5</f>
        <v>10.4</v>
      </c>
      <c r="Y13" s="158">
        <f t="shared" ref="Y13:Y22" si="20">O13+Y$2/1</f>
        <v>16.333333333333332</v>
      </c>
      <c r="Z13" s="127">
        <f t="shared" si="10"/>
        <v>0</v>
      </c>
      <c r="AA13" s="127">
        <f t="shared" si="11"/>
        <v>0</v>
      </c>
      <c r="AB13" s="127">
        <f t="shared" si="12"/>
        <v>8</v>
      </c>
      <c r="AC13" s="127">
        <f t="shared" si="13"/>
        <v>0</v>
      </c>
      <c r="AD13" s="127">
        <f t="shared" si="14"/>
        <v>0</v>
      </c>
      <c r="AE13" s="127">
        <f t="shared" si="15"/>
        <v>3.4000000000000004</v>
      </c>
      <c r="AF13" s="127">
        <f t="shared" si="16"/>
        <v>0</v>
      </c>
      <c r="AH13" s="129" t="s">
        <v>612</v>
      </c>
      <c r="AI13" s="86" t="str">
        <f>C16</f>
        <v>M. Bondarewski</v>
      </c>
      <c r="AJ13" s="130">
        <v>0</v>
      </c>
      <c r="AK13" s="130">
        <f>AA16*0.284</f>
        <v>0</v>
      </c>
      <c r="AL13" s="131">
        <f>AA16*0.244</f>
        <v>0</v>
      </c>
      <c r="AM13" s="130">
        <f>AB16*0.631</f>
        <v>5.048</v>
      </c>
      <c r="AN13" s="130">
        <f>(AD20*0.142)+(AC20*0.221)+(AE20*0.26)</f>
        <v>0.88400000000000012</v>
      </c>
      <c r="AO13" s="130">
        <f>AN13</f>
        <v>0.88400000000000012</v>
      </c>
      <c r="AP13" s="130">
        <f>(AD20*0.369)+(AE20*1)</f>
        <v>3.4000000000000004</v>
      </c>
      <c r="AQ13" s="179">
        <f>((0.5*AE20+0.3*AF20)/10)+0.09*AF20</f>
        <v>0.17</v>
      </c>
      <c r="AR13" s="179">
        <f>(0.4*AA20+0.3*AF20)/10</f>
        <v>0</v>
      </c>
      <c r="AS13" s="132">
        <v>0</v>
      </c>
      <c r="AT13" s="132">
        <v>0</v>
      </c>
    </row>
    <row r="14" spans="1:53" x14ac:dyDescent="0.25">
      <c r="A14" s="5" t="str">
        <f>Plantilla!A16</f>
        <v>#8</v>
      </c>
      <c r="B14" s="5" t="str">
        <f>Plantilla!B16</f>
        <v>MED</v>
      </c>
      <c r="C14" s="77" t="str">
        <f>Plantilla!D16</f>
        <v>I. Stone</v>
      </c>
      <c r="D14" s="55">
        <f>Plantilla!E16</f>
        <v>21</v>
      </c>
      <c r="E14" s="56">
        <f ca="1">Plantilla!F16</f>
        <v>75</v>
      </c>
      <c r="F14" s="71" t="str">
        <f>Plantilla!G16</f>
        <v>RAP</v>
      </c>
      <c r="G14" s="246">
        <f>Plantilla!H16</f>
        <v>6</v>
      </c>
      <c r="H14" s="57">
        <f>Plantilla!I16</f>
        <v>3.8</v>
      </c>
      <c r="I14" s="143">
        <f>Plantilla!X16</f>
        <v>0</v>
      </c>
      <c r="J14" s="143">
        <f>Plantilla!Y16</f>
        <v>3</v>
      </c>
      <c r="K14" s="143">
        <f>Plantilla!Z16</f>
        <v>12</v>
      </c>
      <c r="L14" s="143">
        <f>Plantilla!AA16</f>
        <v>2</v>
      </c>
      <c r="M14" s="143">
        <f>Plantilla!AB16</f>
        <v>6</v>
      </c>
      <c r="N14" s="143">
        <f>Plantilla!AC16</f>
        <v>9</v>
      </c>
      <c r="O14" s="143">
        <f>Plantilla!AD16</f>
        <v>15.333333333333334</v>
      </c>
      <c r="P14" s="70">
        <f t="shared" si="0"/>
        <v>21</v>
      </c>
      <c r="Q14" s="122">
        <f t="shared" ca="1" si="1"/>
        <v>82</v>
      </c>
      <c r="R14" s="79">
        <f t="shared" si="2"/>
        <v>3.8</v>
      </c>
      <c r="S14" s="158">
        <f t="shared" si="17"/>
        <v>0</v>
      </c>
      <c r="T14" s="158">
        <f>J14+T$2/3</f>
        <v>3</v>
      </c>
      <c r="U14" s="158">
        <f>K14+U$2/4</f>
        <v>22</v>
      </c>
      <c r="V14" s="158">
        <f t="shared" si="18"/>
        <v>2</v>
      </c>
      <c r="W14" s="158">
        <f t="shared" si="19"/>
        <v>6</v>
      </c>
      <c r="X14" s="158">
        <f>N14+X$2/6</f>
        <v>11.833333333333334</v>
      </c>
      <c r="Y14" s="158">
        <f t="shared" si="20"/>
        <v>15.333333333333334</v>
      </c>
      <c r="Z14" s="127">
        <f t="shared" si="10"/>
        <v>0</v>
      </c>
      <c r="AA14" s="127">
        <f t="shared" si="11"/>
        <v>0</v>
      </c>
      <c r="AB14" s="127">
        <f t="shared" si="12"/>
        <v>10</v>
      </c>
      <c r="AC14" s="127">
        <f t="shared" si="13"/>
        <v>0</v>
      </c>
      <c r="AD14" s="127">
        <f t="shared" si="14"/>
        <v>0</v>
      </c>
      <c r="AE14" s="127">
        <f t="shared" si="15"/>
        <v>2.8333333333333339</v>
      </c>
      <c r="AF14" s="127">
        <f t="shared" si="16"/>
        <v>0</v>
      </c>
      <c r="AH14" s="129" t="s">
        <v>140</v>
      </c>
      <c r="AI14" s="5"/>
      <c r="AJ14" s="131">
        <v>0</v>
      </c>
      <c r="AK14" s="131">
        <v>0</v>
      </c>
      <c r="AL14" s="131">
        <v>0</v>
      </c>
      <c r="AM14" s="130">
        <v>0</v>
      </c>
      <c r="AN14" s="130" t="e">
        <f>(AD12*0.142)+(AC12*0.221)+(AE12*0.26)</f>
        <v>#REF!</v>
      </c>
      <c r="AO14" s="130" t="e">
        <f>AN14</f>
        <v>#REF!</v>
      </c>
      <c r="AP14" s="130" t="e">
        <f>(AD12*0.369)+(AE12*1)</f>
        <v>#REF!</v>
      </c>
      <c r="AQ14" s="133" t="e">
        <f>(0.5*AE12+0.3*AF12)/10</f>
        <v>#REF!</v>
      </c>
      <c r="AR14" s="133" t="e">
        <f>(0.4*AA12+0.3*AF12)/10</f>
        <v>#REF!</v>
      </c>
      <c r="AS14" s="132">
        <v>0</v>
      </c>
      <c r="AT14" s="132">
        <v>0</v>
      </c>
    </row>
    <row r="15" spans="1:53" s="66" customFormat="1" x14ac:dyDescent="0.25">
      <c r="A15" s="5" t="str">
        <f>Plantilla!A17</f>
        <v>#14</v>
      </c>
      <c r="B15" s="5" t="str">
        <f>Plantilla!B17</f>
        <v>MED</v>
      </c>
      <c r="C15" s="77" t="str">
        <f>Plantilla!D17</f>
        <v>G. Piscaer</v>
      </c>
      <c r="D15" s="55">
        <f>Plantilla!E17</f>
        <v>22</v>
      </c>
      <c r="E15" s="56">
        <f ca="1">Plantilla!F17</f>
        <v>36</v>
      </c>
      <c r="F15" s="71" t="str">
        <f>Plantilla!G17</f>
        <v>IMP</v>
      </c>
      <c r="G15" s="246">
        <f>Plantilla!H17</f>
        <v>1</v>
      </c>
      <c r="H15" s="57">
        <f>Plantilla!I17</f>
        <v>3.7</v>
      </c>
      <c r="I15" s="143">
        <f>Plantilla!X17</f>
        <v>0</v>
      </c>
      <c r="J15" s="143">
        <f>Plantilla!Y17</f>
        <v>4</v>
      </c>
      <c r="K15" s="143">
        <f>Plantilla!Z17</f>
        <v>13</v>
      </c>
      <c r="L15" s="143">
        <f>Plantilla!AA17</f>
        <v>3</v>
      </c>
      <c r="M15" s="143">
        <f>Plantilla!AB17</f>
        <v>2</v>
      </c>
      <c r="N15" s="143">
        <f>Plantilla!AC17</f>
        <v>8</v>
      </c>
      <c r="O15" s="143">
        <f>Plantilla!AD17</f>
        <v>14.333333333333334</v>
      </c>
      <c r="P15" s="70">
        <f t="shared" si="0"/>
        <v>22</v>
      </c>
      <c r="Q15" s="122">
        <f t="shared" ca="1" si="1"/>
        <v>43</v>
      </c>
      <c r="R15" s="79">
        <f t="shared" si="2"/>
        <v>3.7</v>
      </c>
      <c r="S15" s="158">
        <f t="shared" si="17"/>
        <v>0</v>
      </c>
      <c r="T15" s="158">
        <f>J15+T$2/4</f>
        <v>4</v>
      </c>
      <c r="U15" s="158">
        <f>K15+U$2/5</f>
        <v>21</v>
      </c>
      <c r="V15" s="158">
        <f t="shared" si="18"/>
        <v>3</v>
      </c>
      <c r="W15" s="158">
        <f t="shared" si="19"/>
        <v>2</v>
      </c>
      <c r="X15" s="158">
        <f>N15+X$2/5</f>
        <v>11.4</v>
      </c>
      <c r="Y15" s="158">
        <f t="shared" si="20"/>
        <v>14.333333333333334</v>
      </c>
      <c r="Z15" s="127">
        <f t="shared" si="10"/>
        <v>0</v>
      </c>
      <c r="AA15" s="127">
        <f t="shared" si="11"/>
        <v>0</v>
      </c>
      <c r="AB15" s="127">
        <f t="shared" si="12"/>
        <v>8</v>
      </c>
      <c r="AC15" s="127">
        <f t="shared" si="13"/>
        <v>0</v>
      </c>
      <c r="AD15" s="127">
        <f t="shared" si="14"/>
        <v>0</v>
      </c>
      <c r="AE15" s="127">
        <f t="shared" si="15"/>
        <v>3.4000000000000004</v>
      </c>
      <c r="AF15" s="127">
        <f t="shared" si="16"/>
        <v>0</v>
      </c>
      <c r="AH15" s="3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53" s="1" customFormat="1" x14ac:dyDescent="0.25">
      <c r="A16" s="5" t="str">
        <f>Plantilla!A18</f>
        <v>#9</v>
      </c>
      <c r="B16" s="5" t="str">
        <f>Plantilla!B18</f>
        <v>MED</v>
      </c>
      <c r="C16" s="77" t="str">
        <f>Plantilla!D18</f>
        <v>M. Bondarewski</v>
      </c>
      <c r="D16" s="55">
        <f>Plantilla!E18</f>
        <v>22</v>
      </c>
      <c r="E16" s="56">
        <f ca="1">Plantilla!F18</f>
        <v>36</v>
      </c>
      <c r="F16" s="71" t="str">
        <f>Plantilla!G18</f>
        <v>RAP</v>
      </c>
      <c r="G16" s="246">
        <f>Plantilla!H18</f>
        <v>1</v>
      </c>
      <c r="H16" s="57">
        <f>Plantilla!I18</f>
        <v>3.9</v>
      </c>
      <c r="I16" s="143">
        <f>Plantilla!X18</f>
        <v>0</v>
      </c>
      <c r="J16" s="143">
        <f>Plantilla!Y18</f>
        <v>2</v>
      </c>
      <c r="K16" s="143">
        <f>Plantilla!Z18</f>
        <v>13</v>
      </c>
      <c r="L16" s="143">
        <f>Plantilla!AA18</f>
        <v>5</v>
      </c>
      <c r="M16" s="143">
        <f>Plantilla!AB18</f>
        <v>4</v>
      </c>
      <c r="N16" s="143">
        <f>Plantilla!AC18</f>
        <v>8</v>
      </c>
      <c r="O16" s="143">
        <f>Plantilla!AD18</f>
        <v>17</v>
      </c>
      <c r="P16" s="70">
        <f t="shared" si="0"/>
        <v>22</v>
      </c>
      <c r="Q16" s="122">
        <f t="shared" ca="1" si="1"/>
        <v>43</v>
      </c>
      <c r="R16" s="79">
        <f t="shared" si="2"/>
        <v>3.9</v>
      </c>
      <c r="S16" s="158">
        <f t="shared" si="17"/>
        <v>0</v>
      </c>
      <c r="T16" s="158">
        <f>J16+T$2/3</f>
        <v>2</v>
      </c>
      <c r="U16" s="158">
        <f>K16+U$2/5</f>
        <v>21</v>
      </c>
      <c r="V16" s="158">
        <f t="shared" si="18"/>
        <v>5</v>
      </c>
      <c r="W16" s="158">
        <f t="shared" si="19"/>
        <v>4</v>
      </c>
      <c r="X16" s="158">
        <f>N16+X$2/5</f>
        <v>11.4</v>
      </c>
      <c r="Y16" s="158">
        <f t="shared" si="20"/>
        <v>17</v>
      </c>
      <c r="Z16" s="127">
        <f t="shared" si="10"/>
        <v>0</v>
      </c>
      <c r="AA16" s="127">
        <f t="shared" si="11"/>
        <v>0</v>
      </c>
      <c r="AB16" s="127">
        <f t="shared" si="12"/>
        <v>8</v>
      </c>
      <c r="AC16" s="127">
        <f t="shared" si="13"/>
        <v>0</v>
      </c>
      <c r="AD16" s="127">
        <f t="shared" si="14"/>
        <v>0</v>
      </c>
      <c r="AE16" s="127">
        <f t="shared" si="15"/>
        <v>3.4000000000000004</v>
      </c>
      <c r="AF16" s="127">
        <f t="shared" si="16"/>
        <v>0</v>
      </c>
      <c r="AH16" s="66"/>
      <c r="AI16" s="66"/>
      <c r="AJ16" s="134">
        <f>SUM(AJ18:AJ28)*$AY$3</f>
        <v>0</v>
      </c>
      <c r="AK16" s="134">
        <f>SUM(AK18:AK28)*$AY$3</f>
        <v>0</v>
      </c>
      <c r="AL16" s="134">
        <f>SUM(AL18:AL28)*$AY$2</f>
        <v>0</v>
      </c>
      <c r="AM16" s="134">
        <f>SUM(AM18:AM28)*$AY$4</f>
        <v>4.3637500000000005</v>
      </c>
      <c r="AN16" s="134" t="e">
        <f>SUM(AN18:AN28)*$AY$5</f>
        <v>#REF!</v>
      </c>
      <c r="AO16" s="134" t="e">
        <f>SUM(AO18:AO28)*$AY$5</f>
        <v>#REF!</v>
      </c>
      <c r="AP16" s="134" t="e">
        <f>SUM(AP18:AP28)*$AY$6</f>
        <v>#REF!</v>
      </c>
      <c r="AQ16" s="135" t="e">
        <f>SUM(AQ18:AQ28)</f>
        <v>#REF!</v>
      </c>
      <c r="AR16" s="135" t="e">
        <f>SUM(AR18:AR28)</f>
        <v>#REF!</v>
      </c>
      <c r="AS16" s="135">
        <f>SUM(AS18:AS28)</f>
        <v>8.25</v>
      </c>
      <c r="AT16" s="135">
        <f>SUM(AT18:AT28)</f>
        <v>0</v>
      </c>
    </row>
    <row r="17" spans="1:46" s="66" customFormat="1" x14ac:dyDescent="0.25">
      <c r="A17" s="5" t="str">
        <f>Plantilla!A14</f>
        <v>#4</v>
      </c>
      <c r="B17" s="5" t="str">
        <f>Plantilla!B14</f>
        <v>DEF</v>
      </c>
      <c r="C17" s="77" t="str">
        <f>Plantilla!D14</f>
        <v>E. Deus</v>
      </c>
      <c r="D17" s="55">
        <f>Plantilla!E14</f>
        <v>21</v>
      </c>
      <c r="E17" s="56">
        <f ca="1">Plantilla!F14</f>
        <v>72</v>
      </c>
      <c r="F17" s="71" t="str">
        <f>Plantilla!G14</f>
        <v>IMP</v>
      </c>
      <c r="G17" s="246">
        <f>Plantilla!H14</f>
        <v>3</v>
      </c>
      <c r="H17" s="57">
        <f>Plantilla!I14</f>
        <v>3.9</v>
      </c>
      <c r="I17" s="143">
        <f>Plantilla!X14</f>
        <v>0</v>
      </c>
      <c r="J17" s="143">
        <f>Plantilla!Y14</f>
        <v>11</v>
      </c>
      <c r="K17" s="143">
        <f>Plantilla!Z14</f>
        <v>7</v>
      </c>
      <c r="L17" s="143">
        <f>Plantilla!AA14</f>
        <v>1</v>
      </c>
      <c r="M17" s="143">
        <f>Plantilla!AB14</f>
        <v>6</v>
      </c>
      <c r="N17" s="143">
        <f>Plantilla!AC14</f>
        <v>5</v>
      </c>
      <c r="O17" s="143">
        <f>Plantilla!AD14</f>
        <v>15.333333333333334</v>
      </c>
      <c r="P17" s="70">
        <f t="shared" si="0"/>
        <v>21</v>
      </c>
      <c r="Q17" s="122">
        <f t="shared" ca="1" si="1"/>
        <v>79</v>
      </c>
      <c r="R17" s="79">
        <f t="shared" si="2"/>
        <v>3.9</v>
      </c>
      <c r="S17" s="158">
        <f t="shared" si="17"/>
        <v>0</v>
      </c>
      <c r="T17" s="158">
        <f>J17+T$2/5</f>
        <v>11</v>
      </c>
      <c r="U17" s="158">
        <f>K17+U$2/5</f>
        <v>15</v>
      </c>
      <c r="V17" s="158">
        <f t="shared" si="18"/>
        <v>1</v>
      </c>
      <c r="W17" s="158">
        <f t="shared" si="19"/>
        <v>6</v>
      </c>
      <c r="X17" s="158">
        <f>N17+X$2/4</f>
        <v>9.25</v>
      </c>
      <c r="Y17" s="158">
        <f t="shared" si="20"/>
        <v>15.333333333333334</v>
      </c>
      <c r="Z17" s="127">
        <f t="shared" si="10"/>
        <v>0</v>
      </c>
      <c r="AA17" s="127">
        <f t="shared" si="11"/>
        <v>0</v>
      </c>
      <c r="AB17" s="127">
        <f t="shared" si="12"/>
        <v>8</v>
      </c>
      <c r="AC17" s="127">
        <f t="shared" si="13"/>
        <v>0</v>
      </c>
      <c r="AD17" s="127">
        <f t="shared" si="14"/>
        <v>0</v>
      </c>
      <c r="AE17" s="127">
        <f t="shared" si="15"/>
        <v>4.25</v>
      </c>
      <c r="AF17" s="127">
        <f t="shared" si="16"/>
        <v>0</v>
      </c>
      <c r="AH17" s="511">
        <v>550</v>
      </c>
      <c r="AI17" s="512"/>
      <c r="AJ17" s="95" t="s">
        <v>601</v>
      </c>
      <c r="AK17" s="95" t="s">
        <v>602</v>
      </c>
      <c r="AL17" s="95" t="s">
        <v>603</v>
      </c>
      <c r="AM17" s="95" t="s">
        <v>604</v>
      </c>
      <c r="AN17" s="95" t="s">
        <v>605</v>
      </c>
      <c r="AO17" s="95" t="s">
        <v>606</v>
      </c>
      <c r="AP17" s="95" t="s">
        <v>607</v>
      </c>
      <c r="AQ17" s="95" t="s">
        <v>608</v>
      </c>
      <c r="AR17" s="95" t="s">
        <v>609</v>
      </c>
      <c r="AS17" s="95" t="s">
        <v>481</v>
      </c>
      <c r="AT17" s="95" t="s">
        <v>104</v>
      </c>
    </row>
    <row r="18" spans="1:46" s="1" customFormat="1" x14ac:dyDescent="0.25">
      <c r="A18" s="5" t="str">
        <f>Plantilla!A20</f>
        <v>#10</v>
      </c>
      <c r="B18" s="5" t="str">
        <f>Plantilla!B20</f>
        <v>MED</v>
      </c>
      <c r="C18" s="77" t="str">
        <f>Plantilla!D20</f>
        <v>R. Forsyth</v>
      </c>
      <c r="D18" s="55">
        <f>Plantilla!E20</f>
        <v>22</v>
      </c>
      <c r="E18" s="56">
        <f ca="1">Plantilla!F20</f>
        <v>77</v>
      </c>
      <c r="F18" s="71" t="str">
        <f>Plantilla!G20</f>
        <v>POT</v>
      </c>
      <c r="G18" s="246">
        <f>Plantilla!H20</f>
        <v>4</v>
      </c>
      <c r="H18" s="57">
        <f>Plantilla!I20</f>
        <v>3.9</v>
      </c>
      <c r="I18" s="143">
        <f>Plantilla!X20</f>
        <v>0</v>
      </c>
      <c r="J18" s="143">
        <f>Plantilla!Y20</f>
        <v>7</v>
      </c>
      <c r="K18" s="143">
        <f>Plantilla!Z20</f>
        <v>13</v>
      </c>
      <c r="L18" s="143">
        <f>Plantilla!AA20</f>
        <v>3</v>
      </c>
      <c r="M18" s="143">
        <f>Plantilla!AB20</f>
        <v>4</v>
      </c>
      <c r="N18" s="143">
        <f>Plantilla!AC20</f>
        <v>6</v>
      </c>
      <c r="O18" s="143">
        <f>Plantilla!AD20</f>
        <v>15</v>
      </c>
      <c r="P18" s="70">
        <f t="shared" si="0"/>
        <v>22</v>
      </c>
      <c r="Q18" s="122">
        <f t="shared" ca="1" si="1"/>
        <v>84</v>
      </c>
      <c r="R18" s="79">
        <f t="shared" si="2"/>
        <v>3.9</v>
      </c>
      <c r="S18" s="158">
        <f t="shared" si="17"/>
        <v>0</v>
      </c>
      <c r="T18" s="158">
        <f>J18+T$2/5</f>
        <v>7</v>
      </c>
      <c r="U18" s="158">
        <f>K18+U$2/5</f>
        <v>21</v>
      </c>
      <c r="V18" s="158">
        <f t="shared" si="18"/>
        <v>3</v>
      </c>
      <c r="W18" s="158">
        <f t="shared" si="19"/>
        <v>4</v>
      </c>
      <c r="X18" s="158">
        <f>N18+X$2/4</f>
        <v>10.25</v>
      </c>
      <c r="Y18" s="158">
        <f t="shared" si="20"/>
        <v>15</v>
      </c>
      <c r="Z18" s="127">
        <f t="shared" si="10"/>
        <v>0</v>
      </c>
      <c r="AA18" s="127">
        <f t="shared" si="11"/>
        <v>0</v>
      </c>
      <c r="AB18" s="127">
        <f t="shared" si="12"/>
        <v>8</v>
      </c>
      <c r="AC18" s="127">
        <f t="shared" si="13"/>
        <v>0</v>
      </c>
      <c r="AD18" s="127">
        <f t="shared" si="14"/>
        <v>0</v>
      </c>
      <c r="AE18" s="127">
        <f t="shared" si="15"/>
        <v>4.25</v>
      </c>
      <c r="AF18" s="127">
        <f t="shared" si="16"/>
        <v>0</v>
      </c>
      <c r="AH18" s="128" t="s">
        <v>14</v>
      </c>
      <c r="AI18" s="86"/>
      <c r="AJ18" s="130">
        <v>0</v>
      </c>
      <c r="AK18" s="130">
        <v>0</v>
      </c>
      <c r="AL18" s="130">
        <v>0</v>
      </c>
      <c r="AM18" s="130">
        <v>0</v>
      </c>
      <c r="AN18" s="130">
        <f t="shared" ref="AN18:AT18" si="21">AN4</f>
        <v>0</v>
      </c>
      <c r="AO18" s="130">
        <f t="shared" si="21"/>
        <v>0</v>
      </c>
      <c r="AP18" s="130">
        <f t="shared" si="21"/>
        <v>0</v>
      </c>
      <c r="AQ18" s="180">
        <f t="shared" si="21"/>
        <v>0</v>
      </c>
      <c r="AR18" s="180">
        <f t="shared" si="21"/>
        <v>0</v>
      </c>
      <c r="AS18" s="132">
        <f t="shared" si="21"/>
        <v>0</v>
      </c>
      <c r="AT18" s="132">
        <f t="shared" si="21"/>
        <v>0</v>
      </c>
    </row>
    <row r="19" spans="1:46" s="1" customFormat="1" x14ac:dyDescent="0.25">
      <c r="A19" s="5" t="str">
        <f>Plantilla!A13</f>
        <v>#3</v>
      </c>
      <c r="B19" s="5" t="str">
        <f>Plantilla!B13</f>
        <v>DEF</v>
      </c>
      <c r="C19" s="77" t="str">
        <f>Plantilla!D13</f>
        <v>S. Embe</v>
      </c>
      <c r="D19" s="55">
        <f>Plantilla!E13</f>
        <v>22</v>
      </c>
      <c r="E19" s="56">
        <f ca="1">Plantilla!F13</f>
        <v>89</v>
      </c>
      <c r="F19" s="71">
        <f>Plantilla!G13</f>
        <v>0</v>
      </c>
      <c r="G19" s="246">
        <f>Plantilla!H13</f>
        <v>3</v>
      </c>
      <c r="H19" s="57">
        <f>Plantilla!I13</f>
        <v>2.5</v>
      </c>
      <c r="I19" s="143">
        <f>Plantilla!X13</f>
        <v>0</v>
      </c>
      <c r="J19" s="143">
        <f>Plantilla!Y13</f>
        <v>11</v>
      </c>
      <c r="K19" s="143">
        <f>Plantilla!Z13</f>
        <v>4</v>
      </c>
      <c r="L19" s="143">
        <f>Plantilla!AA13</f>
        <v>1</v>
      </c>
      <c r="M19" s="143">
        <f>Plantilla!AB13</f>
        <v>5</v>
      </c>
      <c r="N19" s="143">
        <f>Plantilla!AC13</f>
        <v>6</v>
      </c>
      <c r="O19" s="143">
        <f>Plantilla!AD13</f>
        <v>17.333333333333332</v>
      </c>
      <c r="P19" s="70">
        <f t="shared" si="0"/>
        <v>22</v>
      </c>
      <c r="Q19" s="122">
        <f t="shared" ca="1" si="1"/>
        <v>96</v>
      </c>
      <c r="R19" s="79">
        <f t="shared" si="2"/>
        <v>2.5</v>
      </c>
      <c r="S19" s="158">
        <f t="shared" si="17"/>
        <v>0</v>
      </c>
      <c r="T19" s="158">
        <f>J19+T$2/4</f>
        <v>11</v>
      </c>
      <c r="U19" s="158">
        <f>K19+U$2/4</f>
        <v>14</v>
      </c>
      <c r="V19" s="158">
        <f t="shared" si="18"/>
        <v>1</v>
      </c>
      <c r="W19" s="158">
        <f t="shared" si="19"/>
        <v>5</v>
      </c>
      <c r="X19" s="158">
        <f>N19+X$2/6</f>
        <v>8.8333333333333339</v>
      </c>
      <c r="Y19" s="158">
        <f t="shared" si="20"/>
        <v>17.333333333333332</v>
      </c>
      <c r="Z19" s="127">
        <f t="shared" si="10"/>
        <v>0</v>
      </c>
      <c r="AA19" s="127">
        <f t="shared" si="11"/>
        <v>0</v>
      </c>
      <c r="AB19" s="127">
        <f t="shared" si="12"/>
        <v>10</v>
      </c>
      <c r="AC19" s="127">
        <f t="shared" si="13"/>
        <v>0</v>
      </c>
      <c r="AD19" s="127">
        <f t="shared" si="14"/>
        <v>0</v>
      </c>
      <c r="AE19" s="127">
        <f t="shared" si="15"/>
        <v>2.8333333333333339</v>
      </c>
      <c r="AF19" s="127">
        <f t="shared" si="16"/>
        <v>0</v>
      </c>
      <c r="AH19" s="128" t="s">
        <v>197</v>
      </c>
      <c r="AI19" s="86"/>
      <c r="AJ19" s="130">
        <v>0</v>
      </c>
      <c r="AK19" s="130">
        <v>0</v>
      </c>
      <c r="AL19" s="130">
        <v>0</v>
      </c>
      <c r="AM19" s="130">
        <v>0</v>
      </c>
      <c r="AN19" s="130">
        <f>AC19*0.588</f>
        <v>0</v>
      </c>
      <c r="AO19" s="130">
        <v>0</v>
      </c>
      <c r="AP19" s="130">
        <v>0</v>
      </c>
      <c r="AQ19" s="132">
        <f>AQ5</f>
        <v>0.14166666666666669</v>
      </c>
      <c r="AR19" s="132">
        <f>AR5</f>
        <v>0</v>
      </c>
      <c r="AS19" s="132">
        <f>((T19+1)+(W19+1)*2)/8</f>
        <v>3</v>
      </c>
      <c r="AT19" s="132">
        <f>((AA19)+(AD19)*2)/8</f>
        <v>0</v>
      </c>
    </row>
    <row r="20" spans="1:46" x14ac:dyDescent="0.25">
      <c r="A20" s="5" t="str">
        <f>Plantilla!A11</f>
        <v>#19</v>
      </c>
      <c r="B20" s="5" t="str">
        <f>Plantilla!B11</f>
        <v>DEF</v>
      </c>
      <c r="C20" s="77" t="str">
        <f>Plantilla!D11</f>
        <v>A. Grimaud</v>
      </c>
      <c r="D20" s="55">
        <f>Plantilla!E11</f>
        <v>22</v>
      </c>
      <c r="E20" s="56">
        <f ca="1">Plantilla!F11</f>
        <v>44</v>
      </c>
      <c r="F20" s="71"/>
      <c r="G20" s="246">
        <f>Plantilla!H11</f>
        <v>2</v>
      </c>
      <c r="H20" s="57">
        <f>Plantilla!I11</f>
        <v>4.7</v>
      </c>
      <c r="I20" s="143">
        <f>Plantilla!X11</f>
        <v>0</v>
      </c>
      <c r="J20" s="143">
        <f>Plantilla!Y11</f>
        <v>12</v>
      </c>
      <c r="K20" s="143">
        <f>Plantilla!Z11</f>
        <v>7</v>
      </c>
      <c r="L20" s="143">
        <f>Plantilla!AA11</f>
        <v>3</v>
      </c>
      <c r="M20" s="143">
        <f>Plantilla!AB11</f>
        <v>3</v>
      </c>
      <c r="N20" s="143">
        <f>Plantilla!AC11</f>
        <v>5</v>
      </c>
      <c r="O20" s="143">
        <f>Plantilla!AD11</f>
        <v>14.333333333333334</v>
      </c>
      <c r="P20" s="70">
        <f t="shared" si="0"/>
        <v>22</v>
      </c>
      <c r="Q20" s="122">
        <f t="shared" ca="1" si="1"/>
        <v>51</v>
      </c>
      <c r="R20" s="79">
        <f t="shared" si="2"/>
        <v>4.7</v>
      </c>
      <c r="S20" s="158">
        <f t="shared" si="17"/>
        <v>0</v>
      </c>
      <c r="T20" s="158">
        <f>J20+T$2/3</f>
        <v>12</v>
      </c>
      <c r="U20" s="158">
        <f>K20+U$2/5</f>
        <v>15</v>
      </c>
      <c r="V20" s="158">
        <f t="shared" si="18"/>
        <v>3</v>
      </c>
      <c r="W20" s="158">
        <f t="shared" si="19"/>
        <v>3</v>
      </c>
      <c r="X20" s="158">
        <f>N20+X$2/5</f>
        <v>8.4</v>
      </c>
      <c r="Y20" s="158">
        <f t="shared" si="20"/>
        <v>14.333333333333334</v>
      </c>
      <c r="Z20" s="127">
        <f t="shared" si="10"/>
        <v>0</v>
      </c>
      <c r="AA20" s="127">
        <f t="shared" si="11"/>
        <v>0</v>
      </c>
      <c r="AB20" s="127">
        <f t="shared" si="12"/>
        <v>8</v>
      </c>
      <c r="AC20" s="127">
        <f t="shared" si="13"/>
        <v>0</v>
      </c>
      <c r="AD20" s="127">
        <f t="shared" si="14"/>
        <v>0</v>
      </c>
      <c r="AE20" s="127">
        <f t="shared" si="15"/>
        <v>3.4000000000000004</v>
      </c>
      <c r="AF20" s="127">
        <f t="shared" si="16"/>
        <v>0</v>
      </c>
      <c r="AH20" s="129" t="s">
        <v>610</v>
      </c>
      <c r="AI20" s="5"/>
      <c r="AJ20" s="130">
        <v>0</v>
      </c>
      <c r="AK20" s="130">
        <v>0</v>
      </c>
      <c r="AL20" s="130">
        <v>0</v>
      </c>
      <c r="AM20" s="131">
        <v>0</v>
      </c>
      <c r="AN20" s="131">
        <f>(AD22*0.142)+(AC22*0.221)+(AE22*0.26)</f>
        <v>0.7366666666666668</v>
      </c>
      <c r="AO20" s="130">
        <f>AN20</f>
        <v>0.7366666666666668</v>
      </c>
      <c r="AP20" s="131">
        <f>(AD22*0.369)+(AE22*1)</f>
        <v>2.8333333333333339</v>
      </c>
      <c r="AQ20" s="133">
        <f>(0.5*AE22+0.3*AF22)/10</f>
        <v>0.14166666666666669</v>
      </c>
      <c r="AR20" s="133">
        <f>(0.4*AA22+0.3*AF22)/10</f>
        <v>0</v>
      </c>
      <c r="AS20" s="132">
        <f>((T22+1)+(W22+1)*2)/8</f>
        <v>2.25</v>
      </c>
      <c r="AT20" s="132">
        <f>((AA22)+(AD22)*2)/8</f>
        <v>0</v>
      </c>
    </row>
    <row r="21" spans="1:46" s="66" customFormat="1" x14ac:dyDescent="0.25">
      <c r="A21" s="5" t="str">
        <f>Plantilla!A19</f>
        <v>#12</v>
      </c>
      <c r="B21" s="5" t="str">
        <f>Plantilla!B19</f>
        <v>MED</v>
      </c>
      <c r="C21" s="77" t="str">
        <f>Plantilla!D19</f>
        <v>P. Tuderek</v>
      </c>
      <c r="D21" s="55">
        <f>Plantilla!E19</f>
        <v>22</v>
      </c>
      <c r="E21" s="56">
        <f ca="1">Plantilla!F19</f>
        <v>22</v>
      </c>
      <c r="F21" s="71" t="str">
        <f>Plantilla!G19</f>
        <v>CAB</v>
      </c>
      <c r="G21" s="246">
        <f>Plantilla!H19</f>
        <v>4</v>
      </c>
      <c r="H21" s="57">
        <f>Plantilla!I19</f>
        <v>2.9</v>
      </c>
      <c r="I21" s="143">
        <f>Plantilla!X19</f>
        <v>0</v>
      </c>
      <c r="J21" s="143">
        <f>Plantilla!Y19</f>
        <v>6</v>
      </c>
      <c r="K21" s="143">
        <f>Plantilla!Z19</f>
        <v>12</v>
      </c>
      <c r="L21" s="143">
        <f>Plantilla!AA19</f>
        <v>2</v>
      </c>
      <c r="M21" s="143">
        <f>Plantilla!AB19</f>
        <v>3</v>
      </c>
      <c r="N21" s="143">
        <f>Plantilla!AC19</f>
        <v>6</v>
      </c>
      <c r="O21" s="143">
        <f>Plantilla!AD19</f>
        <v>17.25</v>
      </c>
      <c r="P21" s="70">
        <f t="shared" si="0"/>
        <v>22</v>
      </c>
      <c r="Q21" s="122">
        <f t="shared" ca="1" si="1"/>
        <v>29</v>
      </c>
      <c r="R21" s="79">
        <f t="shared" si="2"/>
        <v>2.9</v>
      </c>
      <c r="S21" s="158">
        <f t="shared" si="17"/>
        <v>0</v>
      </c>
      <c r="T21" s="158">
        <f>J21+T$2/5</f>
        <v>6</v>
      </c>
      <c r="U21" s="158">
        <f>K21+U$2/4</f>
        <v>22</v>
      </c>
      <c r="V21" s="158">
        <f t="shared" si="18"/>
        <v>2</v>
      </c>
      <c r="W21" s="158">
        <f t="shared" si="19"/>
        <v>3</v>
      </c>
      <c r="X21" s="158">
        <f>N21+X$2/4</f>
        <v>10.25</v>
      </c>
      <c r="Y21" s="158">
        <f t="shared" si="20"/>
        <v>17.25</v>
      </c>
      <c r="Z21" s="127">
        <f t="shared" si="10"/>
        <v>0</v>
      </c>
      <c r="AA21" s="127">
        <f t="shared" si="11"/>
        <v>0</v>
      </c>
      <c r="AB21" s="127">
        <f t="shared" si="12"/>
        <v>10</v>
      </c>
      <c r="AC21" s="127">
        <f t="shared" si="13"/>
        <v>0</v>
      </c>
      <c r="AD21" s="127">
        <f t="shared" si="14"/>
        <v>0</v>
      </c>
      <c r="AE21" s="127">
        <f t="shared" si="15"/>
        <v>4.25</v>
      </c>
      <c r="AF21" s="127">
        <f t="shared" si="16"/>
        <v>0</v>
      </c>
      <c r="AH21" s="129" t="s">
        <v>610</v>
      </c>
      <c r="AI21" s="5"/>
      <c r="AJ21" s="130">
        <v>0</v>
      </c>
      <c r="AK21" s="130">
        <v>0</v>
      </c>
      <c r="AL21" s="130">
        <v>0</v>
      </c>
      <c r="AM21" s="131">
        <v>0</v>
      </c>
      <c r="AN21" s="131">
        <v>0</v>
      </c>
      <c r="AO21" s="131">
        <f>AC8*0.588</f>
        <v>0</v>
      </c>
      <c r="AP21" s="131">
        <v>0</v>
      </c>
      <c r="AQ21" s="133">
        <f>AQ5</f>
        <v>0.14166666666666669</v>
      </c>
      <c r="AR21" s="133">
        <f>AR5</f>
        <v>0</v>
      </c>
      <c r="AS21" s="133">
        <f>AS5</f>
        <v>3</v>
      </c>
      <c r="AT21" s="133">
        <f>AT5</f>
        <v>0</v>
      </c>
    </row>
    <row r="22" spans="1:46" s="66" customFormat="1" x14ac:dyDescent="0.25">
      <c r="A22" s="5" t="str">
        <f>Plantilla!A9</f>
        <v>#2</v>
      </c>
      <c r="B22" s="5" t="str">
        <f>Plantilla!B9</f>
        <v>DEF</v>
      </c>
      <c r="C22" s="77" t="str">
        <f>Plantilla!D9</f>
        <v>L. Tutorić</v>
      </c>
      <c r="D22" s="55">
        <f>Plantilla!E9</f>
        <v>29</v>
      </c>
      <c r="E22" s="56">
        <f ca="1">Plantilla!F9</f>
        <v>19</v>
      </c>
      <c r="F22" s="71" t="str">
        <f>Plantilla!G9</f>
        <v>CAB</v>
      </c>
      <c r="G22" s="246">
        <f>Plantilla!H9</f>
        <v>3</v>
      </c>
      <c r="H22" s="57">
        <f>Plantilla!I9</f>
        <v>5.8</v>
      </c>
      <c r="I22" s="143">
        <f>Plantilla!X9</f>
        <v>0</v>
      </c>
      <c r="J22" s="143">
        <f>Plantilla!Y9</f>
        <v>13</v>
      </c>
      <c r="K22" s="143">
        <f>Plantilla!Z9</f>
        <v>6</v>
      </c>
      <c r="L22" s="143">
        <f>Plantilla!AA9</f>
        <v>2</v>
      </c>
      <c r="M22" s="143">
        <f>Plantilla!AB9</f>
        <v>1</v>
      </c>
      <c r="N22" s="143">
        <f>Plantilla!AC9</f>
        <v>7</v>
      </c>
      <c r="O22" s="143">
        <f>Plantilla!AD9</f>
        <v>15.333333333333334</v>
      </c>
      <c r="P22" s="70">
        <f t="shared" si="0"/>
        <v>29</v>
      </c>
      <c r="Q22" s="122">
        <f t="shared" ca="1" si="1"/>
        <v>26</v>
      </c>
      <c r="R22" s="79">
        <f t="shared" si="2"/>
        <v>5.8</v>
      </c>
      <c r="S22" s="158">
        <f t="shared" si="17"/>
        <v>0</v>
      </c>
      <c r="T22" s="158">
        <f>J22+T$2/4</f>
        <v>13</v>
      </c>
      <c r="U22" s="158">
        <f>K22+U$2/4</f>
        <v>16</v>
      </c>
      <c r="V22" s="158">
        <f t="shared" si="18"/>
        <v>2</v>
      </c>
      <c r="W22" s="158">
        <f t="shared" si="19"/>
        <v>1</v>
      </c>
      <c r="X22" s="158">
        <f>N22+X$2/6</f>
        <v>9.8333333333333339</v>
      </c>
      <c r="Y22" s="158">
        <f t="shared" si="20"/>
        <v>15.333333333333334</v>
      </c>
      <c r="Z22" s="127">
        <f t="shared" si="10"/>
        <v>0</v>
      </c>
      <c r="AA22" s="127">
        <f t="shared" si="11"/>
        <v>0</v>
      </c>
      <c r="AB22" s="127">
        <f t="shared" si="12"/>
        <v>10</v>
      </c>
      <c r="AC22" s="127">
        <f t="shared" si="13"/>
        <v>0</v>
      </c>
      <c r="AD22" s="127">
        <f t="shared" si="14"/>
        <v>0</v>
      </c>
      <c r="AE22" s="127">
        <f t="shared" si="15"/>
        <v>2.8333333333333339</v>
      </c>
      <c r="AF22" s="127">
        <f t="shared" si="16"/>
        <v>0</v>
      </c>
      <c r="AH22" s="129" t="s">
        <v>610</v>
      </c>
      <c r="AI22" s="86"/>
      <c r="AJ22" s="130">
        <v>0</v>
      </c>
      <c r="AK22" s="130">
        <v>0</v>
      </c>
      <c r="AL22" s="130">
        <v>0</v>
      </c>
      <c r="AM22" s="130">
        <v>0</v>
      </c>
      <c r="AN22" s="130" t="e">
        <f t="shared" ref="AN22:AT28" si="22">AN8</f>
        <v>#REF!</v>
      </c>
      <c r="AO22" s="130">
        <f t="shared" si="22"/>
        <v>0</v>
      </c>
      <c r="AP22" s="130" t="e">
        <f t="shared" si="22"/>
        <v>#REF!</v>
      </c>
      <c r="AQ22" s="132" t="e">
        <f t="shared" si="22"/>
        <v>#REF!</v>
      </c>
      <c r="AR22" s="132" t="e">
        <f t="shared" si="22"/>
        <v>#REF!</v>
      </c>
      <c r="AS22" s="132">
        <f t="shared" si="22"/>
        <v>0</v>
      </c>
      <c r="AT22" s="132">
        <f t="shared" si="22"/>
        <v>0</v>
      </c>
    </row>
    <row r="23" spans="1:46" s="1" customFormat="1" x14ac:dyDescent="0.25">
      <c r="A23" s="5" t="str">
        <f>Plantilla!A22</f>
        <v>#11</v>
      </c>
      <c r="B23" s="5" t="str">
        <f>Plantilla!B22</f>
        <v>MED</v>
      </c>
      <c r="C23" s="77" t="str">
        <f>Plantilla!D22</f>
        <v>J-P. Kechele</v>
      </c>
      <c r="D23" s="55">
        <f>Plantilla!E22</f>
        <v>29</v>
      </c>
      <c r="E23" s="56">
        <f ca="1">Plantilla!F22</f>
        <v>110</v>
      </c>
      <c r="F23" s="71" t="str">
        <f>Plantilla!G22</f>
        <v>CAB</v>
      </c>
      <c r="G23" s="246">
        <f>Plantilla!H22</f>
        <v>5</v>
      </c>
      <c r="H23" s="57">
        <f>Plantilla!I22</f>
        <v>7.5999999999999988</v>
      </c>
      <c r="I23" s="143">
        <f>Plantilla!X22</f>
        <v>0</v>
      </c>
      <c r="J23" s="143">
        <f>Plantilla!Y22</f>
        <v>4</v>
      </c>
      <c r="K23" s="143">
        <f>Plantilla!Z22</f>
        <v>14</v>
      </c>
      <c r="L23" s="143">
        <f>Plantilla!AA22</f>
        <v>4</v>
      </c>
      <c r="M23" s="143">
        <f>Plantilla!AB22</f>
        <v>9</v>
      </c>
      <c r="N23" s="143">
        <f>Plantilla!AC22</f>
        <v>8</v>
      </c>
      <c r="O23" s="143">
        <f>Plantilla!AD22</f>
        <v>19.25</v>
      </c>
      <c r="P23" s="70">
        <f t="shared" si="0"/>
        <v>29</v>
      </c>
      <c r="Q23" s="122">
        <f t="shared" ca="1" si="1"/>
        <v>117</v>
      </c>
      <c r="R23" s="79">
        <f t="shared" si="2"/>
        <v>7.5999999999999988</v>
      </c>
      <c r="S23" s="158">
        <f t="shared" si="17"/>
        <v>0</v>
      </c>
      <c r="T23" s="158">
        <f t="shared" ref="T23:U27" si="23">J23</f>
        <v>4</v>
      </c>
      <c r="U23" s="158">
        <f t="shared" si="23"/>
        <v>14</v>
      </c>
      <c r="V23" s="158">
        <f t="shared" si="18"/>
        <v>4</v>
      </c>
      <c r="W23" s="158">
        <f t="shared" si="19"/>
        <v>9</v>
      </c>
      <c r="X23" s="158">
        <f t="shared" ref="X23:Y27" si="24">N23</f>
        <v>8</v>
      </c>
      <c r="Y23" s="158">
        <f t="shared" si="24"/>
        <v>19.25</v>
      </c>
      <c r="Z23" s="127">
        <f t="shared" si="10"/>
        <v>0</v>
      </c>
      <c r="AA23" s="127">
        <f t="shared" si="11"/>
        <v>0</v>
      </c>
      <c r="AB23" s="127">
        <f t="shared" si="12"/>
        <v>0</v>
      </c>
      <c r="AC23" s="127">
        <f t="shared" si="13"/>
        <v>0</v>
      </c>
      <c r="AD23" s="127">
        <f t="shared" si="14"/>
        <v>0</v>
      </c>
      <c r="AE23" s="127">
        <f t="shared" si="15"/>
        <v>0</v>
      </c>
      <c r="AF23" s="127">
        <f t="shared" si="16"/>
        <v>0</v>
      </c>
      <c r="AH23" s="128" t="s">
        <v>197</v>
      </c>
      <c r="AI23" s="5"/>
      <c r="AJ23" s="130">
        <v>0</v>
      </c>
      <c r="AK23" s="130">
        <v>0</v>
      </c>
      <c r="AL23" s="130">
        <v>0</v>
      </c>
      <c r="AM23" s="131">
        <v>0</v>
      </c>
      <c r="AN23" s="131">
        <f t="shared" si="22"/>
        <v>0</v>
      </c>
      <c r="AO23" s="131">
        <f t="shared" si="22"/>
        <v>0</v>
      </c>
      <c r="AP23" s="131">
        <f t="shared" si="22"/>
        <v>0</v>
      </c>
      <c r="AQ23" s="133">
        <f t="shared" si="22"/>
        <v>0.17</v>
      </c>
      <c r="AR23" s="133">
        <f t="shared" si="22"/>
        <v>0</v>
      </c>
      <c r="AS23" s="133">
        <f t="shared" si="22"/>
        <v>0</v>
      </c>
      <c r="AT23" s="133">
        <f t="shared" si="22"/>
        <v>0</v>
      </c>
    </row>
    <row r="24" spans="1:46" s="1" customFormat="1" x14ac:dyDescent="0.25">
      <c r="A24" s="5" t="str">
        <f>Plantilla!A23</f>
        <v>#29</v>
      </c>
      <c r="B24" s="5" t="str">
        <f>Plantilla!B23</f>
        <v>DAV</v>
      </c>
      <c r="C24" s="77" t="str">
        <f>Plantilla!D23</f>
        <v>S. Zobbe</v>
      </c>
      <c r="D24" s="55">
        <f>Plantilla!E23</f>
        <v>36</v>
      </c>
      <c r="E24" s="56">
        <f ca="1">Plantilla!F23</f>
        <v>0</v>
      </c>
      <c r="F24" s="71" t="str">
        <f>Plantilla!G23</f>
        <v>CAB</v>
      </c>
      <c r="G24" s="246">
        <f>Plantilla!H23</f>
        <v>2</v>
      </c>
      <c r="H24" s="57">
        <f>Plantilla!I23</f>
        <v>15</v>
      </c>
      <c r="I24" s="143">
        <f>Plantilla!X23</f>
        <v>0</v>
      </c>
      <c r="J24" s="143">
        <f>Plantilla!Y23</f>
        <v>7.95</v>
      </c>
      <c r="K24" s="143">
        <f>Plantilla!Z23</f>
        <v>11.95</v>
      </c>
      <c r="L24" s="143">
        <f>Plantilla!AA23</f>
        <v>11.95</v>
      </c>
      <c r="M24" s="143">
        <f>Plantilla!AB23</f>
        <v>9.9499999999999993</v>
      </c>
      <c r="N24" s="143">
        <f>Plantilla!AC23</f>
        <v>4.95</v>
      </c>
      <c r="O24" s="143">
        <f>Plantilla!AD23</f>
        <v>18</v>
      </c>
      <c r="P24" s="70">
        <f t="shared" si="0"/>
        <v>36</v>
      </c>
      <c r="Q24" s="122">
        <f t="shared" ca="1" si="1"/>
        <v>7</v>
      </c>
      <c r="R24" s="79">
        <f t="shared" si="2"/>
        <v>15</v>
      </c>
      <c r="S24" s="158">
        <f t="shared" si="17"/>
        <v>0</v>
      </c>
      <c r="T24" s="158">
        <f t="shared" si="23"/>
        <v>7.95</v>
      </c>
      <c r="U24" s="158">
        <f t="shared" si="23"/>
        <v>11.95</v>
      </c>
      <c r="V24" s="158">
        <f t="shared" si="18"/>
        <v>11.95</v>
      </c>
      <c r="W24" s="158">
        <f t="shared" si="19"/>
        <v>9.9499999999999993</v>
      </c>
      <c r="X24" s="158">
        <f t="shared" si="24"/>
        <v>4.95</v>
      </c>
      <c r="Y24" s="158">
        <f t="shared" si="24"/>
        <v>18</v>
      </c>
      <c r="Z24" s="127">
        <f t="shared" si="10"/>
        <v>0</v>
      </c>
      <c r="AA24" s="127">
        <f t="shared" si="11"/>
        <v>0</v>
      </c>
      <c r="AB24" s="127">
        <f t="shared" si="12"/>
        <v>0</v>
      </c>
      <c r="AC24" s="127">
        <f t="shared" si="13"/>
        <v>0</v>
      </c>
      <c r="AD24" s="127">
        <f t="shared" si="14"/>
        <v>0</v>
      </c>
      <c r="AE24" s="127">
        <f t="shared" si="15"/>
        <v>0</v>
      </c>
      <c r="AF24" s="127">
        <f t="shared" si="16"/>
        <v>0</v>
      </c>
      <c r="AH24" s="129" t="s">
        <v>135</v>
      </c>
      <c r="AI24" s="5" t="str">
        <f t="shared" ref="AI24:AM28" si="25">AI9</f>
        <v>G. Piscaer</v>
      </c>
      <c r="AJ24" s="131">
        <f t="shared" si="25"/>
        <v>0</v>
      </c>
      <c r="AK24" s="131">
        <f t="shared" si="25"/>
        <v>0</v>
      </c>
      <c r="AL24" s="131">
        <f t="shared" si="25"/>
        <v>0</v>
      </c>
      <c r="AM24" s="131">
        <f t="shared" si="25"/>
        <v>8</v>
      </c>
      <c r="AN24" s="131">
        <f t="shared" si="22"/>
        <v>0</v>
      </c>
      <c r="AO24" s="131">
        <f t="shared" si="22"/>
        <v>0</v>
      </c>
      <c r="AP24" s="131">
        <f t="shared" si="22"/>
        <v>1.054</v>
      </c>
      <c r="AQ24" s="133">
        <f t="shared" si="22"/>
        <v>0.17</v>
      </c>
      <c r="AR24" s="133">
        <f t="shared" si="22"/>
        <v>0</v>
      </c>
      <c r="AS24" s="133">
        <f t="shared" si="22"/>
        <v>0</v>
      </c>
      <c r="AT24" s="133">
        <f t="shared" si="22"/>
        <v>0</v>
      </c>
    </row>
    <row r="25" spans="1:46" x14ac:dyDescent="0.25">
      <c r="A25" s="5" t="str">
        <f>Plantilla!A6</f>
        <v>#40</v>
      </c>
      <c r="B25" s="5" t="str">
        <f>Plantilla!B6</f>
        <v>DEF</v>
      </c>
      <c r="C25" s="77" t="str">
        <f>Plantilla!D6</f>
        <v>E. Toney</v>
      </c>
      <c r="D25" s="55">
        <f>Plantilla!E6</f>
        <v>39</v>
      </c>
      <c r="E25" s="56">
        <f ca="1">Plantilla!F6</f>
        <v>76</v>
      </c>
      <c r="F25" s="71"/>
      <c r="G25" s="246">
        <f>Plantilla!H6</f>
        <v>4</v>
      </c>
      <c r="H25" s="57">
        <f>Plantilla!I6</f>
        <v>19.100000000000001</v>
      </c>
      <c r="I25" s="143">
        <f>Plantilla!X6</f>
        <v>0</v>
      </c>
      <c r="J25" s="143">
        <f>Plantilla!Y6</f>
        <v>8.9499999999999975</v>
      </c>
      <c r="K25" s="143">
        <f>Plantilla!Z6</f>
        <v>7.95</v>
      </c>
      <c r="L25" s="143">
        <f>Plantilla!AA6</f>
        <v>4.95</v>
      </c>
      <c r="M25" s="143">
        <f>Plantilla!AB6</f>
        <v>3.95</v>
      </c>
      <c r="N25" s="143">
        <f>Plantilla!AC6</f>
        <v>0</v>
      </c>
      <c r="O25" s="143">
        <f>Plantilla!AD6</f>
        <v>15</v>
      </c>
      <c r="P25" s="70">
        <f t="shared" si="0"/>
        <v>39</v>
      </c>
      <c r="Q25" s="122">
        <f t="shared" ca="1" si="1"/>
        <v>83</v>
      </c>
      <c r="R25" s="79">
        <f t="shared" si="2"/>
        <v>19.100000000000001</v>
      </c>
      <c r="S25" s="158">
        <f t="shared" si="17"/>
        <v>0</v>
      </c>
      <c r="T25" s="158">
        <f t="shared" si="23"/>
        <v>8.9499999999999975</v>
      </c>
      <c r="U25" s="158">
        <f t="shared" si="23"/>
        <v>7.95</v>
      </c>
      <c r="V25" s="158">
        <f t="shared" si="18"/>
        <v>4.95</v>
      </c>
      <c r="W25" s="158">
        <f t="shared" si="19"/>
        <v>3.95</v>
      </c>
      <c r="X25" s="158">
        <f t="shared" si="24"/>
        <v>0</v>
      </c>
      <c r="Y25" s="158">
        <f t="shared" si="24"/>
        <v>15</v>
      </c>
      <c r="Z25" s="127">
        <f t="shared" si="10"/>
        <v>0</v>
      </c>
      <c r="AA25" s="127">
        <f t="shared" si="11"/>
        <v>0</v>
      </c>
      <c r="AB25" s="127">
        <f t="shared" si="12"/>
        <v>0</v>
      </c>
      <c r="AC25" s="127">
        <f t="shared" si="13"/>
        <v>0</v>
      </c>
      <c r="AD25" s="127">
        <f t="shared" si="14"/>
        <v>0</v>
      </c>
      <c r="AE25" s="127">
        <f t="shared" si="15"/>
        <v>0</v>
      </c>
      <c r="AF25" s="127">
        <f t="shared" si="16"/>
        <v>0</v>
      </c>
      <c r="AH25" s="129" t="s">
        <v>611</v>
      </c>
      <c r="AI25" s="5" t="str">
        <f t="shared" si="25"/>
        <v>R. Forsyth</v>
      </c>
      <c r="AJ25" s="131">
        <f t="shared" si="25"/>
        <v>0</v>
      </c>
      <c r="AK25" s="131">
        <f t="shared" si="25"/>
        <v>0</v>
      </c>
      <c r="AL25" s="131">
        <f t="shared" si="25"/>
        <v>0</v>
      </c>
      <c r="AM25" s="131">
        <f t="shared" si="25"/>
        <v>7.5519999999999996</v>
      </c>
      <c r="AN25" s="131">
        <f t="shared" si="22"/>
        <v>0</v>
      </c>
      <c r="AO25" s="131">
        <f t="shared" si="22"/>
        <v>0</v>
      </c>
      <c r="AP25" s="131">
        <f t="shared" si="22"/>
        <v>0</v>
      </c>
      <c r="AQ25" s="133">
        <f t="shared" si="22"/>
        <v>0.14166666666666669</v>
      </c>
      <c r="AR25" s="133">
        <f t="shared" si="22"/>
        <v>0</v>
      </c>
      <c r="AS25" s="133">
        <f t="shared" si="22"/>
        <v>0</v>
      </c>
      <c r="AT25" s="133">
        <f t="shared" si="22"/>
        <v>0</v>
      </c>
    </row>
    <row r="26" spans="1:46" s="1" customFormat="1" ht="14.25" customHeight="1" x14ac:dyDescent="0.25">
      <c r="A26" s="5" t="e">
        <f>#REF!</f>
        <v>#REF!</v>
      </c>
      <c r="B26" s="5" t="e">
        <f>#REF!</f>
        <v>#REF!</v>
      </c>
      <c r="C26" s="77" t="e">
        <f>#REF!</f>
        <v>#REF!</v>
      </c>
      <c r="D26" s="55" t="e">
        <f>#REF!</f>
        <v>#REF!</v>
      </c>
      <c r="E26" s="56" t="e">
        <f>#REF!</f>
        <v>#REF!</v>
      </c>
      <c r="F26" s="71" t="e">
        <f>#REF!</f>
        <v>#REF!</v>
      </c>
      <c r="G26" s="246" t="e">
        <f>#REF!</f>
        <v>#REF!</v>
      </c>
      <c r="H26" s="57" t="e">
        <f>#REF!</f>
        <v>#REF!</v>
      </c>
      <c r="I26" s="143" t="e">
        <f>#REF!</f>
        <v>#REF!</v>
      </c>
      <c r="J26" s="143" t="e">
        <f>#REF!</f>
        <v>#REF!</v>
      </c>
      <c r="K26" s="143" t="e">
        <f>#REF!</f>
        <v>#REF!</v>
      </c>
      <c r="L26" s="143" t="e">
        <f>#REF!</f>
        <v>#REF!</v>
      </c>
      <c r="M26" s="143" t="e">
        <f>#REF!</f>
        <v>#REF!</v>
      </c>
      <c r="N26" s="143" t="e">
        <f>#REF!</f>
        <v>#REF!</v>
      </c>
      <c r="O26" s="143" t="e">
        <f>#REF!</f>
        <v>#REF!</v>
      </c>
      <c r="P26" s="70" t="e">
        <f t="shared" si="0"/>
        <v>#REF!</v>
      </c>
      <c r="Q26" s="122" t="e">
        <f t="shared" si="1"/>
        <v>#REF!</v>
      </c>
      <c r="R26" s="79" t="e">
        <f t="shared" si="2"/>
        <v>#REF!</v>
      </c>
      <c r="S26" s="158" t="e">
        <f t="shared" si="17"/>
        <v>#REF!</v>
      </c>
      <c r="T26" s="158" t="e">
        <f t="shared" si="23"/>
        <v>#REF!</v>
      </c>
      <c r="U26" s="158" t="e">
        <f t="shared" si="23"/>
        <v>#REF!</v>
      </c>
      <c r="V26" s="158" t="e">
        <f t="shared" si="18"/>
        <v>#REF!</v>
      </c>
      <c r="W26" s="158" t="e">
        <f t="shared" si="19"/>
        <v>#REF!</v>
      </c>
      <c r="X26" s="158" t="e">
        <f t="shared" si="24"/>
        <v>#REF!</v>
      </c>
      <c r="Y26" s="158" t="e">
        <f t="shared" si="24"/>
        <v>#REF!</v>
      </c>
      <c r="Z26" s="127" t="e">
        <f t="shared" si="10"/>
        <v>#REF!</v>
      </c>
      <c r="AA26" s="127" t="e">
        <f t="shared" si="11"/>
        <v>#REF!</v>
      </c>
      <c r="AB26" s="127" t="e">
        <f t="shared" si="12"/>
        <v>#REF!</v>
      </c>
      <c r="AC26" s="127" t="e">
        <f t="shared" si="13"/>
        <v>#REF!</v>
      </c>
      <c r="AD26" s="127" t="e">
        <f t="shared" si="14"/>
        <v>#REF!</v>
      </c>
      <c r="AE26" s="127" t="e">
        <f t="shared" si="15"/>
        <v>#REF!</v>
      </c>
      <c r="AF26" s="127" t="e">
        <f t="shared" si="16"/>
        <v>#REF!</v>
      </c>
      <c r="AH26" s="129" t="s">
        <v>135</v>
      </c>
      <c r="AI26" s="5" t="str">
        <f t="shared" si="25"/>
        <v>I. Vanags</v>
      </c>
      <c r="AJ26" s="131">
        <f t="shared" si="25"/>
        <v>0</v>
      </c>
      <c r="AK26" s="131">
        <f t="shared" si="25"/>
        <v>0</v>
      </c>
      <c r="AL26" s="131">
        <f t="shared" si="25"/>
        <v>0</v>
      </c>
      <c r="AM26" s="131">
        <f t="shared" si="25"/>
        <v>8</v>
      </c>
      <c r="AN26" s="131">
        <f t="shared" si="22"/>
        <v>0</v>
      </c>
      <c r="AO26" s="131" t="e">
        <f t="shared" si="22"/>
        <v>#REF!</v>
      </c>
      <c r="AP26" s="131" t="e">
        <f t="shared" si="22"/>
        <v>#REF!</v>
      </c>
      <c r="AQ26" s="133" t="e">
        <f t="shared" si="22"/>
        <v>#REF!</v>
      </c>
      <c r="AR26" s="133" t="e">
        <f t="shared" si="22"/>
        <v>#REF!</v>
      </c>
      <c r="AS26" s="133">
        <f t="shared" si="22"/>
        <v>0</v>
      </c>
      <c r="AT26" s="133">
        <f t="shared" si="22"/>
        <v>0</v>
      </c>
    </row>
    <row r="27" spans="1:46" x14ac:dyDescent="0.25">
      <c r="A27" s="5" t="str">
        <f>Plantilla!A24</f>
        <v>#28</v>
      </c>
      <c r="B27" s="5" t="str">
        <f>Plantilla!B24</f>
        <v>DAV</v>
      </c>
      <c r="C27" s="77" t="str">
        <f>Plantilla!D24</f>
        <v>P .Trivadi</v>
      </c>
      <c r="D27" s="55">
        <f>Plantilla!E24</f>
        <v>35</v>
      </c>
      <c r="E27" s="56">
        <f ca="1">Plantilla!F24</f>
        <v>68</v>
      </c>
      <c r="F27" s="71"/>
      <c r="G27" s="246">
        <f>Plantilla!H24</f>
        <v>5</v>
      </c>
      <c r="H27" s="57">
        <f>Plantilla!I24</f>
        <v>6.3</v>
      </c>
      <c r="I27" s="143">
        <f>Plantilla!X24</f>
        <v>0</v>
      </c>
      <c r="J27" s="143">
        <f>Plantilla!Y24</f>
        <v>3.95</v>
      </c>
      <c r="K27" s="143">
        <f>Plantilla!Z24</f>
        <v>5.95</v>
      </c>
      <c r="L27" s="143">
        <f>Plantilla!AA24</f>
        <v>4.95</v>
      </c>
      <c r="M27" s="143">
        <f>Plantilla!AB24</f>
        <v>9.9499999999999993</v>
      </c>
      <c r="N27" s="143">
        <f>Plantilla!AC24</f>
        <v>5.95</v>
      </c>
      <c r="O27" s="143">
        <f>Plantilla!AD24</f>
        <v>15</v>
      </c>
      <c r="P27" s="70">
        <f t="shared" si="0"/>
        <v>35</v>
      </c>
      <c r="Q27" s="122">
        <f t="shared" ca="1" si="1"/>
        <v>75</v>
      </c>
      <c r="R27" s="79">
        <f t="shared" si="2"/>
        <v>6.3</v>
      </c>
      <c r="S27" s="158">
        <f t="shared" si="17"/>
        <v>0</v>
      </c>
      <c r="T27" s="158">
        <f t="shared" si="23"/>
        <v>3.95</v>
      </c>
      <c r="U27" s="158">
        <f t="shared" si="23"/>
        <v>5.95</v>
      </c>
      <c r="V27" s="158">
        <f t="shared" si="18"/>
        <v>4.95</v>
      </c>
      <c r="W27" s="158">
        <f t="shared" si="19"/>
        <v>9.9499999999999993</v>
      </c>
      <c r="X27" s="158">
        <f t="shared" si="24"/>
        <v>5.95</v>
      </c>
      <c r="Y27" s="158">
        <f t="shared" si="24"/>
        <v>15</v>
      </c>
      <c r="Z27" s="127">
        <f t="shared" si="10"/>
        <v>0</v>
      </c>
      <c r="AA27" s="127">
        <f t="shared" si="11"/>
        <v>0</v>
      </c>
      <c r="AB27" s="127">
        <f t="shared" si="12"/>
        <v>0</v>
      </c>
      <c r="AC27" s="127">
        <f t="shared" si="13"/>
        <v>0</v>
      </c>
      <c r="AD27" s="127">
        <f t="shared" si="14"/>
        <v>0</v>
      </c>
      <c r="AE27" s="127">
        <f t="shared" si="15"/>
        <v>0</v>
      </c>
      <c r="AF27" s="127">
        <f t="shared" si="16"/>
        <v>0</v>
      </c>
      <c r="AH27" s="129" t="s">
        <v>612</v>
      </c>
      <c r="AI27" s="5" t="str">
        <f t="shared" si="25"/>
        <v>I. Stone</v>
      </c>
      <c r="AJ27" s="131">
        <f t="shared" si="25"/>
        <v>0</v>
      </c>
      <c r="AK27" s="131">
        <f t="shared" si="25"/>
        <v>0</v>
      </c>
      <c r="AL27" s="131">
        <f t="shared" si="25"/>
        <v>0</v>
      </c>
      <c r="AM27" s="131">
        <f t="shared" si="25"/>
        <v>6.3100000000000005</v>
      </c>
      <c r="AN27" s="130">
        <f t="shared" si="22"/>
        <v>0.88400000000000012</v>
      </c>
      <c r="AO27" s="130">
        <f t="shared" si="22"/>
        <v>0.88400000000000012</v>
      </c>
      <c r="AP27" s="130">
        <f t="shared" si="22"/>
        <v>3.4000000000000004</v>
      </c>
      <c r="AQ27" s="180">
        <f t="shared" si="22"/>
        <v>0.17</v>
      </c>
      <c r="AR27" s="180">
        <f t="shared" si="22"/>
        <v>0</v>
      </c>
      <c r="AS27" s="132">
        <f t="shared" si="22"/>
        <v>0</v>
      </c>
      <c r="AT27" s="132">
        <f t="shared" si="22"/>
        <v>0</v>
      </c>
    </row>
    <row r="28" spans="1:46" x14ac:dyDescent="0.25">
      <c r="A28" s="5"/>
      <c r="B28" s="5"/>
      <c r="C28" s="77"/>
      <c r="D28" s="55"/>
      <c r="E28" s="56"/>
      <c r="F28" s="71"/>
      <c r="G28" s="246"/>
      <c r="H28" s="57"/>
      <c r="I28" s="143"/>
      <c r="J28" s="143"/>
      <c r="K28" s="143"/>
      <c r="L28" s="143"/>
      <c r="M28" s="143"/>
      <c r="N28" s="143"/>
      <c r="O28" s="143"/>
      <c r="P28" s="70"/>
      <c r="Q28" s="122"/>
      <c r="R28" s="79"/>
      <c r="S28" s="158"/>
      <c r="T28" s="158"/>
      <c r="U28" s="158"/>
      <c r="V28" s="158"/>
      <c r="W28" s="158"/>
      <c r="X28" s="158"/>
      <c r="Y28" s="158"/>
      <c r="Z28" s="127"/>
      <c r="AA28" s="127"/>
      <c r="AB28" s="127"/>
      <c r="AC28" s="127"/>
      <c r="AD28" s="127"/>
      <c r="AE28" s="127"/>
      <c r="AF28" s="127"/>
      <c r="AH28" s="129" t="s">
        <v>612</v>
      </c>
      <c r="AI28" s="5" t="str">
        <f t="shared" si="25"/>
        <v>M. Bondarewski</v>
      </c>
      <c r="AJ28" s="131">
        <f t="shared" si="25"/>
        <v>0</v>
      </c>
      <c r="AK28" s="131">
        <f t="shared" si="25"/>
        <v>0</v>
      </c>
      <c r="AL28" s="131">
        <f t="shared" si="25"/>
        <v>0</v>
      </c>
      <c r="AM28" s="131">
        <f t="shared" si="25"/>
        <v>5.048</v>
      </c>
      <c r="AN28" s="131" t="e">
        <f t="shared" si="22"/>
        <v>#REF!</v>
      </c>
      <c r="AO28" s="131" t="e">
        <f t="shared" si="22"/>
        <v>#REF!</v>
      </c>
      <c r="AP28" s="131" t="e">
        <f t="shared" si="22"/>
        <v>#REF!</v>
      </c>
      <c r="AQ28" s="132" t="e">
        <f t="shared" si="22"/>
        <v>#REF!</v>
      </c>
      <c r="AR28" s="132" t="e">
        <f t="shared" si="22"/>
        <v>#REF!</v>
      </c>
      <c r="AS28" s="132">
        <f t="shared" si="22"/>
        <v>0</v>
      </c>
      <c r="AT28" s="132">
        <f t="shared" si="22"/>
        <v>0</v>
      </c>
    </row>
    <row r="29" spans="1:46" x14ac:dyDescent="0.25">
      <c r="A29" s="5"/>
      <c r="B29" s="5"/>
      <c r="C29" s="77"/>
      <c r="D29" s="55"/>
      <c r="E29" s="56"/>
      <c r="F29" s="71"/>
      <c r="G29" s="246"/>
      <c r="H29" s="57"/>
      <c r="I29" s="143"/>
      <c r="J29" s="143"/>
      <c r="K29" s="143"/>
      <c r="L29" s="143"/>
      <c r="M29" s="143"/>
      <c r="N29" s="143"/>
      <c r="O29" s="143"/>
      <c r="P29" s="70"/>
      <c r="Q29" s="122"/>
      <c r="R29" s="79"/>
      <c r="S29" s="158"/>
      <c r="T29" s="158"/>
      <c r="U29" s="158"/>
      <c r="V29" s="158"/>
      <c r="W29" s="158"/>
      <c r="X29" s="158"/>
      <c r="Y29" s="158"/>
      <c r="Z29" s="127"/>
      <c r="AA29" s="127"/>
      <c r="AB29" s="127"/>
      <c r="AC29" s="127"/>
      <c r="AD29" s="127"/>
      <c r="AE29" s="127"/>
      <c r="AF29" s="127"/>
      <c r="AH29" s="3"/>
    </row>
    <row r="30" spans="1:46" x14ac:dyDescent="0.25">
      <c r="S30" s="49"/>
      <c r="T30" s="49"/>
      <c r="U30" s="49"/>
      <c r="V30" s="49"/>
      <c r="W30" s="49"/>
      <c r="X30" s="49"/>
      <c r="Y30" s="49"/>
    </row>
    <row r="31" spans="1:46" x14ac:dyDescent="0.25">
      <c r="S31" s="49"/>
      <c r="T31" s="49"/>
      <c r="U31" s="49"/>
      <c r="V31" s="49"/>
      <c r="W31" s="49"/>
      <c r="X31" s="49"/>
      <c r="Y31" s="49"/>
    </row>
    <row r="32" spans="1:46" x14ac:dyDescent="0.25">
      <c r="S32" s="49"/>
      <c r="T32" s="49"/>
      <c r="U32" s="49"/>
      <c r="V32" s="49"/>
      <c r="W32" s="49"/>
      <c r="X32" s="49"/>
      <c r="Y32" s="49"/>
    </row>
    <row r="33" spans="19:25" x14ac:dyDescent="0.25">
      <c r="S33" s="49"/>
      <c r="T33" s="49"/>
      <c r="U33" s="49"/>
      <c r="V33" s="49"/>
      <c r="W33" s="49"/>
      <c r="X33" s="49"/>
      <c r="Y33" s="49"/>
    </row>
  </sheetData>
  <mergeCells count="4">
    <mergeCell ref="AH1:AT1"/>
    <mergeCell ref="D2:F2"/>
    <mergeCell ref="AH3:AI3"/>
    <mergeCell ref="AH17:AI17"/>
  </mergeCells>
  <conditionalFormatting sqref="AJ18:AL23">
    <cfRule type="cellIs" dxfId="23" priority="1" operator="greaterThan">
      <formula>0</formula>
    </cfRule>
  </conditionalFormatting>
  <conditionalFormatting sqref="S4:Y12 S23:Y27">
    <cfRule type="colorScale" priority="2">
      <colorScale>
        <cfvo type="min"/>
        <cfvo type="max"/>
        <color rgb="FFFCFCFF"/>
        <color rgb="FFF8696B"/>
      </colorScale>
    </cfRule>
  </conditionalFormatting>
  <conditionalFormatting sqref="AJ16:AP16">
    <cfRule type="cellIs" dxfId="22" priority="3" operator="greaterThan">
      <formula>0</formula>
    </cfRule>
  </conditionalFormatting>
  <conditionalFormatting sqref="AJ2:AP2">
    <cfRule type="cellIs" dxfId="21" priority="4" operator="greaterThan">
      <formula>0</formula>
    </cfRule>
  </conditionalFormatting>
  <conditionalFormatting sqref="AO20">
    <cfRule type="cellIs" dxfId="20" priority="5" operator="greaterThan">
      <formula>0</formula>
    </cfRule>
  </conditionalFormatting>
  <conditionalFormatting sqref="AN28:AP28">
    <cfRule type="cellIs" dxfId="19" priority="6" operator="greaterThan">
      <formula>0</formula>
    </cfRule>
  </conditionalFormatting>
  <conditionalFormatting sqref="AM14:AP14">
    <cfRule type="cellIs" dxfId="18" priority="7" operator="greaterThan">
      <formula>0</formula>
    </cfRule>
  </conditionalFormatting>
  <conditionalFormatting sqref="AN27:AP27">
    <cfRule type="cellIs" dxfId="17" priority="8" operator="greaterThan">
      <formula>0</formula>
    </cfRule>
  </conditionalFormatting>
  <conditionalFormatting sqref="AN26:AP26">
    <cfRule type="cellIs" dxfId="16" priority="9" operator="greaterThan">
      <formula>0</formula>
    </cfRule>
  </conditionalFormatting>
  <conditionalFormatting sqref="AN25:AP25">
    <cfRule type="cellIs" dxfId="15" priority="10" operator="greaterThan">
      <formula>0</formula>
    </cfRule>
  </conditionalFormatting>
  <conditionalFormatting sqref="AM23:AP23">
    <cfRule type="cellIs" dxfId="14" priority="11" operator="greaterThan">
      <formula>0</formula>
    </cfRule>
  </conditionalFormatting>
  <conditionalFormatting sqref="AM18:AP18">
    <cfRule type="cellIs" dxfId="13" priority="12" operator="greaterThan">
      <formula>0</formula>
    </cfRule>
  </conditionalFormatting>
  <conditionalFormatting sqref="AM19:AP19 AM20:AN20 AP20 AM21:AP22 AJ24:AP24 AJ25:AM28">
    <cfRule type="cellIs" dxfId="12" priority="13" operator="greaterThan">
      <formula>0</formula>
    </cfRule>
  </conditionalFormatting>
  <conditionalFormatting sqref="AJ4:AP13 AJ14:AL14">
    <cfRule type="cellIs" dxfId="11" priority="14" operator="greaterThan">
      <formula>0</formula>
    </cfRule>
  </conditionalFormatting>
  <conditionalFormatting sqref="Z4:AF29">
    <cfRule type="cellIs" dxfId="10" priority="15" operator="greaterThan">
      <formula>0</formula>
    </cfRule>
  </conditionalFormatting>
  <conditionalFormatting sqref="I4:O29">
    <cfRule type="cellIs" dxfId="9" priority="16" operator="greaterThan">
      <formula>8</formula>
    </cfRule>
  </conditionalFormatting>
  <conditionalFormatting sqref="I4:O29">
    <cfRule type="colorScale" priority="17">
      <colorScale>
        <cfvo type="min"/>
        <cfvo type="max"/>
        <color rgb="FFFFEF9C"/>
        <color rgb="FFFF7128"/>
      </colorScale>
    </cfRule>
  </conditionalFormatting>
  <conditionalFormatting sqref="S13:Y22 S28:Y29">
    <cfRule type="colorScale" priority="18">
      <colorScale>
        <cfvo type="min"/>
        <cfvo type="max"/>
        <color rgb="FFFFEF9C"/>
        <color rgb="FF63BE7B"/>
      </colorScale>
    </cfRule>
  </conditionalFormatting>
  <conditionalFormatting sqref="H4:H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33299999999999" right="0.70833299999999999" top="0.74791700000000005" bottom="0.74791700000000005" header="0.315278" footer="0.315278"/>
  <pageSetup paperSize="9" scale="55" fitToWidth="0" orientation="landscape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ABF8F"/>
  </sheetPr>
  <dimension ref="A1:AG34"/>
  <sheetViews>
    <sheetView zoomScale="90" workbookViewId="0">
      <selection activeCell="G25" sqref="G25"/>
    </sheetView>
  </sheetViews>
  <sheetFormatPr baseColWidth="10" defaultColWidth="11.42578125" defaultRowHeight="15" x14ac:dyDescent="0.25"/>
  <cols>
    <col min="1" max="1" width="13.28515625" style="58" customWidth="1"/>
    <col min="2" max="2" width="14.28515625" style="58" customWidth="1"/>
    <col min="3" max="10" width="8.28515625" style="58" customWidth="1"/>
    <col min="11" max="11" width="9.28515625" style="58" customWidth="1"/>
    <col min="12" max="12" width="8.28515625" style="58" customWidth="1"/>
    <col min="14" max="14" width="13.42578125" customWidth="1"/>
    <col min="15" max="15" width="15" customWidth="1"/>
    <col min="16" max="22" width="8.42578125" customWidth="1"/>
    <col min="23" max="23" width="7.85546875" customWidth="1"/>
    <col min="24" max="24" width="7.140625" customWidth="1"/>
    <col min="25" max="25" width="7.7109375" style="142" customWidth="1"/>
    <col min="26" max="26" width="7.140625" customWidth="1"/>
    <col min="27" max="27" width="7.7109375" customWidth="1"/>
    <col min="28" max="28" width="7.140625" customWidth="1"/>
    <col min="29" max="29" width="7.7109375" customWidth="1"/>
    <col min="30" max="31" width="8.42578125" customWidth="1"/>
    <col min="32" max="33" width="7.140625" customWidth="1"/>
  </cols>
  <sheetData>
    <row r="1" spans="1:33" x14ac:dyDescent="0.25">
      <c r="B1" s="3" t="s">
        <v>613</v>
      </c>
      <c r="C1" s="187">
        <f t="shared" ref="C1:L1" si="0">MAX(C3:C27)</f>
        <v>7.6541020779221203E-2</v>
      </c>
      <c r="D1" s="187">
        <f t="shared" si="0"/>
        <v>9.5167093706293476E-2</v>
      </c>
      <c r="E1" s="187">
        <f t="shared" si="0"/>
        <v>0.10114897692307692</v>
      </c>
      <c r="F1" s="187">
        <f t="shared" si="0"/>
        <v>5.254696863959811E-2</v>
      </c>
      <c r="G1" s="187">
        <f t="shared" si="0"/>
        <v>5.2239892473118131E-2</v>
      </c>
      <c r="H1" s="187">
        <f t="shared" si="0"/>
        <v>8.0176190476190193E-2</v>
      </c>
      <c r="I1" s="187">
        <f t="shared" si="0"/>
        <v>5.7961761904761842E-2</v>
      </c>
      <c r="J1" s="187">
        <f t="shared" si="0"/>
        <v>0</v>
      </c>
      <c r="K1" s="187">
        <f t="shared" si="0"/>
        <v>3.6222627372627401E-2</v>
      </c>
      <c r="L1" s="187">
        <f t="shared" si="0"/>
        <v>0.16964285714285698</v>
      </c>
      <c r="N1" s="58"/>
      <c r="O1" s="58"/>
      <c r="P1" s="159"/>
      <c r="Q1" s="159"/>
      <c r="R1" s="159"/>
      <c r="S1" s="159"/>
      <c r="T1" s="159"/>
      <c r="U1" s="159"/>
      <c r="V1" s="159"/>
      <c r="W1" s="159"/>
      <c r="X1" s="159"/>
      <c r="Y1" s="217"/>
      <c r="Z1" s="159"/>
      <c r="AA1" s="159"/>
      <c r="AB1" s="159"/>
      <c r="AC1" s="159"/>
      <c r="AD1" s="159"/>
      <c r="AE1" s="159"/>
      <c r="AF1" s="159"/>
      <c r="AG1" s="159"/>
    </row>
    <row r="2" spans="1:33" x14ac:dyDescent="0.25">
      <c r="A2" s="212" t="s">
        <v>614</v>
      </c>
      <c r="B2" s="213" t="s">
        <v>615</v>
      </c>
      <c r="C2" s="95" t="s">
        <v>601</v>
      </c>
      <c r="D2" s="162" t="s">
        <v>602</v>
      </c>
      <c r="E2" s="162" t="s">
        <v>603</v>
      </c>
      <c r="F2" s="162" t="s">
        <v>604</v>
      </c>
      <c r="G2" s="162" t="s">
        <v>605</v>
      </c>
      <c r="H2" s="162" t="s">
        <v>606</v>
      </c>
      <c r="I2" s="162" t="s">
        <v>607</v>
      </c>
      <c r="J2" s="162" t="s">
        <v>608</v>
      </c>
      <c r="K2" s="162" t="s">
        <v>609</v>
      </c>
      <c r="L2" s="162" t="s">
        <v>496</v>
      </c>
      <c r="N2" s="212" t="s">
        <v>614</v>
      </c>
      <c r="O2" s="213" t="s">
        <v>615</v>
      </c>
      <c r="P2" s="95" t="s">
        <v>601</v>
      </c>
      <c r="Q2" s="162" t="s">
        <v>616</v>
      </c>
      <c r="R2" s="162" t="s">
        <v>602</v>
      </c>
      <c r="S2" s="162" t="s">
        <v>616</v>
      </c>
      <c r="T2" s="162" t="s">
        <v>603</v>
      </c>
      <c r="U2" s="162" t="s">
        <v>616</v>
      </c>
      <c r="V2" s="162" t="s">
        <v>604</v>
      </c>
      <c r="W2" s="162" t="s">
        <v>616</v>
      </c>
      <c r="X2" s="162" t="s">
        <v>605</v>
      </c>
      <c r="Y2" s="162" t="s">
        <v>616</v>
      </c>
      <c r="Z2" s="162" t="s">
        <v>606</v>
      </c>
      <c r="AA2" s="162" t="s">
        <v>616</v>
      </c>
      <c r="AB2" s="162" t="s">
        <v>607</v>
      </c>
      <c r="AC2" s="162" t="s">
        <v>616</v>
      </c>
      <c r="AD2" s="184" t="s">
        <v>608</v>
      </c>
      <c r="AE2" s="184" t="s">
        <v>616</v>
      </c>
      <c r="AF2" s="184" t="s">
        <v>609</v>
      </c>
      <c r="AG2" s="184" t="s">
        <v>616</v>
      </c>
    </row>
    <row r="3" spans="1:33" x14ac:dyDescent="0.25">
      <c r="A3" s="161" t="s">
        <v>617</v>
      </c>
      <c r="B3" s="160" t="s">
        <v>618</v>
      </c>
      <c r="C3" s="170"/>
      <c r="D3" s="171"/>
      <c r="E3" s="171"/>
      <c r="F3" s="171"/>
      <c r="G3" s="171"/>
      <c r="H3" s="171"/>
      <c r="I3" s="171"/>
      <c r="J3" s="171"/>
      <c r="K3" s="171"/>
      <c r="L3" s="171"/>
      <c r="N3" s="70" t="s">
        <v>617</v>
      </c>
      <c r="O3" s="160" t="s">
        <v>618</v>
      </c>
      <c r="P3" s="173">
        <f>C3/$C$4</f>
        <v>0</v>
      </c>
      <c r="Q3" s="225" t="e">
        <f>1/C3</f>
        <v>#DIV/0!</v>
      </c>
      <c r="R3" s="173">
        <f>D3/D1</f>
        <v>0</v>
      </c>
      <c r="S3" s="225" t="e">
        <f>1/D3</f>
        <v>#DIV/0!</v>
      </c>
      <c r="T3" s="173">
        <f>E3/E1</f>
        <v>0</v>
      </c>
      <c r="U3" s="225" t="e">
        <f>1/E3</f>
        <v>#DIV/0!</v>
      </c>
      <c r="V3" s="174"/>
      <c r="W3" s="174"/>
      <c r="X3" s="174"/>
      <c r="Y3" s="218"/>
      <c r="Z3" s="174"/>
      <c r="AA3" s="174"/>
      <c r="AB3" s="174"/>
      <c r="AC3" s="174"/>
      <c r="AD3" s="174"/>
      <c r="AE3" s="174"/>
      <c r="AF3" s="174">
        <f>K3/K1</f>
        <v>0</v>
      </c>
      <c r="AG3" s="218"/>
    </row>
    <row r="4" spans="1:33" x14ac:dyDescent="0.25">
      <c r="A4" s="513" t="s">
        <v>619</v>
      </c>
      <c r="B4" s="168" t="s">
        <v>356</v>
      </c>
      <c r="C4" s="188">
        <v>5.9340247552447697E-2</v>
      </c>
      <c r="D4" s="183">
        <v>6.8999559240759498E-2</v>
      </c>
      <c r="E4" s="183">
        <v>7.5579372027972047E-2</v>
      </c>
      <c r="F4" s="183"/>
      <c r="G4" s="183"/>
      <c r="H4" s="183"/>
      <c r="I4" s="183"/>
      <c r="J4" s="183">
        <v>0</v>
      </c>
      <c r="K4" s="183">
        <v>3.6222627372627401E-2</v>
      </c>
      <c r="L4" s="183"/>
      <c r="N4" s="513" t="s">
        <v>619</v>
      </c>
      <c r="O4" s="168" t="s">
        <v>356</v>
      </c>
      <c r="P4" s="175">
        <f>C4/$C$1</f>
        <v>0.77527379369046712</v>
      </c>
      <c r="Q4" s="219">
        <f>1/C4</f>
        <v>16.851968794301929</v>
      </c>
      <c r="R4" s="176">
        <f>D4/$D$1</f>
        <v>0.72503589795131573</v>
      </c>
      <c r="S4" s="219">
        <f>1/D4</f>
        <v>14.492846200809916</v>
      </c>
      <c r="T4" s="176">
        <f>E4/$E$1</f>
        <v>0.74720846742176761</v>
      </c>
      <c r="U4" s="219">
        <f>1/E4</f>
        <v>13.231123429153373</v>
      </c>
      <c r="V4" s="176"/>
      <c r="W4" s="176"/>
      <c r="X4" s="175"/>
      <c r="Y4" s="219"/>
      <c r="Z4" s="176"/>
      <c r="AA4" s="176"/>
      <c r="AB4" s="176"/>
      <c r="AC4" s="176"/>
      <c r="AD4" s="175"/>
      <c r="AE4" s="175"/>
      <c r="AF4" s="175">
        <f>K4/K1</f>
        <v>1</v>
      </c>
      <c r="AG4" s="223"/>
    </row>
    <row r="5" spans="1:33" x14ac:dyDescent="0.25">
      <c r="A5" s="513"/>
      <c r="B5" s="168" t="s">
        <v>358</v>
      </c>
      <c r="C5" s="185"/>
      <c r="D5" s="172"/>
      <c r="E5" s="172"/>
      <c r="F5" s="172">
        <v>5.254696863959811E-2</v>
      </c>
      <c r="G5" s="172"/>
      <c r="H5" s="172"/>
      <c r="I5" s="172"/>
      <c r="J5" s="172"/>
      <c r="K5" s="172"/>
      <c r="L5" s="172"/>
      <c r="N5" s="513"/>
      <c r="O5" s="168" t="s">
        <v>358</v>
      </c>
      <c r="P5" s="177"/>
      <c r="Q5" s="220"/>
      <c r="R5" s="164"/>
      <c r="S5" s="220"/>
      <c r="T5" s="164"/>
      <c r="U5" s="220"/>
      <c r="V5" s="164">
        <f>F5/F1</f>
        <v>1</v>
      </c>
      <c r="W5" s="220">
        <f>1/F5</f>
        <v>19.03059350309362</v>
      </c>
      <c r="X5" s="177"/>
      <c r="Y5" s="220"/>
      <c r="Z5" s="164"/>
      <c r="AA5" s="164"/>
      <c r="AB5" s="164"/>
      <c r="AC5" s="164"/>
      <c r="AD5" s="177"/>
      <c r="AE5" s="177"/>
      <c r="AF5" s="177"/>
      <c r="AG5" s="222"/>
    </row>
    <row r="6" spans="1:33" x14ac:dyDescent="0.25">
      <c r="A6" s="513"/>
      <c r="B6" s="168" t="s">
        <v>620</v>
      </c>
      <c r="C6" s="185"/>
      <c r="D6" s="172"/>
      <c r="E6" s="172"/>
      <c r="F6" s="172"/>
      <c r="G6" s="172">
        <v>3.9584999999999822E-2</v>
      </c>
      <c r="H6" s="172">
        <v>6.3542692307692147E-2</v>
      </c>
      <c r="I6" s="172">
        <v>0</v>
      </c>
      <c r="J6" s="172"/>
      <c r="K6" s="172"/>
      <c r="L6" s="172"/>
      <c r="N6" s="513"/>
      <c r="O6" s="168" t="s">
        <v>620</v>
      </c>
      <c r="P6" s="177"/>
      <c r="Q6" s="220"/>
      <c r="R6" s="164"/>
      <c r="S6" s="220"/>
      <c r="T6" s="164"/>
      <c r="U6" s="220"/>
      <c r="V6" s="164"/>
      <c r="W6" s="220"/>
      <c r="X6" s="177">
        <f>G6/$G$1</f>
        <v>0.75775423964300215</v>
      </c>
      <c r="Y6" s="220">
        <f>1/G6</f>
        <v>25.262094227611584</v>
      </c>
      <c r="Z6" s="164">
        <f>H6/$H$1</f>
        <v>0.79253818284821509</v>
      </c>
      <c r="AA6" s="220">
        <f>1/H6</f>
        <v>15.737450896126811</v>
      </c>
      <c r="AB6" s="164">
        <f>I6/$I$1</f>
        <v>0</v>
      </c>
      <c r="AC6" s="164"/>
      <c r="AD6" s="177"/>
      <c r="AE6" s="177"/>
      <c r="AF6" s="177"/>
      <c r="AG6" s="222"/>
    </row>
    <row r="7" spans="1:33" x14ac:dyDescent="0.25">
      <c r="A7" s="513"/>
      <c r="B7" s="168" t="s">
        <v>621</v>
      </c>
      <c r="C7" s="185"/>
      <c r="D7" s="172"/>
      <c r="E7" s="172"/>
      <c r="F7" s="172"/>
      <c r="G7" s="172">
        <v>3.3714285714285648E-2</v>
      </c>
      <c r="H7" s="172">
        <v>3.433928571428569E-2</v>
      </c>
      <c r="I7" s="172">
        <v>4.9198011904761835E-2</v>
      </c>
      <c r="J7" s="172"/>
      <c r="K7" s="172"/>
      <c r="L7" s="172"/>
      <c r="N7" s="513"/>
      <c r="O7" s="168" t="s">
        <v>621</v>
      </c>
      <c r="P7" s="177"/>
      <c r="Q7" s="220"/>
      <c r="R7" s="164"/>
      <c r="S7" s="220"/>
      <c r="T7" s="164"/>
      <c r="U7" s="220"/>
      <c r="V7" s="164"/>
      <c r="W7" s="220"/>
      <c r="X7" s="177">
        <f>G7/$G$1</f>
        <v>0.64537433210902029</v>
      </c>
      <c r="Y7" s="220">
        <f>1/G7</f>
        <v>29.6610169491526</v>
      </c>
      <c r="Z7" s="164">
        <f>H7/$H$1</f>
        <v>0.42829779651957123</v>
      </c>
      <c r="AA7" s="220">
        <f>1/H7</f>
        <v>29.121164846593885</v>
      </c>
      <c r="AB7" s="164">
        <f>I7/$I$1</f>
        <v>0.84880118008835026</v>
      </c>
      <c r="AC7" s="220">
        <f>1/I7</f>
        <v>20.326024594973742</v>
      </c>
      <c r="AD7" s="177"/>
      <c r="AE7" s="177"/>
      <c r="AF7" s="177"/>
      <c r="AG7" s="222"/>
    </row>
    <row r="8" spans="1:33" x14ac:dyDescent="0.25">
      <c r="A8" s="513"/>
      <c r="B8" s="168" t="s">
        <v>199</v>
      </c>
      <c r="C8" s="185"/>
      <c r="D8" s="172"/>
      <c r="E8" s="172"/>
      <c r="F8" s="172"/>
      <c r="G8" s="172"/>
      <c r="H8" s="172"/>
      <c r="I8" s="172"/>
      <c r="J8" s="172"/>
      <c r="K8" s="172"/>
      <c r="L8" s="172"/>
      <c r="N8" s="513"/>
      <c r="O8" s="168" t="s">
        <v>199</v>
      </c>
      <c r="P8" s="177"/>
      <c r="Q8" s="220"/>
      <c r="R8" s="164"/>
      <c r="S8" s="220"/>
      <c r="T8" s="164"/>
      <c r="U8" s="220"/>
      <c r="V8" s="164"/>
      <c r="W8" s="220"/>
      <c r="X8" s="177"/>
      <c r="Y8" s="220"/>
      <c r="Z8" s="164"/>
      <c r="AA8" s="220"/>
      <c r="AB8" s="164"/>
      <c r="AC8" s="220"/>
      <c r="AD8" s="177"/>
      <c r="AE8" s="222"/>
      <c r="AF8" s="177"/>
      <c r="AG8" s="222"/>
    </row>
    <row r="9" spans="1:33" x14ac:dyDescent="0.25">
      <c r="A9" s="513"/>
      <c r="B9" s="168" t="s">
        <v>200</v>
      </c>
      <c r="C9" s="186"/>
      <c r="D9" s="163"/>
      <c r="E9" s="163"/>
      <c r="F9" s="163"/>
      <c r="G9" s="163"/>
      <c r="H9" s="163"/>
      <c r="I9" s="163"/>
      <c r="J9" s="163"/>
      <c r="K9" s="163"/>
      <c r="L9" s="163"/>
      <c r="N9" s="513"/>
      <c r="O9" s="168" t="s">
        <v>200</v>
      </c>
      <c r="P9" s="178"/>
      <c r="Q9" s="221"/>
      <c r="R9" s="165"/>
      <c r="S9" s="221"/>
      <c r="T9" s="165"/>
      <c r="U9" s="221"/>
      <c r="V9" s="165"/>
      <c r="W9" s="221"/>
      <c r="X9" s="178"/>
      <c r="Y9" s="221"/>
      <c r="Z9" s="165"/>
      <c r="AA9" s="165"/>
      <c r="AB9" s="165"/>
      <c r="AC9" s="165"/>
      <c r="AD9" s="178" t="e">
        <f>J9/$J$1</f>
        <v>#DIV/0!</v>
      </c>
      <c r="AE9" s="224" t="e">
        <f>1/J9</f>
        <v>#DIV/0!</v>
      </c>
      <c r="AF9" s="178">
        <f>K9/$K$1</f>
        <v>0</v>
      </c>
      <c r="AG9" s="224" t="e">
        <f>1/K9</f>
        <v>#DIV/0!</v>
      </c>
    </row>
    <row r="10" spans="1:33" x14ac:dyDescent="0.25">
      <c r="A10" s="514" t="s">
        <v>622</v>
      </c>
      <c r="B10" s="169" t="s">
        <v>356</v>
      </c>
      <c r="C10" s="188">
        <v>4.0980247552447772E-2</v>
      </c>
      <c r="D10" s="183">
        <v>7.0304873926074096E-2</v>
      </c>
      <c r="E10" s="183">
        <v>4.057937202797221E-2</v>
      </c>
      <c r="F10" s="183"/>
      <c r="G10" s="183"/>
      <c r="H10" s="183"/>
      <c r="I10" s="183"/>
      <c r="J10" s="183">
        <v>0</v>
      </c>
      <c r="K10" s="183">
        <v>3.0871978021978067E-2</v>
      </c>
      <c r="L10" s="183"/>
      <c r="N10" s="514" t="s">
        <v>622</v>
      </c>
      <c r="O10" s="169" t="s">
        <v>356</v>
      </c>
      <c r="P10" s="177">
        <f>C10/$C$1</f>
        <v>0.53540241736066307</v>
      </c>
      <c r="Q10" s="219">
        <f>1/C10</f>
        <v>24.401999981092587</v>
      </c>
      <c r="R10" s="176">
        <f>D10/$D$1</f>
        <v>0.73875192766788023</v>
      </c>
      <c r="S10" s="219">
        <f>1/D10</f>
        <v>14.223764927755999</v>
      </c>
      <c r="T10" s="176">
        <f>E10/$E$1</f>
        <v>0.40118420632996155</v>
      </c>
      <c r="U10" s="219">
        <f>1/E10</f>
        <v>24.643062472989456</v>
      </c>
      <c r="V10" s="164"/>
      <c r="W10" s="220"/>
      <c r="X10" s="177"/>
      <c r="Y10" s="220"/>
      <c r="Z10" s="164"/>
      <c r="AA10" s="164"/>
      <c r="AB10" s="164"/>
      <c r="AC10" s="164"/>
      <c r="AD10" s="177"/>
      <c r="AE10" s="164"/>
      <c r="AF10" s="164">
        <f>K10/K1</f>
        <v>0.85228433885796218</v>
      </c>
      <c r="AG10" s="220"/>
    </row>
    <row r="11" spans="1:33" x14ac:dyDescent="0.25">
      <c r="A11" s="513"/>
      <c r="B11" s="168" t="s">
        <v>358</v>
      </c>
      <c r="C11" s="185"/>
      <c r="D11" s="172"/>
      <c r="E11" s="172"/>
      <c r="F11" s="172">
        <v>5.1022557865187314E-2</v>
      </c>
      <c r="G11" s="172"/>
      <c r="H11" s="172"/>
      <c r="I11" s="172"/>
      <c r="J11" s="172"/>
      <c r="K11" s="172"/>
      <c r="L11" s="172"/>
      <c r="N11" s="513"/>
      <c r="O11" s="168" t="s">
        <v>358</v>
      </c>
      <c r="P11" s="177"/>
      <c r="Q11" s="220"/>
      <c r="R11" s="164"/>
      <c r="S11" s="220"/>
      <c r="T11" s="164"/>
      <c r="U11" s="220"/>
      <c r="V11" s="164">
        <f>F11/F1</f>
        <v>0.97098955822045196</v>
      </c>
      <c r="W11" s="220">
        <f>1/F11</f>
        <v>19.599174205303804</v>
      </c>
      <c r="X11" s="177"/>
      <c r="Y11" s="220"/>
      <c r="Z11" s="164"/>
      <c r="AA11" s="164"/>
      <c r="AB11" s="164"/>
      <c r="AC11" s="164"/>
      <c r="AD11" s="177"/>
      <c r="AE11" s="164"/>
      <c r="AF11" s="164"/>
      <c r="AG11" s="220"/>
    </row>
    <row r="12" spans="1:33" x14ac:dyDescent="0.25">
      <c r="A12" s="513"/>
      <c r="B12" s="168" t="s">
        <v>620</v>
      </c>
      <c r="C12" s="185"/>
      <c r="D12" s="172"/>
      <c r="E12" s="172"/>
      <c r="F12" s="172"/>
      <c r="G12" s="172">
        <v>4.221595238095216E-2</v>
      </c>
      <c r="H12" s="172">
        <v>6.617364468864452E-2</v>
      </c>
      <c r="I12" s="172">
        <v>0</v>
      </c>
      <c r="J12" s="172"/>
      <c r="K12" s="172"/>
      <c r="L12" s="172"/>
      <c r="N12" s="513"/>
      <c r="O12" s="168" t="s">
        <v>620</v>
      </c>
      <c r="P12" s="177"/>
      <c r="Q12" s="220"/>
      <c r="R12" s="164"/>
      <c r="S12" s="220"/>
      <c r="T12" s="164"/>
      <c r="U12" s="220"/>
      <c r="V12" s="164"/>
      <c r="W12" s="220"/>
      <c r="X12" s="177">
        <f>G12/$G$1</f>
        <v>0.80811713773484239</v>
      </c>
      <c r="Y12" s="220">
        <f>1/G12</f>
        <v>23.687728064881938</v>
      </c>
      <c r="Z12" s="164">
        <f>H12/$H$1</f>
        <v>0.82535281728427856</v>
      </c>
      <c r="AA12" s="220">
        <f>1/H12</f>
        <v>15.111756420628305</v>
      </c>
      <c r="AB12" s="164">
        <f>I12/$I$1</f>
        <v>0</v>
      </c>
      <c r="AC12" s="220"/>
      <c r="AD12" s="177"/>
      <c r="AE12" s="164"/>
      <c r="AF12" s="164"/>
      <c r="AG12" s="220"/>
    </row>
    <row r="13" spans="1:33" x14ac:dyDescent="0.25">
      <c r="A13" s="513"/>
      <c r="B13" s="168" t="s">
        <v>621</v>
      </c>
      <c r="C13" s="185"/>
      <c r="D13" s="172"/>
      <c r="E13" s="172"/>
      <c r="F13" s="172"/>
      <c r="G13" s="172">
        <v>3.8151785714285645E-2</v>
      </c>
      <c r="H13" s="172">
        <v>3.8776785714285687E-2</v>
      </c>
      <c r="I13" s="172">
        <v>5.7961761904761842E-2</v>
      </c>
      <c r="J13" s="172"/>
      <c r="K13" s="172"/>
      <c r="L13" s="172"/>
      <c r="N13" s="513"/>
      <c r="O13" s="168" t="s">
        <v>621</v>
      </c>
      <c r="P13" s="177"/>
      <c r="Q13" s="220"/>
      <c r="R13" s="164"/>
      <c r="S13" s="220"/>
      <c r="T13" s="164"/>
      <c r="U13" s="220"/>
      <c r="V13" s="164"/>
      <c r="W13" s="220"/>
      <c r="X13" s="177">
        <f>G13/$G$1</f>
        <v>0.73031899393586974</v>
      </c>
      <c r="Y13" s="220">
        <f>1/G13</f>
        <v>26.211092908963305</v>
      </c>
      <c r="Z13" s="164">
        <f>H13/$H$1</f>
        <v>0.48364465166003584</v>
      </c>
      <c r="AA13" s="220">
        <f>1/H13</f>
        <v>25.788625374165342</v>
      </c>
      <c r="AB13" s="164">
        <f>I13/$I$1</f>
        <v>1</v>
      </c>
      <c r="AC13" s="220">
        <f>1/I13</f>
        <v>17.252753662718543</v>
      </c>
      <c r="AD13" s="177"/>
      <c r="AE13" s="164"/>
      <c r="AF13" s="164"/>
      <c r="AG13" s="220"/>
    </row>
    <row r="14" spans="1:33" x14ac:dyDescent="0.25">
      <c r="A14" s="513"/>
      <c r="B14" s="168" t="s">
        <v>199</v>
      </c>
      <c r="C14" s="185"/>
      <c r="D14" s="172"/>
      <c r="E14" s="172"/>
      <c r="F14" s="172"/>
      <c r="G14" s="172"/>
      <c r="H14" s="172"/>
      <c r="I14" s="172"/>
      <c r="J14" s="172"/>
      <c r="K14" s="172"/>
      <c r="L14" s="172"/>
      <c r="N14" s="513"/>
      <c r="O14" s="168" t="s">
        <v>199</v>
      </c>
      <c r="P14" s="177"/>
      <c r="Q14" s="220"/>
      <c r="R14" s="164"/>
      <c r="S14" s="220"/>
      <c r="T14" s="164"/>
      <c r="U14" s="220"/>
      <c r="V14" s="164"/>
      <c r="W14" s="220"/>
      <c r="X14" s="177"/>
      <c r="Y14" s="220"/>
      <c r="Z14" s="164"/>
      <c r="AA14" s="220"/>
      <c r="AB14" s="164"/>
      <c r="AC14" s="220"/>
      <c r="AD14" s="177"/>
      <c r="AE14" s="222"/>
      <c r="AF14" s="177"/>
      <c r="AG14" s="222"/>
    </row>
    <row r="15" spans="1:33" x14ac:dyDescent="0.25">
      <c r="A15" s="513"/>
      <c r="B15" s="168" t="s">
        <v>200</v>
      </c>
      <c r="C15" s="186"/>
      <c r="D15" s="163"/>
      <c r="E15" s="163"/>
      <c r="F15" s="163"/>
      <c r="G15" s="163"/>
      <c r="H15" s="163"/>
      <c r="I15" s="163"/>
      <c r="J15" s="163"/>
      <c r="K15" s="163"/>
      <c r="L15" s="163"/>
      <c r="N15" s="513"/>
      <c r="O15" s="168" t="s">
        <v>200</v>
      </c>
      <c r="P15" s="178"/>
      <c r="Q15" s="221"/>
      <c r="R15" s="165"/>
      <c r="S15" s="221"/>
      <c r="T15" s="165"/>
      <c r="U15" s="221"/>
      <c r="V15" s="165"/>
      <c r="W15" s="221"/>
      <c r="X15" s="178"/>
      <c r="Y15" s="221"/>
      <c r="Z15" s="165"/>
      <c r="AA15" s="165"/>
      <c r="AB15" s="165"/>
      <c r="AC15" s="165"/>
      <c r="AD15" s="178" t="e">
        <f>J15/$J$1</f>
        <v>#DIV/0!</v>
      </c>
      <c r="AE15" s="224" t="e">
        <f>1/J15</f>
        <v>#DIV/0!</v>
      </c>
      <c r="AF15" s="178">
        <f>K15/$K$1</f>
        <v>0</v>
      </c>
      <c r="AG15" s="224" t="e">
        <f>1/K15</f>
        <v>#DIV/0!</v>
      </c>
    </row>
    <row r="16" spans="1:33" x14ac:dyDescent="0.25">
      <c r="A16" s="514" t="s">
        <v>623</v>
      </c>
      <c r="B16" s="169" t="s">
        <v>356</v>
      </c>
      <c r="C16" s="185">
        <v>5.8181020779221264E-2</v>
      </c>
      <c r="D16" s="172">
        <v>7.6807093706293572E-2</v>
      </c>
      <c r="E16" s="172">
        <v>6.614897692307703E-2</v>
      </c>
      <c r="F16" s="172"/>
      <c r="G16" s="172"/>
      <c r="H16" s="172"/>
      <c r="I16" s="172"/>
      <c r="J16" s="172">
        <v>0</v>
      </c>
      <c r="K16" s="172">
        <v>2.9990859140859208E-2</v>
      </c>
      <c r="L16" s="172">
        <v>4.1477272727272967E-2</v>
      </c>
      <c r="N16" s="514" t="s">
        <v>623</v>
      </c>
      <c r="O16" s="169" t="s">
        <v>356</v>
      </c>
      <c r="P16" s="177">
        <f>C16/$C$1</f>
        <v>0.76012862367019574</v>
      </c>
      <c r="Q16" s="219">
        <f>1/C16</f>
        <v>17.18773556405424</v>
      </c>
      <c r="R16" s="176">
        <f>D16/$D$1</f>
        <v>0.80707617218339256</v>
      </c>
      <c r="S16" s="219">
        <f>1/D16</f>
        <v>13.019630762543226</v>
      </c>
      <c r="T16" s="176">
        <f>E16/$E$1</f>
        <v>0.65397573890819338</v>
      </c>
      <c r="U16" s="219">
        <f>1/E16</f>
        <v>15.117391780115884</v>
      </c>
      <c r="V16" s="164"/>
      <c r="W16" s="220"/>
      <c r="X16" s="164"/>
      <c r="Y16" s="220"/>
      <c r="Z16" s="164"/>
      <c r="AA16" s="164"/>
      <c r="AB16" s="164"/>
      <c r="AC16" s="164"/>
      <c r="AD16" s="164"/>
      <c r="AE16" s="164"/>
      <c r="AF16" s="164">
        <f>K16/K1</f>
        <v>0.827959243053766</v>
      </c>
      <c r="AG16" s="220"/>
    </row>
    <row r="17" spans="1:33" x14ac:dyDescent="0.25">
      <c r="A17" s="513"/>
      <c r="B17" s="168" t="s">
        <v>358</v>
      </c>
      <c r="C17" s="185"/>
      <c r="D17" s="172"/>
      <c r="E17" s="172"/>
      <c r="F17" s="172">
        <v>4.2273232055429683E-2</v>
      </c>
      <c r="G17" s="172"/>
      <c r="H17" s="172"/>
      <c r="I17" s="172"/>
      <c r="J17" s="172"/>
      <c r="K17" s="172"/>
      <c r="L17" s="172"/>
      <c r="N17" s="513"/>
      <c r="O17" s="168" t="s">
        <v>358</v>
      </c>
      <c r="P17" s="177"/>
      <c r="Q17" s="220"/>
      <c r="R17" s="164"/>
      <c r="S17" s="220"/>
      <c r="T17" s="164"/>
      <c r="U17" s="220"/>
      <c r="V17" s="164">
        <f>F17/F1</f>
        <v>0.80448469530882905</v>
      </c>
      <c r="W17" s="220">
        <f>1/F17</f>
        <v>23.655631504323487</v>
      </c>
      <c r="X17" s="164"/>
      <c r="Y17" s="220"/>
      <c r="Z17" s="164"/>
      <c r="AA17" s="164"/>
      <c r="AB17" s="164"/>
      <c r="AC17" s="164"/>
      <c r="AD17" s="164"/>
      <c r="AE17" s="164"/>
      <c r="AF17" s="164"/>
      <c r="AG17" s="220"/>
    </row>
    <row r="18" spans="1:33" x14ac:dyDescent="0.25">
      <c r="A18" s="513"/>
      <c r="B18" s="168" t="s">
        <v>620</v>
      </c>
      <c r="C18" s="185"/>
      <c r="D18" s="172"/>
      <c r="E18" s="172"/>
      <c r="F18" s="172"/>
      <c r="G18" s="172">
        <v>5.2239892473118131E-2</v>
      </c>
      <c r="H18" s="172">
        <v>8.0176190476190193E-2</v>
      </c>
      <c r="I18" s="172">
        <v>0</v>
      </c>
      <c r="J18" s="172"/>
      <c r="K18" s="172"/>
      <c r="L18" s="172"/>
      <c r="N18" s="513"/>
      <c r="O18" s="168" t="s">
        <v>620</v>
      </c>
      <c r="P18" s="177"/>
      <c r="Q18" s="220"/>
      <c r="R18" s="164"/>
      <c r="S18" s="220"/>
      <c r="T18" s="164"/>
      <c r="U18" s="220"/>
      <c r="V18" s="164"/>
      <c r="W18" s="220"/>
      <c r="X18" s="164">
        <f>G18/$G$1</f>
        <v>1</v>
      </c>
      <c r="Y18" s="220">
        <f>1/G18</f>
        <v>19.142459003233689</v>
      </c>
      <c r="Z18" s="164">
        <f>H18/$H$1</f>
        <v>1</v>
      </c>
      <c r="AA18" s="220">
        <f>1/H18</f>
        <v>12.472530735879358</v>
      </c>
      <c r="AB18" s="164">
        <f>I18/$I$1</f>
        <v>0</v>
      </c>
      <c r="AC18" s="220"/>
      <c r="AD18" s="164"/>
      <c r="AE18" s="164"/>
      <c r="AF18" s="164"/>
      <c r="AG18" s="220"/>
    </row>
    <row r="19" spans="1:33" x14ac:dyDescent="0.25">
      <c r="A19" s="513"/>
      <c r="B19" s="168" t="s">
        <v>621</v>
      </c>
      <c r="C19" s="185"/>
      <c r="D19" s="172"/>
      <c r="E19" s="172"/>
      <c r="F19" s="172"/>
      <c r="G19" s="172">
        <v>2.5968749999999964E-2</v>
      </c>
      <c r="H19" s="172">
        <v>2.5281250000000002E-2</v>
      </c>
      <c r="I19" s="172">
        <v>3.0639083333333317E-2</v>
      </c>
      <c r="J19" s="172"/>
      <c r="K19" s="172"/>
      <c r="L19" s="172">
        <v>0.1339285714285714</v>
      </c>
      <c r="M19" s="228">
        <f>1/L19</f>
        <v>7.4666666666666686</v>
      </c>
      <c r="N19" s="513"/>
      <c r="O19" s="168" t="s">
        <v>621</v>
      </c>
      <c r="P19" s="177"/>
      <c r="Q19" s="220"/>
      <c r="R19" s="164"/>
      <c r="S19" s="220"/>
      <c r="T19" s="164"/>
      <c r="U19" s="220"/>
      <c r="V19" s="164"/>
      <c r="W19" s="220"/>
      <c r="X19" s="164">
        <f>G19/$G$1</f>
        <v>0.4971057322402242</v>
      </c>
      <c r="Y19" s="220">
        <f>1/G19</f>
        <v>38.507821901323759</v>
      </c>
      <c r="Z19" s="164">
        <f>H19/$H$1</f>
        <v>0.31532116766645002</v>
      </c>
      <c r="AA19" s="220">
        <f>1/H19</f>
        <v>39.555006180469711</v>
      </c>
      <c r="AB19" s="164">
        <f>I19/$I$1</f>
        <v>0.52860855720150501</v>
      </c>
      <c r="AC19" s="220">
        <f>1/I19</f>
        <v>32.63805216104705</v>
      </c>
      <c r="AD19" s="164"/>
      <c r="AE19" s="164"/>
      <c r="AF19" s="164"/>
      <c r="AG19" s="220"/>
    </row>
    <row r="20" spans="1:33" x14ac:dyDescent="0.25">
      <c r="A20" s="513"/>
      <c r="B20" s="168" t="s">
        <v>199</v>
      </c>
      <c r="C20" s="185"/>
      <c r="D20" s="172"/>
      <c r="E20" s="172"/>
      <c r="F20" s="172"/>
      <c r="G20" s="172"/>
      <c r="H20" s="172"/>
      <c r="I20" s="172"/>
      <c r="J20" s="172"/>
      <c r="K20" s="172"/>
      <c r="L20" s="172"/>
      <c r="N20" s="513"/>
      <c r="O20" s="168" t="s">
        <v>199</v>
      </c>
      <c r="P20" s="177"/>
      <c r="Q20" s="220"/>
      <c r="R20" s="164"/>
      <c r="S20" s="220"/>
      <c r="T20" s="164"/>
      <c r="U20" s="220"/>
      <c r="V20" s="164"/>
      <c r="W20" s="220"/>
      <c r="X20" s="164"/>
      <c r="Y20" s="220"/>
      <c r="Z20" s="164"/>
      <c r="AA20" s="220"/>
      <c r="AB20" s="164"/>
      <c r="AC20" s="220"/>
      <c r="AD20" s="164"/>
      <c r="AE20" s="222"/>
      <c r="AF20" s="177"/>
      <c r="AG20" s="222"/>
    </row>
    <row r="21" spans="1:33" x14ac:dyDescent="0.25">
      <c r="A21" s="513"/>
      <c r="B21" s="168" t="s">
        <v>200</v>
      </c>
      <c r="C21" s="185"/>
      <c r="D21" s="172"/>
      <c r="E21" s="172"/>
      <c r="F21" s="172"/>
      <c r="G21" s="172"/>
      <c r="H21" s="172"/>
      <c r="I21" s="172"/>
      <c r="J21" s="172"/>
      <c r="K21" s="172"/>
      <c r="L21" s="172"/>
      <c r="N21" s="513"/>
      <c r="O21" s="168" t="s">
        <v>200</v>
      </c>
      <c r="P21" s="178"/>
      <c r="Q21" s="221"/>
      <c r="R21" s="165"/>
      <c r="S21" s="221"/>
      <c r="T21" s="165"/>
      <c r="U21" s="221"/>
      <c r="V21" s="165"/>
      <c r="W21" s="221"/>
      <c r="X21" s="165"/>
      <c r="Y21" s="221"/>
      <c r="Z21" s="165"/>
      <c r="AA21" s="165"/>
      <c r="AB21" s="165"/>
      <c r="AC21" s="164"/>
      <c r="AD21" s="164" t="e">
        <f>J21/$J$1</f>
        <v>#DIV/0!</v>
      </c>
      <c r="AE21" s="224" t="e">
        <f>1/J21</f>
        <v>#DIV/0!</v>
      </c>
      <c r="AF21" s="178">
        <f>K21/$K$1</f>
        <v>0</v>
      </c>
      <c r="AG21" s="224" t="e">
        <f>1/K21</f>
        <v>#DIV/0!</v>
      </c>
    </row>
    <row r="22" spans="1:33" x14ac:dyDescent="0.25">
      <c r="A22" s="514" t="s">
        <v>624</v>
      </c>
      <c r="B22" s="181" t="s">
        <v>356</v>
      </c>
      <c r="C22" s="188">
        <v>7.6541020779221203E-2</v>
      </c>
      <c r="D22" s="183">
        <v>9.5167093706293476E-2</v>
      </c>
      <c r="E22" s="183">
        <v>0.10114897692307692</v>
      </c>
      <c r="F22" s="183"/>
      <c r="G22" s="183"/>
      <c r="H22" s="183"/>
      <c r="I22" s="183"/>
      <c r="J22" s="183">
        <v>0</v>
      </c>
      <c r="K22" s="183">
        <v>3.3705144855144906E-2</v>
      </c>
      <c r="L22" s="183">
        <v>5.9334415584415767E-2</v>
      </c>
      <c r="N22" s="514" t="s">
        <v>624</v>
      </c>
      <c r="O22" s="169" t="s">
        <v>356</v>
      </c>
      <c r="P22" s="177">
        <f>C22/$C$1</f>
        <v>1</v>
      </c>
      <c r="Q22" s="219">
        <f>1/C22</f>
        <v>13.064889778311823</v>
      </c>
      <c r="R22" s="176">
        <f>D22/$D$1</f>
        <v>1</v>
      </c>
      <c r="S22" s="219">
        <f>1/D22</f>
        <v>10.507833759074531</v>
      </c>
      <c r="T22" s="176">
        <f>E22/$E$1</f>
        <v>1</v>
      </c>
      <c r="U22" s="226">
        <f>1/E22</f>
        <v>9.8864074597659339</v>
      </c>
      <c r="V22" s="214"/>
      <c r="W22" s="223"/>
      <c r="X22" s="177"/>
      <c r="Y22" s="220"/>
      <c r="Z22" s="164"/>
      <c r="AA22" s="164"/>
      <c r="AB22" s="177"/>
      <c r="AC22" s="175"/>
      <c r="AD22" s="175"/>
      <c r="AE22" s="164"/>
      <c r="AF22" s="164">
        <f>K22/K1</f>
        <v>0.93049972627372413</v>
      </c>
      <c r="AG22" s="220"/>
    </row>
    <row r="23" spans="1:33" x14ac:dyDescent="0.25">
      <c r="A23" s="513"/>
      <c r="B23" s="182" t="s">
        <v>358</v>
      </c>
      <c r="C23" s="185"/>
      <c r="D23" s="172"/>
      <c r="E23" s="172"/>
      <c r="F23" s="172">
        <v>4.3797642829840472E-2</v>
      </c>
      <c r="G23" s="172"/>
      <c r="H23" s="172"/>
      <c r="I23" s="172"/>
      <c r="J23" s="172"/>
      <c r="K23" s="172"/>
      <c r="L23" s="172"/>
      <c r="N23" s="513"/>
      <c r="O23" s="168" t="s">
        <v>358</v>
      </c>
      <c r="P23" s="177"/>
      <c r="Q23" s="220"/>
      <c r="R23" s="164"/>
      <c r="S23" s="220"/>
      <c r="T23" s="164"/>
      <c r="U23" s="217"/>
      <c r="V23" s="215">
        <f>F23/F1</f>
        <v>0.83349513708837697</v>
      </c>
      <c r="W23" s="222">
        <f>1/F23</f>
        <v>22.832278985541066</v>
      </c>
      <c r="X23" s="177"/>
      <c r="Y23" s="220"/>
      <c r="Z23" s="164"/>
      <c r="AA23" s="164"/>
      <c r="AB23" s="177"/>
      <c r="AC23" s="177"/>
      <c r="AD23" s="177"/>
      <c r="AE23" s="164"/>
      <c r="AF23" s="164"/>
      <c r="AG23" s="220"/>
    </row>
    <row r="24" spans="1:33" x14ac:dyDescent="0.25">
      <c r="A24" s="513"/>
      <c r="B24" s="182" t="s">
        <v>620</v>
      </c>
      <c r="C24" s="185"/>
      <c r="D24" s="172"/>
      <c r="E24" s="172"/>
      <c r="F24" s="172"/>
      <c r="G24" s="172">
        <v>4.8379892473118219E-2</v>
      </c>
      <c r="H24" s="172">
        <v>7.5159999999999713E-2</v>
      </c>
      <c r="I24" s="172">
        <v>0</v>
      </c>
      <c r="J24" s="172"/>
      <c r="K24" s="172"/>
      <c r="L24" s="172"/>
      <c r="N24" s="513"/>
      <c r="O24" s="168" t="s">
        <v>620</v>
      </c>
      <c r="P24" s="177"/>
      <c r="Q24" s="220"/>
      <c r="R24" s="164"/>
      <c r="S24" s="220"/>
      <c r="T24" s="164"/>
      <c r="U24" s="217"/>
      <c r="V24" s="215"/>
      <c r="W24" s="222"/>
      <c r="X24" s="177">
        <f>G24/$G$1</f>
        <v>0.9261101082475196</v>
      </c>
      <c r="Y24" s="220">
        <f>1/G24</f>
        <v>20.669744161908575</v>
      </c>
      <c r="Z24" s="164">
        <f>H24/$H$1</f>
        <v>0.93743541010868892</v>
      </c>
      <c r="AA24" s="220">
        <f>1/H24</f>
        <v>13.304949441192175</v>
      </c>
      <c r="AB24" s="164">
        <f>I24/$I$1</f>
        <v>0</v>
      </c>
      <c r="AC24" s="222"/>
      <c r="AD24" s="177"/>
      <c r="AE24" s="164"/>
      <c r="AF24" s="164"/>
      <c r="AG24" s="220"/>
    </row>
    <row r="25" spans="1:33" x14ac:dyDescent="0.25">
      <c r="A25" s="513"/>
      <c r="B25" s="182" t="s">
        <v>621</v>
      </c>
      <c r="C25" s="185"/>
      <c r="D25" s="172"/>
      <c r="E25" s="172"/>
      <c r="F25" s="172"/>
      <c r="G25" s="172">
        <v>2.3874999999999962E-2</v>
      </c>
      <c r="H25" s="172">
        <v>2.31875E-2</v>
      </c>
      <c r="I25" s="172">
        <v>2.7005333333333322E-2</v>
      </c>
      <c r="J25" s="172"/>
      <c r="K25" s="172"/>
      <c r="L25" s="172">
        <v>0.16964285714285698</v>
      </c>
      <c r="M25" s="228">
        <f>1/L25</f>
        <v>5.894736842105269</v>
      </c>
      <c r="N25" s="513"/>
      <c r="O25" s="168" t="s">
        <v>621</v>
      </c>
      <c r="P25" s="177"/>
      <c r="Q25" s="220"/>
      <c r="R25" s="164"/>
      <c r="S25" s="220"/>
      <c r="T25" s="164"/>
      <c r="U25" s="217"/>
      <c r="V25" s="215"/>
      <c r="W25" s="222"/>
      <c r="X25" s="177">
        <f>G25/$G$1</f>
        <v>0.45702620870220362</v>
      </c>
      <c r="Y25" s="220">
        <f>1/G25</f>
        <v>41.884816753926771</v>
      </c>
      <c r="Z25" s="164">
        <f>H25/$H$1</f>
        <v>0.28920680643820262</v>
      </c>
      <c r="AA25" s="220">
        <f>1/H25</f>
        <v>43.126684636118597</v>
      </c>
      <c r="AB25" s="164">
        <f>I25/$I$1</f>
        <v>0.46591636357960164</v>
      </c>
      <c r="AC25" s="222">
        <f>1/I25</f>
        <v>37.0297225239459</v>
      </c>
      <c r="AD25" s="177"/>
      <c r="AE25" s="164"/>
      <c r="AF25" s="164"/>
      <c r="AG25" s="220"/>
    </row>
    <row r="26" spans="1:33" x14ac:dyDescent="0.25">
      <c r="A26" s="513"/>
      <c r="B26" s="182" t="s">
        <v>199</v>
      </c>
      <c r="C26" s="185"/>
      <c r="D26" s="172"/>
      <c r="E26" s="172"/>
      <c r="F26" s="172"/>
      <c r="G26" s="172"/>
      <c r="H26" s="172"/>
      <c r="I26" s="172"/>
      <c r="J26" s="172"/>
      <c r="K26" s="172"/>
      <c r="L26" s="172"/>
      <c r="N26" s="513"/>
      <c r="O26" s="168" t="s">
        <v>199</v>
      </c>
      <c r="P26" s="177"/>
      <c r="Q26" s="220"/>
      <c r="R26" s="164"/>
      <c r="S26" s="220"/>
      <c r="T26" s="164"/>
      <c r="U26" s="217"/>
      <c r="V26" s="215"/>
      <c r="W26" s="177"/>
      <c r="X26" s="177"/>
      <c r="Y26" s="220"/>
      <c r="Z26" s="164"/>
      <c r="AA26" s="220"/>
      <c r="AB26" s="164"/>
      <c r="AC26" s="222"/>
      <c r="AD26" s="177"/>
      <c r="AE26" s="222"/>
      <c r="AF26" s="177"/>
      <c r="AG26" s="222"/>
    </row>
    <row r="27" spans="1:33" x14ac:dyDescent="0.25">
      <c r="A27" s="513"/>
      <c r="B27" s="168" t="s">
        <v>200</v>
      </c>
      <c r="C27" s="186"/>
      <c r="D27" s="163"/>
      <c r="E27" s="163"/>
      <c r="F27" s="163"/>
      <c r="G27" s="163"/>
      <c r="H27" s="163"/>
      <c r="I27" s="163"/>
      <c r="J27" s="163"/>
      <c r="K27" s="163"/>
      <c r="L27" s="163"/>
      <c r="N27" s="513"/>
      <c r="O27" s="168" t="s">
        <v>200</v>
      </c>
      <c r="P27" s="178"/>
      <c r="Q27" s="221"/>
      <c r="R27" s="165"/>
      <c r="S27" s="221"/>
      <c r="T27" s="165"/>
      <c r="U27" s="227"/>
      <c r="V27" s="216"/>
      <c r="W27" s="178"/>
      <c r="X27" s="178"/>
      <c r="Y27" s="221"/>
      <c r="Z27" s="165"/>
      <c r="AA27" s="165"/>
      <c r="AB27" s="178"/>
      <c r="AC27" s="178"/>
      <c r="AD27" s="178" t="e">
        <f>J27/$J$1</f>
        <v>#DIV/0!</v>
      </c>
      <c r="AE27" s="224" t="e">
        <f>1/J27</f>
        <v>#DIV/0!</v>
      </c>
      <c r="AF27" s="178">
        <f>K27/$K$1</f>
        <v>0</v>
      </c>
      <c r="AG27" s="224" t="e">
        <f>1/K27</f>
        <v>#DIV/0!</v>
      </c>
    </row>
    <row r="28" spans="1:33" x14ac:dyDescent="0.25">
      <c r="Q28" s="142"/>
      <c r="S28" s="142"/>
      <c r="U28" s="142"/>
    </row>
    <row r="29" spans="1:33" x14ac:dyDescent="0.25">
      <c r="Q29" s="142"/>
      <c r="S29" s="142"/>
      <c r="U29" s="142"/>
    </row>
    <row r="30" spans="1:33" x14ac:dyDescent="0.25">
      <c r="B30" s="166" t="s">
        <v>194</v>
      </c>
      <c r="Q30" s="142"/>
      <c r="S30" s="142"/>
      <c r="U30" s="142"/>
    </row>
    <row r="31" spans="1:33" x14ac:dyDescent="0.25">
      <c r="B31" s="167">
        <v>42724</v>
      </c>
      <c r="Q31" s="142"/>
      <c r="S31" s="142"/>
    </row>
    <row r="32" spans="1:33" x14ac:dyDescent="0.25">
      <c r="Q32" s="142"/>
    </row>
    <row r="33" spans="17:17" x14ac:dyDescent="0.25">
      <c r="Q33" s="142"/>
    </row>
    <row r="34" spans="17:17" x14ac:dyDescent="0.25">
      <c r="Q34" s="142"/>
    </row>
  </sheetData>
  <mergeCells count="8">
    <mergeCell ref="A22:A27"/>
    <mergeCell ref="N22:N27"/>
    <mergeCell ref="A4:A9"/>
    <mergeCell ref="N4:N9"/>
    <mergeCell ref="A10:A15"/>
    <mergeCell ref="N10:N15"/>
    <mergeCell ref="A16:A21"/>
    <mergeCell ref="N16:N21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customWidth="1"/>
    <col min="3" max="3" width="13.7109375" customWidth="1"/>
    <col min="4" max="4" width="6" customWidth="1"/>
    <col min="5" max="5" width="4.7109375" customWidth="1"/>
    <col min="6" max="9" width="4.5703125" customWidth="1"/>
    <col min="10" max="10" width="5.140625" customWidth="1"/>
    <col min="11" max="11" width="4.5703125" customWidth="1"/>
    <col min="12" max="12" width="5.5703125" customWidth="1"/>
    <col min="13" max="13" width="6" customWidth="1"/>
    <col min="14" max="14" width="11.7109375" customWidth="1"/>
    <col min="15" max="15" width="7.42578125" customWidth="1"/>
    <col min="16" max="16" width="7.71093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5.5703125" customWidth="1"/>
    <col min="23" max="24" width="4.5703125" customWidth="1"/>
  </cols>
  <sheetData>
    <row r="2" spans="2:25" x14ac:dyDescent="0.25">
      <c r="B2" s="149" t="s">
        <v>85</v>
      </c>
      <c r="C2" s="149" t="s">
        <v>87</v>
      </c>
      <c r="D2" s="149" t="s">
        <v>352</v>
      </c>
      <c r="E2" s="149" t="s">
        <v>14</v>
      </c>
      <c r="F2" s="149" t="s">
        <v>37</v>
      </c>
      <c r="G2" s="149" t="s">
        <v>196</v>
      </c>
      <c r="H2" s="149" t="s">
        <v>30</v>
      </c>
      <c r="I2" s="149" t="s">
        <v>198</v>
      </c>
      <c r="J2" s="149" t="s">
        <v>199</v>
      </c>
      <c r="K2" s="149" t="s">
        <v>200</v>
      </c>
      <c r="M2" s="93">
        <v>352</v>
      </c>
      <c r="N2" s="58" t="s">
        <v>625</v>
      </c>
      <c r="O2" s="46" t="s">
        <v>484</v>
      </c>
      <c r="P2" s="46" t="s">
        <v>626</v>
      </c>
      <c r="Q2" s="46" t="s">
        <v>484</v>
      </c>
      <c r="R2" s="46" t="s">
        <v>28</v>
      </c>
      <c r="S2" s="46" t="s">
        <v>486</v>
      </c>
      <c r="T2" s="46" t="s">
        <v>487</v>
      </c>
      <c r="U2" s="46" t="s">
        <v>486</v>
      </c>
      <c r="V2" s="46" t="s">
        <v>481</v>
      </c>
      <c r="W2" s="46" t="s">
        <v>627</v>
      </c>
      <c r="X2" s="46" t="s">
        <v>628</v>
      </c>
    </row>
    <row r="3" spans="2:25" x14ac:dyDescent="0.25">
      <c r="B3" t="s">
        <v>14</v>
      </c>
      <c r="C3" t="str">
        <f>Evaluacion!A3</f>
        <v>D. Gehmacher</v>
      </c>
      <c r="D3" s="58"/>
      <c r="E3" s="72">
        <f>Evaluacion!K3</f>
        <v>14.95</v>
      </c>
      <c r="F3" s="72">
        <f>Evaluacion!L3</f>
        <v>8.9499999999999993</v>
      </c>
      <c r="G3" s="72">
        <f>Evaluacion!M3</f>
        <v>0.95</v>
      </c>
      <c r="H3" s="72">
        <f>Evaluacion!N3</f>
        <v>0</v>
      </c>
      <c r="I3" s="72">
        <f>Evaluacion!O3</f>
        <v>0</v>
      </c>
      <c r="J3" s="72">
        <f>Evaluacion!P3</f>
        <v>0</v>
      </c>
      <c r="K3" s="72">
        <f>Evaluacion!Q3</f>
        <v>17.95</v>
      </c>
      <c r="M3" t="s">
        <v>14</v>
      </c>
      <c r="N3" s="192">
        <v>1</v>
      </c>
      <c r="O3" s="133">
        <f ca="1">Evaluacion!X3</f>
        <v>13.905562770025124</v>
      </c>
      <c r="P3" s="133">
        <f ca="1">Evaluacion!Y3</f>
        <v>20.462574497253648</v>
      </c>
      <c r="Q3" s="133">
        <f ca="1">Evaluacion!Z3</f>
        <v>13.905562770025124</v>
      </c>
      <c r="R3" s="133">
        <v>0</v>
      </c>
      <c r="S3" s="133">
        <v>0</v>
      </c>
      <c r="T3" s="133">
        <v>0</v>
      </c>
      <c r="U3" s="133">
        <v>0</v>
      </c>
      <c r="V3" s="133">
        <v>0</v>
      </c>
      <c r="W3" s="133">
        <f>Evaluacion!T3</f>
        <v>0.53849999999999998</v>
      </c>
      <c r="X3" s="133">
        <f>Evaluacion!U3</f>
        <v>0.89649999999999996</v>
      </c>
      <c r="Y3" s="196"/>
    </row>
    <row r="4" spans="2:25" x14ac:dyDescent="0.25">
      <c r="B4" t="s">
        <v>629</v>
      </c>
      <c r="C4" t="str">
        <f>Evaluacion!A6</f>
        <v>F. Lasprilla</v>
      </c>
      <c r="D4" s="58"/>
      <c r="E4" s="72">
        <f>Evaluacion!K6</f>
        <v>0</v>
      </c>
      <c r="F4" s="72">
        <f>Evaluacion!L6</f>
        <v>8.9499999999999975</v>
      </c>
      <c r="G4" s="72">
        <f>Evaluacion!M6</f>
        <v>7.95</v>
      </c>
      <c r="H4" s="72">
        <f>Evaluacion!N6</f>
        <v>4.95</v>
      </c>
      <c r="I4" s="72">
        <f>Evaluacion!O6</f>
        <v>7.95</v>
      </c>
      <c r="J4" s="72">
        <f>Evaluacion!P6</f>
        <v>0.95</v>
      </c>
      <c r="K4" s="72">
        <f>Evaluacion!Q6</f>
        <v>14</v>
      </c>
      <c r="M4" t="s">
        <v>629</v>
      </c>
      <c r="N4" s="192">
        <v>1</v>
      </c>
      <c r="O4" s="133">
        <f>Evaluacion!AI6</f>
        <v>10.658210241095398</v>
      </c>
      <c r="P4" s="133">
        <f>Evaluacion!AJ6</f>
        <v>4.7961946084929288</v>
      </c>
      <c r="Q4" s="133">
        <v>0</v>
      </c>
      <c r="R4" s="133">
        <f>Evaluacion!AK6</f>
        <v>1.7676968589814472</v>
      </c>
      <c r="S4" s="133">
        <f>Evaluacion!AL6</f>
        <v>4.459986545395755</v>
      </c>
      <c r="T4" s="133">
        <v>0</v>
      </c>
      <c r="U4" s="133">
        <v>0</v>
      </c>
      <c r="V4" s="133">
        <f>Evaluacion!R6</f>
        <v>3.4812499999999993</v>
      </c>
      <c r="W4" s="133">
        <f>Evaluacion!T6</f>
        <v>0.46749999999999997</v>
      </c>
      <c r="X4" s="133">
        <f>Evaluacion!U6</f>
        <v>0.77799999999999991</v>
      </c>
    </row>
    <row r="5" spans="2:25" x14ac:dyDescent="0.25">
      <c r="B5" t="s">
        <v>630</v>
      </c>
      <c r="C5" t="str">
        <f>Evaluacion!A14</f>
        <v>E. Deus</v>
      </c>
      <c r="D5" s="58"/>
      <c r="E5" s="72">
        <f>Evaluacion!K14</f>
        <v>0</v>
      </c>
      <c r="F5" s="72">
        <f>Evaluacion!L14</f>
        <v>11</v>
      </c>
      <c r="G5" s="72">
        <f>Evaluacion!M14</f>
        <v>7</v>
      </c>
      <c r="H5" s="72">
        <f>Evaluacion!N14</f>
        <v>1</v>
      </c>
      <c r="I5" s="72">
        <f>Evaluacion!O14</f>
        <v>6</v>
      </c>
      <c r="J5" s="72">
        <f>Evaluacion!P14</f>
        <v>5</v>
      </c>
      <c r="K5" s="72">
        <f>Evaluacion!Q14</f>
        <v>15.333333333333334</v>
      </c>
      <c r="M5" t="s">
        <v>630</v>
      </c>
      <c r="N5" s="192">
        <v>1</v>
      </c>
      <c r="O5" s="133">
        <f ca="1">(Evaluacion!AA14+Evaluacion!AC14)/2</f>
        <v>4.7839898919206911</v>
      </c>
      <c r="P5" s="133">
        <f ca="1">Evaluacion!AB14</f>
        <v>12.36173098687517</v>
      </c>
      <c r="Q5" s="133">
        <f ca="1">O5</f>
        <v>4.7839898919206911</v>
      </c>
      <c r="R5" s="133">
        <f ca="1">Evaluacion!AD14</f>
        <v>1.99009197487629</v>
      </c>
      <c r="S5" s="133">
        <v>0</v>
      </c>
      <c r="T5" s="133">
        <v>0</v>
      </c>
      <c r="U5" s="133">
        <v>0</v>
      </c>
      <c r="V5" s="133">
        <f>Evaluacion!R14</f>
        <v>3.25</v>
      </c>
      <c r="W5" s="133">
        <f>Evaluacion!T14</f>
        <v>0.71</v>
      </c>
      <c r="X5" s="133">
        <f>Evaluacion!U14</f>
        <v>0.9</v>
      </c>
    </row>
    <row r="6" spans="2:25" x14ac:dyDescent="0.25">
      <c r="B6" t="s">
        <v>629</v>
      </c>
      <c r="C6" t="str">
        <f>Evaluacion!A9</f>
        <v>L. Tutorić</v>
      </c>
      <c r="D6" s="58" t="str">
        <f>Evaluacion!D9</f>
        <v>CAB</v>
      </c>
      <c r="E6" s="72">
        <f>Evaluacion!K9</f>
        <v>0</v>
      </c>
      <c r="F6" s="72">
        <f>Evaluacion!L9</f>
        <v>13</v>
      </c>
      <c r="G6" s="72">
        <f>Evaluacion!M9</f>
        <v>6</v>
      </c>
      <c r="H6" s="72">
        <f>Evaluacion!N9</f>
        <v>2</v>
      </c>
      <c r="I6" s="72">
        <f>Evaluacion!O9</f>
        <v>1</v>
      </c>
      <c r="J6" s="72">
        <f>Evaluacion!P9</f>
        <v>7</v>
      </c>
      <c r="K6" s="72">
        <f>Evaluacion!Q9</f>
        <v>15.333333333333334</v>
      </c>
      <c r="M6" t="s">
        <v>629</v>
      </c>
      <c r="N6" s="192">
        <v>1</v>
      </c>
      <c r="O6" s="133">
        <v>0</v>
      </c>
      <c r="P6" s="133">
        <f ca="1">Evaluacion!AJ9</f>
        <v>5.9364280158281009</v>
      </c>
      <c r="Q6" s="133">
        <f ca="1">Evaluacion!AI9</f>
        <v>13.192062257395781</v>
      </c>
      <c r="R6" s="133">
        <f ca="1">Evaluacion!AK9</f>
        <v>1.2256460836794516</v>
      </c>
      <c r="S6" s="133">
        <v>0</v>
      </c>
      <c r="T6" s="133">
        <f>0</f>
        <v>0</v>
      </c>
      <c r="U6" s="133">
        <f ca="1">Evaluacion!AL9</f>
        <v>1.9634484862486072</v>
      </c>
      <c r="V6" s="133">
        <f>Evaluacion!R9</f>
        <v>2.25</v>
      </c>
      <c r="W6" s="133">
        <f>Evaluacion!T9</f>
        <v>0.80999999999999994</v>
      </c>
      <c r="X6" s="133">
        <f>Evaluacion!U9</f>
        <v>0.98000000000000009</v>
      </c>
    </row>
    <row r="7" spans="2:25" x14ac:dyDescent="0.25">
      <c r="B7" t="s">
        <v>473</v>
      </c>
      <c r="C7" t="str">
        <f>Evaluacion!A12</f>
        <v>V. Gardner</v>
      </c>
      <c r="D7" s="58">
        <f>Evaluacion!D12</f>
        <v>0</v>
      </c>
      <c r="E7" s="72">
        <f>Evaluacion!K12</f>
        <v>0</v>
      </c>
      <c r="F7" s="72">
        <f>Evaluacion!L12</f>
        <v>12</v>
      </c>
      <c r="G7" s="72">
        <f>Evaluacion!M12</f>
        <v>5</v>
      </c>
      <c r="H7" s="72">
        <f>Evaluacion!N12</f>
        <v>3</v>
      </c>
      <c r="I7" s="72">
        <f>Evaluacion!O12</f>
        <v>5</v>
      </c>
      <c r="J7" s="72">
        <f>Evaluacion!P12</f>
        <v>6</v>
      </c>
      <c r="K7" s="72">
        <f>Evaluacion!Q12</f>
        <v>16</v>
      </c>
      <c r="M7" t="s">
        <v>473</v>
      </c>
      <c r="N7" s="192">
        <v>0.82499999999999984</v>
      </c>
      <c r="O7" s="133">
        <f ca="1">Evaluacion!BE12*N7</f>
        <v>3.2778777604537961</v>
      </c>
      <c r="P7" s="133">
        <f ca="1">Evaluacion!BF12*N7</f>
        <v>3.9199362908519628</v>
      </c>
      <c r="Q7" s="133">
        <v>0</v>
      </c>
      <c r="R7" s="133">
        <f ca="1">Evaluacion!BG12*N7</f>
        <v>4.8359717593120104</v>
      </c>
      <c r="S7" s="133">
        <f ca="1">Evaluacion!BH12*N7</f>
        <v>3.9327852372626309</v>
      </c>
      <c r="T7" s="133">
        <f ca="1">Evaluacion!BI12*N7</f>
        <v>1.3228935232624228</v>
      </c>
      <c r="U7" s="133">
        <v>0</v>
      </c>
      <c r="V7" s="133">
        <v>0</v>
      </c>
      <c r="W7" s="133">
        <f>Evaluacion!T12*N7</f>
        <v>0.64349999999999985</v>
      </c>
      <c r="X7" s="133">
        <f>Evaluacion!U12*N7</f>
        <v>0.79200000000000004</v>
      </c>
    </row>
    <row r="8" spans="2:25" x14ac:dyDescent="0.25">
      <c r="B8" t="s">
        <v>135</v>
      </c>
      <c r="C8" t="str">
        <f>Evaluacion!A15</f>
        <v>I. Vanags</v>
      </c>
      <c r="D8" s="58"/>
      <c r="E8" s="72">
        <f>Evaluacion!K15</f>
        <v>0</v>
      </c>
      <c r="F8" s="72">
        <f>Evaluacion!L15</f>
        <v>4</v>
      </c>
      <c r="G8" s="72">
        <f>Evaluacion!M15</f>
        <v>13</v>
      </c>
      <c r="H8" s="72">
        <f>Evaluacion!N15</f>
        <v>3</v>
      </c>
      <c r="I8" s="72">
        <f>Evaluacion!O15</f>
        <v>4</v>
      </c>
      <c r="J8" s="72">
        <f>Evaluacion!P15</f>
        <v>7</v>
      </c>
      <c r="K8" s="72">
        <f>Evaluacion!Q15</f>
        <v>16.333333333333332</v>
      </c>
      <c r="M8" t="s">
        <v>135</v>
      </c>
      <c r="N8" s="192">
        <v>0.82499999999999984</v>
      </c>
      <c r="O8" s="133">
        <f ca="1">((Evaluacion!AX15+Evaluacion!AZ15)/2)*N8</f>
        <v>0.64942346928234973</v>
      </c>
      <c r="P8" s="133">
        <f ca="1">Evaluacion!AY15*N8</f>
        <v>1.8325882731071597</v>
      </c>
      <c r="Q8" s="133">
        <f ca="1">O8</f>
        <v>0.64942346928234973</v>
      </c>
      <c r="R8" s="133">
        <f ca="1">Evaluacion!BA15*N8</f>
        <v>12.006470682767898</v>
      </c>
      <c r="S8" s="133">
        <f ca="1">((Evaluacion!BB15+Evaluacion!BD15)/2)*N8</f>
        <v>0.8693340620552088</v>
      </c>
      <c r="T8" s="133">
        <f ca="1">Evaluacion!BC15*N8</f>
        <v>3.0441403462051122</v>
      </c>
      <c r="U8" s="133">
        <f ca="1">S8</f>
        <v>0.8693340620552088</v>
      </c>
      <c r="V8" s="133">
        <v>0</v>
      </c>
      <c r="W8" s="133">
        <f>Evaluacion!T15*N8</f>
        <v>0.69299999999999973</v>
      </c>
      <c r="X8" s="133">
        <f>Evaluacion!U15*N8</f>
        <v>0.53624999999999989</v>
      </c>
    </row>
    <row r="9" spans="2:25" x14ac:dyDescent="0.25">
      <c r="B9" t="s">
        <v>473</v>
      </c>
      <c r="C9" t="str">
        <f>Evaluacion!A13</f>
        <v>S. Embe</v>
      </c>
      <c r="D9" s="58">
        <f>Evaluacion!D13</f>
        <v>0</v>
      </c>
      <c r="E9" s="72">
        <f>Evaluacion!K13</f>
        <v>0</v>
      </c>
      <c r="F9" s="72">
        <f>Evaluacion!L13</f>
        <v>11</v>
      </c>
      <c r="G9" s="72">
        <f>Evaluacion!M13</f>
        <v>4</v>
      </c>
      <c r="H9" s="72">
        <f>Evaluacion!N13</f>
        <v>1</v>
      </c>
      <c r="I9" s="72">
        <f>Evaluacion!O13</f>
        <v>5</v>
      </c>
      <c r="J9" s="72">
        <f>Evaluacion!P13</f>
        <v>6</v>
      </c>
      <c r="K9" s="72">
        <f>Evaluacion!Q13</f>
        <v>17.333333333333332</v>
      </c>
      <c r="M9" t="s">
        <v>473</v>
      </c>
      <c r="N9" s="192">
        <v>0.82499999999999984</v>
      </c>
      <c r="O9" s="133">
        <v>0</v>
      </c>
      <c r="P9" s="133">
        <f ca="1">Evaluacion!BF13*N9</f>
        <v>3.4581809660746363</v>
      </c>
      <c r="Q9" s="133">
        <f ca="1">Evaluacion!BE13*N9</f>
        <v>2.8917547733555145</v>
      </c>
      <c r="R9" s="133">
        <f ca="1">Evaluacion!BG13*N9</f>
        <v>3.6669877330797545</v>
      </c>
      <c r="S9" s="133">
        <v>0</v>
      </c>
      <c r="T9" s="133">
        <f ca="1">Evaluacion!BI13*N9</f>
        <v>1.2019396920229521</v>
      </c>
      <c r="U9" s="133">
        <f ca="1">Evaluacion!BH13*N9</f>
        <v>2.5395111460929645</v>
      </c>
      <c r="V9" s="133">
        <v>0</v>
      </c>
      <c r="W9" s="133">
        <f>Evaluacion!T13*N9</f>
        <v>0.67649999999999988</v>
      </c>
      <c r="X9" s="133">
        <f>Evaluacion!U13*N9</f>
        <v>0.79199999999999982</v>
      </c>
    </row>
    <row r="10" spans="2:25" x14ac:dyDescent="0.25">
      <c r="B10" t="s">
        <v>476</v>
      </c>
      <c r="C10" t="e">
        <f>#REF!</f>
        <v>#REF!</v>
      </c>
      <c r="D10" s="58" t="e">
        <f>#REF!</f>
        <v>#REF!</v>
      </c>
      <c r="E10" s="72" t="e">
        <f>#REF!</f>
        <v>#REF!</v>
      </c>
      <c r="F10" s="72" t="e">
        <f>#REF!</f>
        <v>#REF!</v>
      </c>
      <c r="G10" s="72" t="e">
        <f>#REF!</f>
        <v>#REF!</v>
      </c>
      <c r="H10" s="72" t="e">
        <f>#REF!</f>
        <v>#REF!</v>
      </c>
      <c r="I10" s="72" t="e">
        <f>#REF!</f>
        <v>#REF!</v>
      </c>
      <c r="J10" s="72" t="e">
        <f>#REF!</f>
        <v>#REF!</v>
      </c>
      <c r="K10" s="72" t="e">
        <f>#REF!</f>
        <v>#REF!</v>
      </c>
      <c r="M10" t="s">
        <v>476</v>
      </c>
      <c r="N10" s="192">
        <v>1</v>
      </c>
      <c r="O10" s="133" t="e">
        <f>#REF!</f>
        <v>#REF!</v>
      </c>
      <c r="P10" s="133" t="e">
        <f>#REF!</f>
        <v>#REF!</v>
      </c>
      <c r="Q10" s="133">
        <v>0</v>
      </c>
      <c r="R10" s="133" t="e">
        <f>#REF!</f>
        <v>#REF!</v>
      </c>
      <c r="S10" s="133" t="e">
        <f>#REF!</f>
        <v>#REF!</v>
      </c>
      <c r="T10" s="133" t="e">
        <f>#REF!</f>
        <v>#REF!</v>
      </c>
      <c r="U10" s="133">
        <v>0</v>
      </c>
      <c r="V10" s="133">
        <v>0</v>
      </c>
      <c r="W10" s="133" t="e">
        <f>#REF!*N10</f>
        <v>#REF!</v>
      </c>
      <c r="X10" s="133" t="e">
        <f>#REF!*N10</f>
        <v>#REF!</v>
      </c>
    </row>
    <row r="11" spans="2:25" x14ac:dyDescent="0.25">
      <c r="B11" t="s">
        <v>476</v>
      </c>
      <c r="C11" t="str">
        <f>Evaluacion!A10</f>
        <v>S. Swärdborn</v>
      </c>
      <c r="D11" s="58" t="str">
        <f>Evaluacion!D10</f>
        <v>IMP</v>
      </c>
      <c r="E11" s="72">
        <f>Evaluacion!K10</f>
        <v>0</v>
      </c>
      <c r="F11" s="72">
        <f>Evaluacion!L10</f>
        <v>12</v>
      </c>
      <c r="G11" s="72">
        <f>Evaluacion!M10</f>
        <v>7</v>
      </c>
      <c r="H11" s="72">
        <f>Evaluacion!N10</f>
        <v>1</v>
      </c>
      <c r="I11" s="72">
        <f>Evaluacion!O10</f>
        <v>3</v>
      </c>
      <c r="J11" s="72">
        <f>Evaluacion!P10</f>
        <v>6</v>
      </c>
      <c r="K11" s="72">
        <f>Evaluacion!Q10</f>
        <v>15.333333333333334</v>
      </c>
      <c r="M11" t="s">
        <v>476</v>
      </c>
      <c r="N11" s="192">
        <v>1</v>
      </c>
      <c r="O11" s="133">
        <v>0</v>
      </c>
      <c r="P11" s="133">
        <f ca="1">Evaluacion!BU10</f>
        <v>3.2953674807505946</v>
      </c>
      <c r="Q11" s="133">
        <f ca="1">Evaluacion!BT10</f>
        <v>3.8355916579228229</v>
      </c>
      <c r="R11" s="133">
        <f ca="1">Evaluacion!BV10</f>
        <v>3.8700500153341011</v>
      </c>
      <c r="S11" s="133">
        <v>0</v>
      </c>
      <c r="T11" s="133">
        <f ca="1">Evaluacion!BX10</f>
        <v>0.54517813594599163</v>
      </c>
      <c r="U11" s="133">
        <f ca="1">Evaluacion!BW10</f>
        <v>3.2642097076707337</v>
      </c>
      <c r="V11" s="133">
        <v>0</v>
      </c>
      <c r="W11" s="133">
        <f>Evaluacion!T10*N11</f>
        <v>0.76</v>
      </c>
      <c r="X11" s="133">
        <f>Evaluacion!U10*N11</f>
        <v>0.94000000000000006</v>
      </c>
    </row>
    <row r="12" spans="2:25" x14ac:dyDescent="0.25">
      <c r="B12" t="s">
        <v>21</v>
      </c>
      <c r="C12" t="str">
        <f>Evaluacion!A18</f>
        <v>M. Bondarewski</v>
      </c>
      <c r="D12" s="58" t="str">
        <f>Evaluacion!D18</f>
        <v>RAP</v>
      </c>
      <c r="E12" s="72">
        <f>Evaluacion!K18</f>
        <v>0</v>
      </c>
      <c r="F12" s="72">
        <f>Evaluacion!L18</f>
        <v>2</v>
      </c>
      <c r="G12" s="72">
        <f>Evaluacion!M18</f>
        <v>13</v>
      </c>
      <c r="H12" s="72">
        <f>Evaluacion!N18</f>
        <v>5</v>
      </c>
      <c r="I12" s="72">
        <f>Evaluacion!O18</f>
        <v>4</v>
      </c>
      <c r="J12" s="72">
        <f>Evaluacion!P18</f>
        <v>8</v>
      </c>
      <c r="K12" s="72">
        <f>Evaluacion!Q18</f>
        <v>17</v>
      </c>
      <c r="M12" t="s">
        <v>21</v>
      </c>
      <c r="N12" s="192">
        <v>0.94499999999999995</v>
      </c>
      <c r="O12" s="133">
        <v>0</v>
      </c>
      <c r="P12" s="133">
        <v>0</v>
      </c>
      <c r="Q12" s="133">
        <v>0</v>
      </c>
      <c r="R12" s="133">
        <f ca="1">N12*Evaluacion!CK18</f>
        <v>3.493685351213347</v>
      </c>
      <c r="S12" s="133">
        <f ca="1">N12*Evaluacion!CH18</f>
        <v>4.5992938952236608</v>
      </c>
      <c r="T12" s="133">
        <f ca="1">N12*Evaluacion!CI18</f>
        <v>11.268075983244289</v>
      </c>
      <c r="U12" s="133">
        <f ca="1">S12</f>
        <v>4.5992938952236608</v>
      </c>
      <c r="V12" s="133">
        <v>0</v>
      </c>
      <c r="W12" s="133">
        <f>Evaluacion!T18*N12</f>
        <v>0.85994999999999988</v>
      </c>
      <c r="X12" s="133">
        <f>Evaluacion!U18*N12</f>
        <v>0.55754999999999999</v>
      </c>
    </row>
    <row r="13" spans="2:25" x14ac:dyDescent="0.25">
      <c r="B13" t="s">
        <v>140</v>
      </c>
      <c r="C13" t="str">
        <f>Evaluacion!A19</f>
        <v>P. Tuderek</v>
      </c>
      <c r="D13" s="58" t="str">
        <f>Evaluacion!D19</f>
        <v>CAB</v>
      </c>
      <c r="E13" s="72">
        <f>Evaluacion!K19</f>
        <v>0</v>
      </c>
      <c r="F13" s="72">
        <f>Evaluacion!L19</f>
        <v>6</v>
      </c>
      <c r="G13" s="72">
        <f>Evaluacion!M19</f>
        <v>12</v>
      </c>
      <c r="H13" s="72">
        <f>Evaluacion!N19</f>
        <v>2</v>
      </c>
      <c r="I13" s="72">
        <f>Evaluacion!O19</f>
        <v>3</v>
      </c>
      <c r="J13" s="72">
        <f>Evaluacion!P19</f>
        <v>6</v>
      </c>
      <c r="K13" s="72">
        <f>Evaluacion!Q19</f>
        <v>17.25</v>
      </c>
      <c r="M13" t="s">
        <v>140</v>
      </c>
      <c r="N13" s="192">
        <f>1-0.055</f>
        <v>0.94499999999999995</v>
      </c>
      <c r="O13" s="133">
        <v>0</v>
      </c>
      <c r="P13" s="133">
        <v>0</v>
      </c>
      <c r="Q13" s="133">
        <v>0</v>
      </c>
      <c r="R13" s="133">
        <f ca="1">N13*Evaluacion!CD19</f>
        <v>5.2242543198051905</v>
      </c>
      <c r="S13" s="133">
        <f ca="1">N13*Evaluacion!CE19</f>
        <v>2.4968907897007484</v>
      </c>
      <c r="T13" s="133">
        <f ca="1">N13*Evaluacion!CF19</f>
        <v>6.5651167834991231</v>
      </c>
      <c r="U13" s="133">
        <f ca="1">S13</f>
        <v>2.4968907897007484</v>
      </c>
      <c r="V13" s="133">
        <v>0</v>
      </c>
      <c r="W13" s="133">
        <f>Evaluacion!T19*N13</f>
        <v>0.7725375000000001</v>
      </c>
      <c r="X13" s="133">
        <f>Evaluacion!U19*N13</f>
        <v>0.71583750000000002</v>
      </c>
    </row>
    <row r="14" spans="2:25" x14ac:dyDescent="0.25">
      <c r="N14" s="58"/>
      <c r="O14" s="193" t="e">
        <f t="shared" ref="O14:X14" ca="1" si="0">SUM(O3:O13)</f>
        <v>#REF!</v>
      </c>
      <c r="P14" s="193" t="e">
        <f t="shared" ca="1" si="0"/>
        <v>#REF!</v>
      </c>
      <c r="Q14" s="193">
        <f t="shared" ca="1" si="0"/>
        <v>39.258384819902275</v>
      </c>
      <c r="R14" s="193" t="e">
        <f t="shared" ca="1" si="0"/>
        <v>#REF!</v>
      </c>
      <c r="S14" s="193" t="e">
        <f t="shared" ca="1" si="0"/>
        <v>#REF!</v>
      </c>
      <c r="T14" s="193" t="e">
        <f t="shared" ca="1" si="0"/>
        <v>#REF!</v>
      </c>
      <c r="U14" s="193">
        <f t="shared" ca="1" si="0"/>
        <v>15.732688086991923</v>
      </c>
      <c r="V14" s="193">
        <f t="shared" si="0"/>
        <v>8.9812499999999993</v>
      </c>
      <c r="W14" s="193" t="e">
        <f t="shared" si="0"/>
        <v>#REF!</v>
      </c>
      <c r="X14" s="193" t="e">
        <f t="shared" si="0"/>
        <v>#REF!</v>
      </c>
    </row>
    <row r="15" spans="2:25" ht="15.75" x14ac:dyDescent="0.25">
      <c r="N15" t="s">
        <v>631</v>
      </c>
      <c r="O15" s="195" t="e">
        <f ca="1">O14*0.34</f>
        <v>#REF!</v>
      </c>
      <c r="P15" s="195" t="e">
        <f ca="1">P14*0.245</f>
        <v>#REF!</v>
      </c>
      <c r="Q15" s="195">
        <f ca="1">Q14*0.34</f>
        <v>13.347850838766774</v>
      </c>
      <c r="R15" s="195" t="e">
        <f ca="1">R14*0.125</f>
        <v>#REF!</v>
      </c>
      <c r="S15" s="195" t="e">
        <f ca="1">S14*0.25</f>
        <v>#REF!</v>
      </c>
      <c r="T15" s="195" t="e">
        <f ca="1">T14*0.19</f>
        <v>#REF!</v>
      </c>
      <c r="U15" s="195">
        <f ca="1">U14*0.25</f>
        <v>3.9331720217479806</v>
      </c>
    </row>
    <row r="16" spans="2:25" ht="15.75" x14ac:dyDescent="0.25">
      <c r="N16" t="s">
        <v>632</v>
      </c>
      <c r="O16" s="200" t="e">
        <f ca="1">O15*1.2/1.05</f>
        <v>#REF!</v>
      </c>
      <c r="P16" s="200" t="e">
        <f ca="1">P15*1.2/1.05</f>
        <v>#REF!</v>
      </c>
      <c r="Q16" s="200">
        <f ca="1">Q15*1.2/1.05</f>
        <v>15.254686672876311</v>
      </c>
      <c r="R16" s="200" t="e">
        <f ca="1">R15</f>
        <v>#REF!</v>
      </c>
      <c r="S16" s="200" t="e">
        <f ca="1">S15*0.925/1.05</f>
        <v>#REF!</v>
      </c>
      <c r="T16" s="200" t="e">
        <f ca="1">T15*0.925/1.05</f>
        <v>#REF!</v>
      </c>
      <c r="U16" s="200">
        <f ca="1">U15*0.925/1.05</f>
        <v>3.4649372572541735</v>
      </c>
    </row>
    <row r="17" spans="14:21" ht="15.75" x14ac:dyDescent="0.25">
      <c r="N17" t="s">
        <v>633</v>
      </c>
      <c r="O17" s="200" t="e">
        <f ca="1">O15*0.925/1.05</f>
        <v>#REF!</v>
      </c>
      <c r="P17" s="200" t="e">
        <f ca="1">P15*0.925/1.05</f>
        <v>#REF!</v>
      </c>
      <c r="Q17" s="200">
        <f ca="1">Q15*0.925/1.05</f>
        <v>11.758820977008824</v>
      </c>
      <c r="R17" s="200" t="e">
        <f ca="1">R16</f>
        <v>#REF!</v>
      </c>
      <c r="S17" s="200" t="e">
        <f ca="1">S15*1.135/1.05</f>
        <v>#REF!</v>
      </c>
      <c r="T17" s="200" t="e">
        <f ca="1">T15*1.135/1.05</f>
        <v>#REF!</v>
      </c>
      <c r="U17" s="200">
        <f ca="1">U15*1.135/1.05</f>
        <v>4.2515716616037702</v>
      </c>
    </row>
  </sheetData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E26B0A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customWidth="1"/>
    <col min="2" max="2" width="13.7109375" customWidth="1"/>
    <col min="3" max="3" width="4.5703125" customWidth="1"/>
    <col min="4" max="7" width="5.5703125" customWidth="1"/>
    <col min="8" max="8" width="4.5703125" customWidth="1"/>
    <col min="9" max="9" width="5.140625" customWidth="1"/>
    <col min="10" max="11" width="5.5703125" customWidth="1"/>
    <col min="12" max="12" width="6" customWidth="1"/>
    <col min="13" max="13" width="13.7109375" customWidth="1"/>
    <col min="14" max="14" width="7.42578125" customWidth="1"/>
    <col min="15" max="15" width="7.7109375" customWidth="1"/>
    <col min="16" max="16" width="7.42578125" customWidth="1"/>
    <col min="17" max="20" width="7" customWidth="1"/>
    <col min="21" max="23" width="6.5703125" customWidth="1"/>
  </cols>
  <sheetData>
    <row r="1" spans="1:27" x14ac:dyDescent="0.25">
      <c r="A1" s="149" t="s">
        <v>85</v>
      </c>
      <c r="B1" s="149" t="s">
        <v>87</v>
      </c>
      <c r="C1" s="149" t="s">
        <v>352</v>
      </c>
      <c r="D1" s="149" t="s">
        <v>14</v>
      </c>
      <c r="E1" s="149" t="s">
        <v>37</v>
      </c>
      <c r="F1" s="149" t="s">
        <v>196</v>
      </c>
      <c r="G1" s="149" t="s">
        <v>30</v>
      </c>
      <c r="H1" s="149" t="s">
        <v>198</v>
      </c>
      <c r="I1" s="149" t="s">
        <v>199</v>
      </c>
      <c r="J1" s="149" t="s">
        <v>200</v>
      </c>
      <c r="L1" s="93">
        <v>541</v>
      </c>
      <c r="M1" s="58" t="s">
        <v>625</v>
      </c>
      <c r="N1" s="46" t="s">
        <v>484</v>
      </c>
      <c r="O1" s="46" t="s">
        <v>626</v>
      </c>
      <c r="P1" s="46" t="s">
        <v>484</v>
      </c>
      <c r="Q1" s="46" t="s">
        <v>28</v>
      </c>
      <c r="R1" s="46" t="s">
        <v>486</v>
      </c>
      <c r="S1" s="46" t="s">
        <v>487</v>
      </c>
      <c r="T1" s="46" t="s">
        <v>486</v>
      </c>
      <c r="U1" s="46" t="s">
        <v>481</v>
      </c>
      <c r="V1" s="46" t="s">
        <v>627</v>
      </c>
      <c r="W1" s="46" t="s">
        <v>628</v>
      </c>
    </row>
    <row r="2" spans="1:27" x14ac:dyDescent="0.25">
      <c r="A2" t="s">
        <v>14</v>
      </c>
      <c r="B2" t="str">
        <f>Evaluacion!A3</f>
        <v>D. Gehmacher</v>
      </c>
      <c r="C2">
        <f>Evaluacion!D3</f>
        <v>0</v>
      </c>
      <c r="D2" s="72">
        <f>Evaluacion!K3</f>
        <v>14.95</v>
      </c>
      <c r="E2" s="72">
        <f>Evaluacion!L3</f>
        <v>8.9499999999999993</v>
      </c>
      <c r="F2" s="72">
        <f>Evaluacion!M3</f>
        <v>0.95</v>
      </c>
      <c r="G2" s="72">
        <f>Evaluacion!N3</f>
        <v>0</v>
      </c>
      <c r="H2" s="72">
        <f>Evaluacion!O3</f>
        <v>0</v>
      </c>
      <c r="I2" s="72">
        <f>Evaluacion!P3</f>
        <v>0</v>
      </c>
      <c r="J2" s="72">
        <f>Evaluacion!Q3</f>
        <v>17.95</v>
      </c>
      <c r="L2" t="str">
        <f t="shared" ref="L2:L12" si="0">A2</f>
        <v>POR</v>
      </c>
      <c r="M2" s="192">
        <v>1</v>
      </c>
      <c r="N2" s="133">
        <f ca="1">Evaluacion!X3</f>
        <v>13.905562770025124</v>
      </c>
      <c r="O2" s="133">
        <f ca="1">Evaluacion!Y3</f>
        <v>20.462574497253648</v>
      </c>
      <c r="P2" s="133">
        <f ca="1">Evaluacion!Z3</f>
        <v>13.905562770025124</v>
      </c>
      <c r="Q2" s="133">
        <v>0</v>
      </c>
      <c r="R2" s="133">
        <v>0</v>
      </c>
      <c r="S2" s="133">
        <v>0</v>
      </c>
      <c r="T2" s="133">
        <v>0</v>
      </c>
      <c r="U2" s="133">
        <v>0</v>
      </c>
      <c r="V2" s="133">
        <f>Evaluacion!T3</f>
        <v>0.53849999999999998</v>
      </c>
      <c r="W2" s="133">
        <f>Evaluacion!U3</f>
        <v>0.89649999999999996</v>
      </c>
      <c r="AA2" s="50"/>
    </row>
    <row r="3" spans="1:27" x14ac:dyDescent="0.25">
      <c r="A3" t="s">
        <v>629</v>
      </c>
      <c r="B3" t="str">
        <f>Evaluacion!A9</f>
        <v>L. Tutorić</v>
      </c>
      <c r="C3" t="str">
        <f>Evaluacion!D9</f>
        <v>CAB</v>
      </c>
      <c r="D3" s="72">
        <f>Evaluacion!K9</f>
        <v>0</v>
      </c>
      <c r="E3" s="72">
        <f>Evaluacion!L9</f>
        <v>13</v>
      </c>
      <c r="F3" s="72">
        <f>Evaluacion!M9</f>
        <v>6</v>
      </c>
      <c r="G3" s="72">
        <f>Evaluacion!N9</f>
        <v>2</v>
      </c>
      <c r="H3" s="72">
        <f>Evaluacion!O9</f>
        <v>1</v>
      </c>
      <c r="I3" s="72">
        <f>Evaluacion!P9</f>
        <v>7</v>
      </c>
      <c r="J3" s="72">
        <f>Evaluacion!Q9</f>
        <v>15.333333333333334</v>
      </c>
      <c r="L3" t="str">
        <f t="shared" si="0"/>
        <v>LATN</v>
      </c>
      <c r="M3" s="192">
        <v>1</v>
      </c>
      <c r="N3" s="133">
        <f ca="1">Evaluacion!AI9</f>
        <v>13.192062257395781</v>
      </c>
      <c r="O3" s="133">
        <f ca="1">Evaluacion!AJ9</f>
        <v>5.9364280158281009</v>
      </c>
      <c r="P3" s="133">
        <v>0</v>
      </c>
      <c r="Q3" s="133">
        <f ca="1">Evaluacion!AK9</f>
        <v>1.2256460836794516</v>
      </c>
      <c r="R3" s="133">
        <f ca="1">Evaluacion!AL9</f>
        <v>1.9634484862486072</v>
      </c>
      <c r="S3" s="133">
        <v>0</v>
      </c>
      <c r="T3" s="133">
        <v>0</v>
      </c>
      <c r="U3" s="133">
        <f>Evaluacion!R9</f>
        <v>2.25</v>
      </c>
      <c r="V3" s="133">
        <f>Evaluacion!T9</f>
        <v>0.80999999999999994</v>
      </c>
      <c r="W3" s="133">
        <f>Evaluacion!U9</f>
        <v>0.98000000000000009</v>
      </c>
      <c r="AA3" s="50"/>
    </row>
    <row r="4" spans="1:27" x14ac:dyDescent="0.25">
      <c r="A4" t="s">
        <v>634</v>
      </c>
      <c r="B4" t="str">
        <f>Evaluacion!A7</f>
        <v>E. Romweber</v>
      </c>
      <c r="C4" t="str">
        <f>Evaluacion!D7</f>
        <v>IMP</v>
      </c>
      <c r="D4" s="72">
        <f>Evaluacion!K7</f>
        <v>0</v>
      </c>
      <c r="E4" s="72">
        <f>Evaluacion!L7</f>
        <v>8.9499999999999975</v>
      </c>
      <c r="F4" s="72">
        <f>Evaluacion!M7</f>
        <v>8.9499999999999975</v>
      </c>
      <c r="G4" s="72">
        <f>Evaluacion!N7</f>
        <v>8.9499999999999975</v>
      </c>
      <c r="H4" s="72">
        <f>Evaluacion!O7</f>
        <v>6.95</v>
      </c>
      <c r="I4" s="72">
        <f>Evaluacion!P7</f>
        <v>0.95</v>
      </c>
      <c r="J4" s="72">
        <f>Evaluacion!Q7</f>
        <v>16</v>
      </c>
      <c r="L4" t="str">
        <f t="shared" si="0"/>
        <v>DCHL</v>
      </c>
      <c r="M4" s="192">
        <v>0.9</v>
      </c>
      <c r="N4" s="133">
        <f>M4*Evaluacion!AM7</f>
        <v>8.2504489906857419</v>
      </c>
      <c r="O4" s="133">
        <f>M4*Evaluacion!AN7</f>
        <v>7.7471059488136671</v>
      </c>
      <c r="P4" s="133">
        <v>0</v>
      </c>
      <c r="Q4" s="133">
        <f>M4*Evaluacion!AO7</f>
        <v>2.8869690867964448</v>
      </c>
      <c r="R4" s="133">
        <f>M4*Evaluacion!AP7</f>
        <v>1.6690651317208145</v>
      </c>
      <c r="S4" s="133">
        <v>0</v>
      </c>
      <c r="T4" s="133">
        <v>0</v>
      </c>
      <c r="U4" s="133">
        <f>Evaluacion!R7</f>
        <v>3.2312499999999997</v>
      </c>
      <c r="V4" s="133">
        <f>Evaluacion!T7*M4</f>
        <v>0.47475000000000001</v>
      </c>
      <c r="W4" s="133">
        <f>Evaluacion!U7*M4</f>
        <v>0.75419999999999987</v>
      </c>
      <c r="AA4" s="50"/>
    </row>
    <row r="5" spans="1:27" x14ac:dyDescent="0.25">
      <c r="A5" t="s">
        <v>132</v>
      </c>
      <c r="B5" t="str">
        <f>Evaluacion!A6</f>
        <v>F. Lasprilla</v>
      </c>
      <c r="C5">
        <f>Evaluacion!D6</f>
        <v>0</v>
      </c>
      <c r="D5" s="72">
        <f>Evaluacion!K6</f>
        <v>0</v>
      </c>
      <c r="E5" s="72">
        <f>Evaluacion!L6</f>
        <v>8.9499999999999975</v>
      </c>
      <c r="F5" s="72">
        <f>Evaluacion!M6</f>
        <v>7.95</v>
      </c>
      <c r="G5" s="72">
        <f>Evaluacion!N6</f>
        <v>4.95</v>
      </c>
      <c r="H5" s="72">
        <f>Evaluacion!O6</f>
        <v>7.95</v>
      </c>
      <c r="I5" s="72">
        <f>Evaluacion!P6</f>
        <v>0.95</v>
      </c>
      <c r="J5" s="72">
        <f>Evaluacion!Q6</f>
        <v>14</v>
      </c>
      <c r="L5" t="str">
        <f t="shared" si="0"/>
        <v>DCN</v>
      </c>
      <c r="M5" s="192">
        <v>0.9</v>
      </c>
      <c r="N5" s="133">
        <f>M5*(Evaluacion!AA6+Evaluacion!AC6)/2</f>
        <v>4.0350593771451386</v>
      </c>
      <c r="O5" s="133">
        <f>M5*Evaluacion!AB6</f>
        <v>10.426510018462888</v>
      </c>
      <c r="P5" s="133">
        <f>N5</f>
        <v>4.0350593771451386</v>
      </c>
      <c r="Q5" s="133">
        <f>M5*Evaluacion!AD6</f>
        <v>2.2673093843941676</v>
      </c>
      <c r="R5" s="133">
        <v>0</v>
      </c>
      <c r="S5" s="133">
        <f>0</f>
        <v>0</v>
      </c>
      <c r="T5" s="133">
        <v>0</v>
      </c>
      <c r="U5" s="133">
        <f>Evaluacion!R6</f>
        <v>3.4812499999999993</v>
      </c>
      <c r="V5" s="133">
        <f>Evaluacion!T6*M5</f>
        <v>0.42074999999999996</v>
      </c>
      <c r="W5" s="133">
        <f>Evaluacion!U6*M5</f>
        <v>0.70019999999999993</v>
      </c>
      <c r="AA5" s="50"/>
    </row>
    <row r="6" spans="1:27" x14ac:dyDescent="0.25">
      <c r="A6" t="s">
        <v>634</v>
      </c>
      <c r="B6" t="str">
        <f>Evaluacion!A5</f>
        <v>E. Toney</v>
      </c>
      <c r="C6">
        <f>Evaluacion!D5</f>
        <v>0</v>
      </c>
      <c r="D6" s="72">
        <f>Evaluacion!K5</f>
        <v>0</v>
      </c>
      <c r="E6" s="72">
        <f>Evaluacion!L5</f>
        <v>8.9499999999999975</v>
      </c>
      <c r="F6" s="72">
        <f>Evaluacion!M5</f>
        <v>7.95</v>
      </c>
      <c r="G6" s="72">
        <f>Evaluacion!N5</f>
        <v>4.95</v>
      </c>
      <c r="H6" s="72">
        <f>Evaluacion!O5</f>
        <v>3.95</v>
      </c>
      <c r="I6" s="72">
        <f>Evaluacion!P5</f>
        <v>0</v>
      </c>
      <c r="J6" s="72">
        <f>Evaluacion!Q5</f>
        <v>15</v>
      </c>
      <c r="L6" t="str">
        <f t="shared" si="0"/>
        <v>DCHL</v>
      </c>
      <c r="M6" s="192">
        <v>0.9</v>
      </c>
      <c r="N6" s="133">
        <v>0</v>
      </c>
      <c r="O6" s="133">
        <f>M6*Evaluacion!AN5</f>
        <v>7.7471059488136671</v>
      </c>
      <c r="P6" s="133">
        <f>M6*Evaluacion!AM5</f>
        <v>8.2504489906857419</v>
      </c>
      <c r="Q6" s="133">
        <f>M6*Evaluacion!AO5</f>
        <v>2.7366690867964447</v>
      </c>
      <c r="R6" s="133">
        <v>0</v>
      </c>
      <c r="S6" s="133">
        <v>0</v>
      </c>
      <c r="T6" s="133">
        <f>M6*Evaluacion!AP5</f>
        <v>1.4746651317208144</v>
      </c>
      <c r="U6" s="133">
        <f>Evaluacion!R5</f>
        <v>2.4812499999999997</v>
      </c>
      <c r="V6" s="133">
        <f>Evaluacion!T5*M6</f>
        <v>0.40500000000000003</v>
      </c>
      <c r="W6" s="133">
        <f>Evaluacion!U5*M6</f>
        <v>0.72719999999999985</v>
      </c>
      <c r="AA6" s="50"/>
    </row>
    <row r="7" spans="1:27" x14ac:dyDescent="0.25">
      <c r="A7" t="s">
        <v>629</v>
      </c>
      <c r="B7" t="e">
        <f>#REF!</f>
        <v>#REF!</v>
      </c>
      <c r="C7" t="e">
        <f>#REF!</f>
        <v>#REF!</v>
      </c>
      <c r="D7" s="72" t="e">
        <f>#REF!</f>
        <v>#REF!</v>
      </c>
      <c r="E7" s="72" t="e">
        <f>#REF!</f>
        <v>#REF!</v>
      </c>
      <c r="F7" s="72" t="e">
        <f>#REF!</f>
        <v>#REF!</v>
      </c>
      <c r="G7" s="72" t="e">
        <f>#REF!</f>
        <v>#REF!</v>
      </c>
      <c r="H7" s="72" t="e">
        <f>#REF!</f>
        <v>#REF!</v>
      </c>
      <c r="I7" s="72" t="e">
        <f>#REF!</f>
        <v>#REF!</v>
      </c>
      <c r="J7" s="72" t="e">
        <f>#REF!</f>
        <v>#REF!</v>
      </c>
      <c r="L7" t="str">
        <f t="shared" si="0"/>
        <v>LATN</v>
      </c>
      <c r="M7" s="192">
        <v>1</v>
      </c>
      <c r="N7" s="133">
        <v>0</v>
      </c>
      <c r="O7" s="133" t="e">
        <f>#REF!</f>
        <v>#REF!</v>
      </c>
      <c r="P7" s="133" t="e">
        <f>#REF!</f>
        <v>#REF!</v>
      </c>
      <c r="Q7" s="133" t="e">
        <f>#REF!</f>
        <v>#REF!</v>
      </c>
      <c r="R7" s="133">
        <v>0</v>
      </c>
      <c r="S7" s="133">
        <v>0</v>
      </c>
      <c r="T7" s="133" t="e">
        <f>#REF!</f>
        <v>#REF!</v>
      </c>
      <c r="U7" s="133" t="e">
        <f>#REF!</f>
        <v>#REF!</v>
      </c>
      <c r="V7" s="133" t="e">
        <f>#REF!</f>
        <v>#REF!</v>
      </c>
      <c r="W7" s="133" t="e">
        <f>#REF!</f>
        <v>#REF!</v>
      </c>
      <c r="AA7" s="50"/>
    </row>
    <row r="8" spans="1:27" x14ac:dyDescent="0.25">
      <c r="A8" t="s">
        <v>473</v>
      </c>
      <c r="B8" t="str">
        <f>Evaluacion!A13</f>
        <v>S. Embe</v>
      </c>
      <c r="C8">
        <f>Evaluacion!D13</f>
        <v>0</v>
      </c>
      <c r="D8" s="72">
        <f>Evaluacion!K13</f>
        <v>0</v>
      </c>
      <c r="E8" s="72">
        <f>Evaluacion!L13</f>
        <v>11</v>
      </c>
      <c r="F8" s="72">
        <f>Evaluacion!M13</f>
        <v>4</v>
      </c>
      <c r="G8" s="72">
        <f>Evaluacion!N13</f>
        <v>1</v>
      </c>
      <c r="H8" s="72">
        <f>Evaluacion!O13</f>
        <v>5</v>
      </c>
      <c r="I8" s="72">
        <f>Evaluacion!P13</f>
        <v>6</v>
      </c>
      <c r="J8" s="72">
        <f>Evaluacion!Q13</f>
        <v>17.333333333333332</v>
      </c>
      <c r="L8" t="str">
        <f t="shared" si="0"/>
        <v>IHL</v>
      </c>
      <c r="M8" s="192">
        <f>1-0.065</f>
        <v>0.93500000000000005</v>
      </c>
      <c r="N8" s="133">
        <f ca="1">M8*Evaluacion!BE13</f>
        <v>3.2773220764695838</v>
      </c>
      <c r="O8" s="133">
        <f ca="1">M8*Evaluacion!BF13</f>
        <v>3.9192717615512551</v>
      </c>
      <c r="P8" s="133">
        <v>0</v>
      </c>
      <c r="Q8" s="133">
        <f ca="1">Evaluacion!BG13*M8</f>
        <v>4.1559194308237224</v>
      </c>
      <c r="R8" s="133">
        <f ca="1">Evaluacion!BH13*M8</f>
        <v>2.8781126322386936</v>
      </c>
      <c r="S8" s="133">
        <f ca="1">Evaluacion!BI13*M8</f>
        <v>1.3621983176260126</v>
      </c>
      <c r="T8" s="133">
        <v>0</v>
      </c>
      <c r="U8" s="133">
        <v>0</v>
      </c>
      <c r="V8" s="133">
        <f>Evaluacion!T13*M8</f>
        <v>0.76670000000000005</v>
      </c>
      <c r="W8" s="133">
        <f>Evaluacion!U13*M8</f>
        <v>0.89760000000000006</v>
      </c>
      <c r="AA8" s="50"/>
    </row>
    <row r="9" spans="1:27" x14ac:dyDescent="0.25">
      <c r="A9" t="s">
        <v>473</v>
      </c>
      <c r="B9" t="str">
        <f>Evaluacion!A12</f>
        <v>V. Gardner</v>
      </c>
      <c r="C9">
        <f>Evaluacion!D12</f>
        <v>0</v>
      </c>
      <c r="D9" s="72">
        <f>Evaluacion!K12</f>
        <v>0</v>
      </c>
      <c r="E9" s="72">
        <f>Evaluacion!L12</f>
        <v>12</v>
      </c>
      <c r="F9" s="72">
        <f>Evaluacion!M12</f>
        <v>5</v>
      </c>
      <c r="G9" s="72">
        <f>Evaluacion!N12</f>
        <v>3</v>
      </c>
      <c r="H9" s="72">
        <f>Evaluacion!O12</f>
        <v>5</v>
      </c>
      <c r="I9" s="72">
        <f>Evaluacion!P12</f>
        <v>6</v>
      </c>
      <c r="J9" s="72">
        <f>Evaluacion!Q12</f>
        <v>16</v>
      </c>
      <c r="L9" t="str">
        <f t="shared" si="0"/>
        <v>IHL</v>
      </c>
      <c r="M9" s="192">
        <f>1-0.065</f>
        <v>0.93500000000000005</v>
      </c>
      <c r="N9" s="133">
        <v>0</v>
      </c>
      <c r="O9" s="133">
        <f ca="1">M9*Evaluacion!BF12</f>
        <v>4.4425944629655589</v>
      </c>
      <c r="P9" s="133">
        <f ca="1">M9*Evaluacion!BE12</f>
        <v>3.7149281285143032</v>
      </c>
      <c r="Q9" s="133">
        <f ca="1">Evaluacion!BG12*M9</f>
        <v>5.4807679938869471</v>
      </c>
      <c r="R9" s="133">
        <v>0</v>
      </c>
      <c r="S9" s="133">
        <f ca="1">Evaluacion!BI12*M9</f>
        <v>1.4992793263640796</v>
      </c>
      <c r="T9" s="133">
        <f ca="1">Evaluacion!BH12*M9</f>
        <v>4.4571566022309828</v>
      </c>
      <c r="U9" s="133">
        <v>0</v>
      </c>
      <c r="V9" s="133">
        <f>Evaluacion!T12*M9</f>
        <v>0.72930000000000006</v>
      </c>
      <c r="W9" s="133">
        <f>Evaluacion!U12*M9</f>
        <v>0.89760000000000018</v>
      </c>
      <c r="AA9" s="50"/>
    </row>
    <row r="10" spans="1:27" x14ac:dyDescent="0.25">
      <c r="A10" t="s">
        <v>476</v>
      </c>
      <c r="B10" t="str">
        <f>Evaluacion!A10</f>
        <v>S. Swärdborn</v>
      </c>
      <c r="C10" t="str">
        <f>Evaluacion!D10</f>
        <v>IMP</v>
      </c>
      <c r="D10" s="72">
        <f>Evaluacion!K10</f>
        <v>0</v>
      </c>
      <c r="E10" s="72">
        <f>Evaluacion!L10</f>
        <v>12</v>
      </c>
      <c r="F10" s="72">
        <f>Evaluacion!M10</f>
        <v>7</v>
      </c>
      <c r="G10" s="72">
        <f>Evaluacion!N10</f>
        <v>1</v>
      </c>
      <c r="H10" s="72">
        <f>Evaluacion!O10</f>
        <v>3</v>
      </c>
      <c r="I10" s="72">
        <f>Evaluacion!P10</f>
        <v>6</v>
      </c>
      <c r="J10" s="72">
        <f>Evaluacion!Q10</f>
        <v>15.333333333333334</v>
      </c>
      <c r="L10" t="str">
        <f t="shared" si="0"/>
        <v>EXTN</v>
      </c>
      <c r="M10" s="192">
        <v>1</v>
      </c>
      <c r="N10" s="133">
        <f ca="1">Evaluacion!BT10</f>
        <v>3.8355916579228229</v>
      </c>
      <c r="O10" s="133">
        <f ca="1">Evaluacion!BU10</f>
        <v>3.2953674807505946</v>
      </c>
      <c r="P10" s="133">
        <v>0</v>
      </c>
      <c r="Q10" s="133">
        <f ca="1">Evaluacion!BV10</f>
        <v>3.8700500153341011</v>
      </c>
      <c r="R10" s="133">
        <f ca="1">Evaluacion!BW10</f>
        <v>3.2642097076707337</v>
      </c>
      <c r="S10" s="133">
        <f ca="1">Evaluacion!BX10</f>
        <v>0.54517813594599163</v>
      </c>
      <c r="T10" s="133">
        <v>0</v>
      </c>
      <c r="U10" s="133">
        <v>0</v>
      </c>
      <c r="V10" s="133">
        <f>Evaluacion!T10</f>
        <v>0.76</v>
      </c>
      <c r="W10" s="133">
        <f>Evaluacion!U10</f>
        <v>0.94000000000000006</v>
      </c>
      <c r="AA10" s="50"/>
    </row>
    <row r="11" spans="1:27" x14ac:dyDescent="0.25">
      <c r="A11" t="s">
        <v>476</v>
      </c>
      <c r="B11" t="str">
        <f>Evaluacion!A11</f>
        <v>A. Grimaud</v>
      </c>
      <c r="C11" t="str">
        <f>Evaluacion!D11</f>
        <v>RAP</v>
      </c>
      <c r="D11" s="72">
        <f>Evaluacion!K11</f>
        <v>0</v>
      </c>
      <c r="E11" s="72">
        <f>Evaluacion!L11</f>
        <v>12</v>
      </c>
      <c r="F11" s="72">
        <f>Evaluacion!M11</f>
        <v>7</v>
      </c>
      <c r="G11" s="72">
        <f>Evaluacion!N11</f>
        <v>3</v>
      </c>
      <c r="H11" s="72">
        <f>Evaluacion!O11</f>
        <v>3</v>
      </c>
      <c r="I11" s="72">
        <f>Evaluacion!P11</f>
        <v>5</v>
      </c>
      <c r="J11" s="72">
        <f>Evaluacion!Q11</f>
        <v>14.333333333333334</v>
      </c>
      <c r="L11" t="str">
        <f t="shared" si="0"/>
        <v>EXTN</v>
      </c>
      <c r="M11" s="192">
        <v>1</v>
      </c>
      <c r="N11" s="133">
        <v>0</v>
      </c>
      <c r="O11" s="133">
        <f ca="1">Evaluacion!BU11</f>
        <v>3.3735849892783722</v>
      </c>
      <c r="P11" s="133">
        <f ca="1">Evaluacion!BT11</f>
        <v>3.9266317088322031</v>
      </c>
      <c r="Q11" s="133">
        <f ca="1">Evaluacion!BV11</f>
        <v>4.0159064349248332</v>
      </c>
      <c r="R11" s="133">
        <v>0</v>
      </c>
      <c r="S11" s="133">
        <f ca="1">Evaluacion!BX11</f>
        <v>0.58396632665034021</v>
      </c>
      <c r="T11" s="133">
        <f ca="1">Evaluacion!BW11</f>
        <v>5.3473941316411331</v>
      </c>
      <c r="U11" s="133">
        <v>0</v>
      </c>
      <c r="V11" s="133">
        <f>Evaluacion!T11</f>
        <v>0.67999999999999994</v>
      </c>
      <c r="W11" s="133">
        <f>Evaluacion!U11</f>
        <v>0.91000000000000014</v>
      </c>
      <c r="AA11" s="50"/>
    </row>
    <row r="12" spans="1:27" x14ac:dyDescent="0.25">
      <c r="A12" t="s">
        <v>140</v>
      </c>
      <c r="B12" t="str">
        <f>Evaluacion!A19</f>
        <v>P. Tuderek</v>
      </c>
      <c r="C12" t="str">
        <f>Evaluacion!D19</f>
        <v>CAB</v>
      </c>
      <c r="D12" s="72">
        <f>Evaluacion!K19</f>
        <v>0</v>
      </c>
      <c r="E12" s="72">
        <f>Evaluacion!L19</f>
        <v>6</v>
      </c>
      <c r="F12" s="72">
        <f>Evaluacion!M19</f>
        <v>12</v>
      </c>
      <c r="G12" s="72">
        <f>Evaluacion!N19</f>
        <v>2</v>
      </c>
      <c r="H12" s="72">
        <f>Evaluacion!O19</f>
        <v>3</v>
      </c>
      <c r="I12" s="72">
        <f>Evaluacion!P19</f>
        <v>6</v>
      </c>
      <c r="J12" s="72">
        <f>Evaluacion!Q19</f>
        <v>17.25</v>
      </c>
      <c r="L12" t="str">
        <f t="shared" si="0"/>
        <v>DD</v>
      </c>
      <c r="M12" s="192">
        <v>1</v>
      </c>
      <c r="N12" s="133">
        <v>0</v>
      </c>
      <c r="O12" s="133">
        <v>0</v>
      </c>
      <c r="P12" s="133">
        <v>0</v>
      </c>
      <c r="Q12" s="133">
        <f ca="1">M12*Evaluacion!CD19</f>
        <v>5.5283114495293022</v>
      </c>
      <c r="R12" s="133">
        <f ca="1">M12*Evaluacion!CE19</f>
        <v>2.6422124758738081</v>
      </c>
      <c r="S12" s="133">
        <f ca="1">M12*Evaluacion!CF19</f>
        <v>6.9472135275123001</v>
      </c>
      <c r="T12" s="133">
        <f ca="1">R12</f>
        <v>2.6422124758738081</v>
      </c>
      <c r="U12" s="133">
        <v>0</v>
      </c>
      <c r="V12" s="133">
        <f>Evaluacion!T19*M12</f>
        <v>0.81750000000000012</v>
      </c>
      <c r="W12" s="133">
        <f>Evaluacion!U19*M12</f>
        <v>0.75750000000000006</v>
      </c>
      <c r="AA12" s="50"/>
    </row>
    <row r="13" spans="1:27" x14ac:dyDescent="0.25">
      <c r="M13" s="58"/>
      <c r="N13" s="193">
        <f t="shared" ref="N13:W13" ca="1" si="1">SUM(N2:N12)</f>
        <v>46.496047129644182</v>
      </c>
      <c r="O13" s="193" t="e">
        <f t="shared" ca="1" si="1"/>
        <v>#REF!</v>
      </c>
      <c r="P13" s="193" t="e">
        <f t="shared" ca="1" si="1"/>
        <v>#REF!</v>
      </c>
      <c r="Q13" s="193" t="e">
        <f t="shared" ca="1" si="1"/>
        <v>#REF!</v>
      </c>
      <c r="R13" s="193">
        <f t="shared" ca="1" si="1"/>
        <v>12.417048433752658</v>
      </c>
      <c r="S13" s="193">
        <f t="shared" ca="1" si="1"/>
        <v>10.937835634098725</v>
      </c>
      <c r="T13" s="193" t="e">
        <f t="shared" si="1"/>
        <v>#REF!</v>
      </c>
      <c r="U13" s="194" t="e">
        <f t="shared" si="1"/>
        <v>#REF!</v>
      </c>
      <c r="V13" s="194" t="e">
        <f t="shared" si="1"/>
        <v>#REF!</v>
      </c>
      <c r="W13" s="194" t="e">
        <f t="shared" si="1"/>
        <v>#REF!</v>
      </c>
    </row>
    <row r="14" spans="1:27" ht="15.75" x14ac:dyDescent="0.25">
      <c r="M14" t="s">
        <v>631</v>
      </c>
      <c r="N14" s="195">
        <f ca="1">N13*0.34</f>
        <v>15.808656024079022</v>
      </c>
      <c r="O14" s="195" t="e">
        <f ca="1">O13*0.245</f>
        <v>#REF!</v>
      </c>
      <c r="P14" s="195" t="e">
        <f ca="1">P13*0.34</f>
        <v>#REF!</v>
      </c>
      <c r="Q14" s="195" t="e">
        <f ca="1">Q13*0.125</f>
        <v>#REF!</v>
      </c>
      <c r="R14" s="195">
        <f ca="1">R13*0.25</f>
        <v>3.1042621084381645</v>
      </c>
      <c r="S14" s="195">
        <f ca="1">S13*0.19</f>
        <v>2.0781887704787576</v>
      </c>
      <c r="T14" s="195" t="e">
        <f>T13*0.25</f>
        <v>#REF!</v>
      </c>
    </row>
    <row r="15" spans="1:27" ht="15.75" x14ac:dyDescent="0.25">
      <c r="M15" t="s">
        <v>632</v>
      </c>
      <c r="N15" s="200">
        <f ca="1">N14*1.2/1.05</f>
        <v>18.067035456090309</v>
      </c>
      <c r="O15" s="200" t="e">
        <f ca="1">O14*1.2/1.05</f>
        <v>#REF!</v>
      </c>
      <c r="P15" s="200" t="e">
        <f ca="1">P14*1.2/1.05</f>
        <v>#REF!</v>
      </c>
      <c r="Q15" s="200" t="e">
        <f ca="1">Q14</f>
        <v>#REF!</v>
      </c>
      <c r="R15" s="200">
        <f ca="1">R14*0.925/1.05</f>
        <v>2.7347070955288593</v>
      </c>
      <c r="S15" s="200">
        <f ca="1">S14*0.925/1.05</f>
        <v>1.8307853454217626</v>
      </c>
      <c r="T15" s="200" t="e">
        <f>T14*0.925/1.05</f>
        <v>#REF!</v>
      </c>
    </row>
    <row r="16" spans="1:27" ht="15.75" x14ac:dyDescent="0.25">
      <c r="M16" t="s">
        <v>633</v>
      </c>
      <c r="N16" s="200">
        <f ca="1">N14*0.925/1.05</f>
        <v>13.926673164069614</v>
      </c>
      <c r="O16" s="200" t="e">
        <f ca="1">O14*0.925/1.05</f>
        <v>#REF!</v>
      </c>
      <c r="P16" s="200" t="e">
        <f ca="1">P14*0.925/1.05</f>
        <v>#REF!</v>
      </c>
      <c r="Q16" s="200" t="e">
        <f ca="1">Q15</f>
        <v>#REF!</v>
      </c>
      <c r="R16" s="200">
        <f ca="1">R14*1.135/1.05</f>
        <v>3.3555595172164923</v>
      </c>
      <c r="S16" s="200">
        <f ca="1">S14*1.135/1.05</f>
        <v>2.2464230995175143</v>
      </c>
      <c r="T16" s="200" t="e">
        <f>T14*1.135/1.05</f>
        <v>#REF!</v>
      </c>
    </row>
  </sheetData>
  <conditionalFormatting sqref="D2:J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DA9694"/>
  </sheetPr>
  <dimension ref="A1:AF24"/>
  <sheetViews>
    <sheetView workbookViewId="0">
      <selection activeCell="Y16" sqref="Y16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11" width="5.5703125" customWidth="1"/>
    <col min="12" max="12" width="6.42578125" style="58" customWidth="1"/>
    <col min="13" max="13" width="6.5703125" style="58" customWidth="1"/>
    <col min="14" max="14" width="8.28515625" style="58" customWidth="1"/>
    <col min="15" max="15" width="5.140625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4" width="4.5703125" customWidth="1"/>
    <col min="25" max="25" width="12.42578125" customWidth="1"/>
    <col min="28" max="28" width="6" customWidth="1"/>
    <col min="29" max="29" width="13.7109375" customWidth="1"/>
    <col min="31" max="31" width="5.7109375" customWidth="1"/>
    <col min="32" max="32" width="13.7109375" customWidth="1"/>
  </cols>
  <sheetData>
    <row r="1" spans="1:32" x14ac:dyDescent="0.25">
      <c r="B1" t="s">
        <v>635</v>
      </c>
      <c r="AB1" t="s">
        <v>636</v>
      </c>
      <c r="AE1" t="s">
        <v>637</v>
      </c>
    </row>
    <row r="2" spans="1:32" x14ac:dyDescent="0.25">
      <c r="B2" s="74">
        <v>44035</v>
      </c>
      <c r="Y2" s="206"/>
      <c r="AB2" s="149" t="s">
        <v>85</v>
      </c>
      <c r="AC2" s="149" t="s">
        <v>87</v>
      </c>
      <c r="AE2" s="149" t="s">
        <v>85</v>
      </c>
      <c r="AF2" s="149" t="s">
        <v>87</v>
      </c>
    </row>
    <row r="3" spans="1:32" x14ac:dyDescent="0.25">
      <c r="A3" s="81" t="s">
        <v>638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1">
        <v>1</v>
      </c>
      <c r="M3" s="201">
        <v>0.5</v>
      </c>
      <c r="N3" s="81" t="s">
        <v>639</v>
      </c>
      <c r="O3" s="204" t="s">
        <v>14</v>
      </c>
      <c r="P3" s="203" t="s">
        <v>630</v>
      </c>
      <c r="Q3" s="202" t="s">
        <v>640</v>
      </c>
      <c r="R3" s="202" t="s">
        <v>641</v>
      </c>
      <c r="S3" s="202" t="s">
        <v>642</v>
      </c>
      <c r="T3" s="202" t="s">
        <v>135</v>
      </c>
      <c r="U3" s="202" t="s">
        <v>473</v>
      </c>
      <c r="V3" s="202" t="s">
        <v>643</v>
      </c>
      <c r="W3" s="203" t="s">
        <v>140</v>
      </c>
      <c r="X3" s="203" t="s">
        <v>21</v>
      </c>
      <c r="Y3" s="204" t="s">
        <v>644</v>
      </c>
      <c r="AB3" t="s">
        <v>14</v>
      </c>
      <c r="AC3" t="s">
        <v>144</v>
      </c>
      <c r="AE3" t="s">
        <v>14</v>
      </c>
      <c r="AF3" t="s">
        <v>144</v>
      </c>
    </row>
    <row r="4" spans="1:32" x14ac:dyDescent="0.25">
      <c r="A4" s="5" t="str">
        <f>Plantilla!A4</f>
        <v>#30</v>
      </c>
      <c r="B4" s="51" t="str">
        <f>Plantilla!D4</f>
        <v>D. Gehmacher</v>
      </c>
      <c r="C4" s="5">
        <f>Plantilla!E4</f>
        <v>38</v>
      </c>
      <c r="D4" s="465">
        <f ca="1">Plantilla!F4</f>
        <v>65</v>
      </c>
      <c r="E4" s="49">
        <f>Plantilla!X4</f>
        <v>14.95</v>
      </c>
      <c r="F4" s="49">
        <f>Plantilla!Y4</f>
        <v>8.9499999999999993</v>
      </c>
      <c r="G4" s="49">
        <f>Plantilla!Z4</f>
        <v>0.95</v>
      </c>
      <c r="H4" s="49">
        <f>Plantilla!AA4</f>
        <v>0</v>
      </c>
      <c r="I4" s="49">
        <f>Plantilla!AB4</f>
        <v>0</v>
      </c>
      <c r="J4" s="49">
        <f>Plantilla!AC4</f>
        <v>0</v>
      </c>
      <c r="K4" s="49">
        <f>Plantilla!AD4</f>
        <v>17.95</v>
      </c>
      <c r="L4" s="97"/>
      <c r="M4" s="97"/>
      <c r="N4" s="97"/>
      <c r="O4" s="48"/>
      <c r="P4" s="48"/>
      <c r="Q4" s="48"/>
      <c r="R4" s="48"/>
      <c r="S4" s="48"/>
      <c r="T4" s="48"/>
      <c r="U4" s="48"/>
      <c r="V4" s="48"/>
      <c r="W4" s="48"/>
      <c r="X4" s="48"/>
      <c r="Y4" s="117">
        <f t="shared" ref="Y4:Y24" si="0">MAX(O4:V4)</f>
        <v>0</v>
      </c>
      <c r="AB4" t="s">
        <v>629</v>
      </c>
      <c r="AC4" t="s">
        <v>645</v>
      </c>
      <c r="AE4" t="s">
        <v>629</v>
      </c>
      <c r="AF4" t="str">
        <f>AC4</f>
        <v>B. Pinczehelyi</v>
      </c>
    </row>
    <row r="5" spans="1:32" x14ac:dyDescent="0.25">
      <c r="A5" s="5" t="str">
        <f>Plantilla!A5</f>
        <v>#1</v>
      </c>
      <c r="B5" s="51" t="str">
        <f>Plantilla!D5</f>
        <v>林 (Lin) 光维 (Guangwei)</v>
      </c>
      <c r="C5" s="5">
        <f>Plantilla!E5</f>
        <v>22</v>
      </c>
      <c r="D5" s="465">
        <f ca="1">Plantilla!F5</f>
        <v>104</v>
      </c>
      <c r="E5" s="49">
        <f>Plantilla!X5</f>
        <v>15</v>
      </c>
      <c r="F5" s="49">
        <f>Plantilla!Y5</f>
        <v>5</v>
      </c>
      <c r="G5" s="49">
        <f>Plantilla!Z5</f>
        <v>2</v>
      </c>
      <c r="H5" s="49">
        <f>Plantilla!AA5</f>
        <v>1</v>
      </c>
      <c r="I5" s="49">
        <f>Plantilla!AB5</f>
        <v>5</v>
      </c>
      <c r="J5" s="49">
        <f>Plantilla!AC5</f>
        <v>3</v>
      </c>
      <c r="K5" s="49">
        <f>Plantilla!AD5</f>
        <v>19.25</v>
      </c>
      <c r="L5" s="97">
        <f>1/4</f>
        <v>0.25</v>
      </c>
      <c r="M5" s="97"/>
      <c r="N5" s="97">
        <f>L5/6</f>
        <v>4.1666666666666664E-2</v>
      </c>
      <c r="O5" s="48">
        <f>L5*(0.245*0.425+0.34*0.276)/(0.245+0.34)</f>
        <v>8.460042735042736E-2</v>
      </c>
      <c r="P5" s="48"/>
      <c r="Q5" s="48"/>
      <c r="R5" s="48"/>
      <c r="S5" s="48"/>
      <c r="T5" s="48"/>
      <c r="U5" s="48"/>
      <c r="V5" s="48"/>
      <c r="W5" s="48"/>
      <c r="X5" s="48"/>
      <c r="Y5" s="117">
        <f t="shared" si="0"/>
        <v>8.460042735042736E-2</v>
      </c>
      <c r="AB5" t="s">
        <v>630</v>
      </c>
      <c r="AC5" t="s">
        <v>225</v>
      </c>
      <c r="AE5" t="s">
        <v>634</v>
      </c>
      <c r="AF5" t="s">
        <v>218</v>
      </c>
    </row>
    <row r="6" spans="1:32" x14ac:dyDescent="0.25">
      <c r="A6" s="5" t="str">
        <f>Plantilla!A10</f>
        <v>#2</v>
      </c>
      <c r="B6" s="51" t="str">
        <f>Plantilla!D10</f>
        <v>S. Swärdborn</v>
      </c>
      <c r="C6" s="5">
        <f>Plantilla!E10</f>
        <v>22</v>
      </c>
      <c r="D6" s="465">
        <f ca="1">Plantilla!F10</f>
        <v>21</v>
      </c>
      <c r="E6" s="49">
        <f>Plantilla!X10</f>
        <v>0</v>
      </c>
      <c r="F6" s="49">
        <f>Plantilla!Y10</f>
        <v>12</v>
      </c>
      <c r="G6" s="49">
        <f>Plantilla!Z10</f>
        <v>7</v>
      </c>
      <c r="H6" s="49">
        <f>Plantilla!AA10</f>
        <v>1</v>
      </c>
      <c r="I6" s="49">
        <f>Plantilla!AB10</f>
        <v>3</v>
      </c>
      <c r="J6" s="49">
        <f>Plantilla!AC10</f>
        <v>6</v>
      </c>
      <c r="K6" s="49">
        <f>Plantilla!AD10</f>
        <v>15.333333333333334</v>
      </c>
      <c r="L6" s="97">
        <f>1/11</f>
        <v>9.0909090909090912E-2</v>
      </c>
      <c r="M6" s="97"/>
      <c r="N6" s="97">
        <f>L6/6</f>
        <v>1.5151515151515152E-2</v>
      </c>
      <c r="O6" s="48"/>
      <c r="P6" s="48">
        <f>L6*(0.245*1+0.34*0.516+0.34*0.258)/(0.245+0.34)</f>
        <v>7.8968142968142974E-2</v>
      </c>
      <c r="Q6" s="48">
        <f>L6*(0.245*0.725+0.34*0.378+0.34*0.189)/(0.245+0.34)</f>
        <v>5.7560994560994561E-2</v>
      </c>
      <c r="R6" s="48">
        <f>L6*(0.245*0.708+0.34*0.754)/(0.245+0.34)</f>
        <v>6.6794094794094788E-2</v>
      </c>
      <c r="S6" s="48">
        <f>L6*(0.245*0.414+0.34*0.919)/(0.245+0.34)</f>
        <v>6.4318570318570328E-2</v>
      </c>
      <c r="T6" s="48"/>
      <c r="U6" s="48"/>
      <c r="V6" s="48"/>
      <c r="W6" s="48"/>
      <c r="X6" s="48"/>
      <c r="Y6" s="117">
        <f t="shared" si="0"/>
        <v>7.8968142968142974E-2</v>
      </c>
      <c r="AB6" t="s">
        <v>629</v>
      </c>
      <c r="AC6" t="s">
        <v>148</v>
      </c>
      <c r="AE6" t="s">
        <v>132</v>
      </c>
      <c r="AF6" t="s">
        <v>148</v>
      </c>
    </row>
    <row r="7" spans="1:32" x14ac:dyDescent="0.25">
      <c r="A7" s="5" t="str">
        <f>Plantilla!A7</f>
        <v>#36</v>
      </c>
      <c r="B7" s="51" t="str">
        <f>Plantilla!D7</f>
        <v>F. Lasprilla</v>
      </c>
      <c r="C7" s="5">
        <f>Plantilla!E7</f>
        <v>35</v>
      </c>
      <c r="D7" s="465">
        <f ca="1">Plantilla!F7</f>
        <v>84</v>
      </c>
      <c r="E7" s="49">
        <f>Plantilla!X7</f>
        <v>0</v>
      </c>
      <c r="F7" s="49">
        <f>Plantilla!Y7</f>
        <v>8.9499999999999975</v>
      </c>
      <c r="G7" s="49">
        <f>Plantilla!Z7</f>
        <v>7.95</v>
      </c>
      <c r="H7" s="49">
        <f>Plantilla!AA7</f>
        <v>4.95</v>
      </c>
      <c r="I7" s="49">
        <f>Plantilla!AB7</f>
        <v>7.95</v>
      </c>
      <c r="J7" s="49">
        <f>Plantilla!AC7</f>
        <v>0.95</v>
      </c>
      <c r="K7" s="49">
        <f>Plantilla!AD7</f>
        <v>14</v>
      </c>
      <c r="L7" s="97"/>
      <c r="M7" s="97"/>
      <c r="N7" s="97"/>
      <c r="O7" s="48"/>
      <c r="P7" s="48"/>
      <c r="Q7" s="48"/>
      <c r="R7" s="48"/>
      <c r="S7" s="48"/>
      <c r="T7" s="48"/>
      <c r="U7" s="48"/>
      <c r="V7" s="48"/>
      <c r="W7" s="48"/>
      <c r="X7" s="48"/>
      <c r="Y7" s="117">
        <f t="shared" si="0"/>
        <v>0</v>
      </c>
      <c r="AB7" t="s">
        <v>473</v>
      </c>
      <c r="AC7" t="s">
        <v>155</v>
      </c>
      <c r="AE7" t="s">
        <v>634</v>
      </c>
      <c r="AF7" t="s">
        <v>214</v>
      </c>
    </row>
    <row r="8" spans="1:32" x14ac:dyDescent="0.25">
      <c r="A8" s="5" t="str">
        <f>Plantilla!A8</f>
        <v>#31</v>
      </c>
      <c r="B8" s="51" t="str">
        <f>Plantilla!D8</f>
        <v>E. Romweber</v>
      </c>
      <c r="C8" s="5">
        <f>Plantilla!E8</f>
        <v>39</v>
      </c>
      <c r="D8" s="465">
        <f ca="1">Plantilla!F8</f>
        <v>38</v>
      </c>
      <c r="E8" s="49">
        <f>Plantilla!X8</f>
        <v>0</v>
      </c>
      <c r="F8" s="49">
        <f>Plantilla!Y8</f>
        <v>8.9499999999999975</v>
      </c>
      <c r="G8" s="49">
        <f>Plantilla!Z8</f>
        <v>8.9499999999999975</v>
      </c>
      <c r="H8" s="49">
        <f>Plantilla!AA8</f>
        <v>8.9499999999999975</v>
      </c>
      <c r="I8" s="49">
        <f>Plantilla!AB8</f>
        <v>6.95</v>
      </c>
      <c r="J8" s="49">
        <f>Plantilla!AC8</f>
        <v>0.95</v>
      </c>
      <c r="K8" s="49">
        <f>Plantilla!AD8</f>
        <v>16</v>
      </c>
      <c r="L8" s="97"/>
      <c r="M8" s="97"/>
      <c r="N8" s="97"/>
      <c r="O8" s="48"/>
      <c r="P8" s="48"/>
      <c r="Q8" s="48"/>
      <c r="R8" s="48"/>
      <c r="S8" s="48"/>
      <c r="T8" s="48"/>
      <c r="U8" s="48"/>
      <c r="V8" s="48"/>
      <c r="W8" s="48"/>
      <c r="X8" s="48"/>
      <c r="Y8" s="117">
        <f t="shared" si="0"/>
        <v>0</v>
      </c>
      <c r="AB8" t="s">
        <v>135</v>
      </c>
      <c r="AC8" t="s">
        <v>237</v>
      </c>
      <c r="AE8" t="s">
        <v>629</v>
      </c>
      <c r="AF8" t="s">
        <v>153</v>
      </c>
    </row>
    <row r="9" spans="1:32" x14ac:dyDescent="0.25">
      <c r="A9" s="5" t="str">
        <f>Plantilla!A21</f>
        <v>#35</v>
      </c>
      <c r="B9" s="51" t="str">
        <f>Plantilla!D21</f>
        <v>S. Buschelman</v>
      </c>
      <c r="C9" s="5">
        <f>Plantilla!E21</f>
        <v>37</v>
      </c>
      <c r="D9" s="465">
        <f ca="1">Plantilla!F21</f>
        <v>109</v>
      </c>
      <c r="E9" s="49">
        <f>Plantilla!X21</f>
        <v>0</v>
      </c>
      <c r="F9" s="49">
        <f>Plantilla!Y21</f>
        <v>7.95</v>
      </c>
      <c r="G9" s="49">
        <f>Plantilla!Z21</f>
        <v>11.95</v>
      </c>
      <c r="H9" s="49">
        <f>Plantilla!AA21</f>
        <v>9.9499999999999993</v>
      </c>
      <c r="I9" s="49">
        <f>Plantilla!AB21</f>
        <v>6.95</v>
      </c>
      <c r="J9" s="49">
        <f>Plantilla!AC21</f>
        <v>0.95</v>
      </c>
      <c r="K9" s="49">
        <f>Plantilla!AD21</f>
        <v>16</v>
      </c>
      <c r="L9" s="97"/>
      <c r="M9" s="97"/>
      <c r="N9" s="97"/>
      <c r="O9" s="48"/>
      <c r="P9" s="48"/>
      <c r="Q9" s="48"/>
      <c r="R9" s="48"/>
      <c r="S9" s="48"/>
      <c r="T9" s="48"/>
      <c r="U9" s="48"/>
      <c r="V9" s="48"/>
      <c r="W9" s="48"/>
      <c r="X9" s="48"/>
      <c r="Y9" s="117">
        <f t="shared" si="0"/>
        <v>0</v>
      </c>
      <c r="AB9" t="s">
        <v>473</v>
      </c>
      <c r="AC9" t="s">
        <v>231</v>
      </c>
      <c r="AE9" t="s">
        <v>473</v>
      </c>
      <c r="AF9" t="s">
        <v>231</v>
      </c>
    </row>
    <row r="10" spans="1:32" x14ac:dyDescent="0.25">
      <c r="A10" s="5" t="str">
        <f>Plantilla!A11</f>
        <v>#19</v>
      </c>
      <c r="B10" s="51" t="str">
        <f>Plantilla!D11</f>
        <v>A. Grimaud</v>
      </c>
      <c r="C10" s="5">
        <f>Plantilla!E11</f>
        <v>22</v>
      </c>
      <c r="D10" s="465">
        <f ca="1">Plantilla!F11</f>
        <v>44</v>
      </c>
      <c r="E10" s="49">
        <f>Plantilla!X11</f>
        <v>0</v>
      </c>
      <c r="F10" s="49">
        <f>Plantilla!Y11</f>
        <v>12</v>
      </c>
      <c r="G10" s="49">
        <f>Plantilla!Z11</f>
        <v>7</v>
      </c>
      <c r="H10" s="49">
        <f>Plantilla!AA11</f>
        <v>3</v>
      </c>
      <c r="I10" s="49">
        <f>Plantilla!AB11</f>
        <v>3</v>
      </c>
      <c r="J10" s="49">
        <f>Plantilla!AC11</f>
        <v>5</v>
      </c>
      <c r="K10" s="49">
        <f>Plantilla!AD11</f>
        <v>14.333333333333334</v>
      </c>
      <c r="L10" s="97">
        <f>1/11</f>
        <v>9.0909090909090912E-2</v>
      </c>
      <c r="M10" s="97"/>
      <c r="N10" s="97">
        <f t="shared" ref="N10:N20" si="1">L10/6</f>
        <v>1.5151515151515152E-2</v>
      </c>
      <c r="O10" s="48"/>
      <c r="P10" s="48">
        <f>L10*(0.245*1+0.34*0.516+0.34*0.258)/(0.245+0.34)</f>
        <v>7.8968142968142974E-2</v>
      </c>
      <c r="Q10" s="48">
        <f>L10*(0.245*0.725+0.34*0.378+0.34*0.189)/(0.245+0.34)</f>
        <v>5.7560994560994561E-2</v>
      </c>
      <c r="R10" s="48">
        <f>L10*(0.245*0.708+0.34*0.754)/(0.245+0.34)</f>
        <v>6.6794094794094788E-2</v>
      </c>
      <c r="S10" s="48">
        <f>L10*(0.245*0.414+0.34*0.919)/(0.245+0.34)</f>
        <v>6.4318570318570328E-2</v>
      </c>
      <c r="T10" s="48"/>
      <c r="U10" s="48"/>
      <c r="V10" s="48"/>
      <c r="W10" s="48"/>
      <c r="X10" s="48"/>
      <c r="Y10" s="117">
        <f t="shared" si="0"/>
        <v>7.8968142968142974E-2</v>
      </c>
      <c r="AB10" t="s">
        <v>476</v>
      </c>
      <c r="AC10" t="s">
        <v>153</v>
      </c>
      <c r="AE10" t="s">
        <v>473</v>
      </c>
      <c r="AF10" t="s">
        <v>155</v>
      </c>
    </row>
    <row r="11" spans="1:32" x14ac:dyDescent="0.25">
      <c r="A11" s="5" t="str">
        <f>Plantilla!A12</f>
        <v>#22</v>
      </c>
      <c r="B11" s="51" t="str">
        <f>Plantilla!D12</f>
        <v>V. Gardner</v>
      </c>
      <c r="C11" s="5">
        <f>Plantilla!E12</f>
        <v>22</v>
      </c>
      <c r="D11" s="465">
        <f ca="1">Plantilla!F12</f>
        <v>33</v>
      </c>
      <c r="E11" s="49">
        <f>Plantilla!X12</f>
        <v>0</v>
      </c>
      <c r="F11" s="49">
        <f>Plantilla!Y12</f>
        <v>12</v>
      </c>
      <c r="G11" s="49">
        <f>Plantilla!Z12</f>
        <v>5</v>
      </c>
      <c r="H11" s="49">
        <f>Plantilla!AA12</f>
        <v>3</v>
      </c>
      <c r="I11" s="49">
        <f>Plantilla!AB12</f>
        <v>5</v>
      </c>
      <c r="J11" s="49">
        <f>Plantilla!AC12</f>
        <v>6</v>
      </c>
      <c r="K11" s="49">
        <f>Plantilla!AD12</f>
        <v>16</v>
      </c>
      <c r="L11" s="97">
        <f>1/11</f>
        <v>9.0909090909090912E-2</v>
      </c>
      <c r="M11" s="97"/>
      <c r="N11" s="97">
        <f t="shared" si="1"/>
        <v>1.5151515151515152E-2</v>
      </c>
      <c r="O11" s="48"/>
      <c r="P11" s="48">
        <f>L11*(0.245*1+0.34*0.516+0.34*0.258)/(0.245+0.34)</f>
        <v>7.8968142968142974E-2</v>
      </c>
      <c r="Q11" s="48">
        <f>L11*(0.245*0.725+0.34*0.378+0.34*0.189)/(0.245+0.34)</f>
        <v>5.7560994560994561E-2</v>
      </c>
      <c r="R11" s="48">
        <f>L11*(0.245*0.708+0.34*0.754)/(0.245+0.34)</f>
        <v>6.6794094794094788E-2</v>
      </c>
      <c r="S11" s="48">
        <f>L11*(0.245*0.414+0.34*0.919)/(0.245+0.34)</f>
        <v>6.4318570318570328E-2</v>
      </c>
      <c r="T11" s="48"/>
      <c r="U11" s="48"/>
      <c r="V11" s="48"/>
      <c r="W11" s="48"/>
      <c r="X11" s="48"/>
      <c r="Y11" s="117">
        <f t="shared" si="0"/>
        <v>7.8968142968142974E-2</v>
      </c>
      <c r="AB11" t="s">
        <v>476</v>
      </c>
      <c r="AC11" t="s">
        <v>238</v>
      </c>
      <c r="AE11" t="s">
        <v>476</v>
      </c>
      <c r="AF11" t="s">
        <v>238</v>
      </c>
    </row>
    <row r="12" spans="1:32" x14ac:dyDescent="0.25">
      <c r="A12" s="5" t="str">
        <f>Plantilla!A9</f>
        <v>#2</v>
      </c>
      <c r="B12" s="51" t="str">
        <f>Plantilla!D9</f>
        <v>L. Tutorić</v>
      </c>
      <c r="C12" s="5">
        <f>Plantilla!E9</f>
        <v>29</v>
      </c>
      <c r="D12" s="465">
        <f ca="1">Plantilla!F9</f>
        <v>19</v>
      </c>
      <c r="E12" s="49">
        <f>Plantilla!X9</f>
        <v>0</v>
      </c>
      <c r="F12" s="49">
        <f>Plantilla!Y9</f>
        <v>13</v>
      </c>
      <c r="G12" s="49">
        <f>Plantilla!Z9</f>
        <v>6</v>
      </c>
      <c r="H12" s="49">
        <f>Plantilla!AA9</f>
        <v>2</v>
      </c>
      <c r="I12" s="49">
        <f>Plantilla!AB9</f>
        <v>1</v>
      </c>
      <c r="J12" s="49">
        <f>Plantilla!AC9</f>
        <v>7</v>
      </c>
      <c r="K12" s="49">
        <f>Plantilla!AD9</f>
        <v>15.333333333333334</v>
      </c>
      <c r="L12" s="97"/>
      <c r="M12" s="97"/>
      <c r="N12" s="97">
        <f t="shared" si="1"/>
        <v>0</v>
      </c>
      <c r="O12" s="48"/>
      <c r="P12" s="48">
        <f>L12*(0.245*1+0.34*0.516+0.34*0.258)/(0.245+0.34)</f>
        <v>0</v>
      </c>
      <c r="Q12" s="48">
        <f>L12*(0.245*0.725+0.34*0.378+0.34*0.189)/(0.245+0.34)</f>
        <v>0</v>
      </c>
      <c r="R12" s="48">
        <f>L12*(0.245*0.708+0.34*0.754)/(0.245+0.34)</f>
        <v>0</v>
      </c>
      <c r="S12" s="48">
        <f>L12*(0.245*0.414+0.34*0.919)/(0.245+0.34)</f>
        <v>0</v>
      </c>
      <c r="T12" s="48"/>
      <c r="U12" s="48"/>
      <c r="V12" s="48"/>
      <c r="W12" s="48"/>
      <c r="X12" s="48"/>
      <c r="Y12" s="117">
        <f t="shared" si="0"/>
        <v>0</v>
      </c>
      <c r="AB12" t="s">
        <v>21</v>
      </c>
      <c r="AC12" t="s">
        <v>234</v>
      </c>
      <c r="AE12" t="s">
        <v>476</v>
      </c>
      <c r="AF12" t="s">
        <v>186</v>
      </c>
    </row>
    <row r="13" spans="1:32" x14ac:dyDescent="0.25">
      <c r="A13" s="5" t="str">
        <f>Plantilla!A15</f>
        <v>#16</v>
      </c>
      <c r="B13" s="51" t="str">
        <f>Plantilla!D15</f>
        <v>I. Vanags</v>
      </c>
      <c r="C13" s="5">
        <f>Plantilla!E15</f>
        <v>22</v>
      </c>
      <c r="D13" s="465">
        <f ca="1">Plantilla!F15</f>
        <v>20</v>
      </c>
      <c r="E13" s="49">
        <f>Plantilla!X15</f>
        <v>0</v>
      </c>
      <c r="F13" s="49">
        <f>Plantilla!Y15</f>
        <v>4</v>
      </c>
      <c r="G13" s="49">
        <f>Plantilla!Z15</f>
        <v>13</v>
      </c>
      <c r="H13" s="49">
        <f>Plantilla!AA15</f>
        <v>3</v>
      </c>
      <c r="I13" s="49">
        <f>Plantilla!AB15</f>
        <v>4</v>
      </c>
      <c r="J13" s="49">
        <f>Plantilla!AC15</f>
        <v>7</v>
      </c>
      <c r="K13" s="49">
        <f>Plantilla!AD15</f>
        <v>16.333333333333332</v>
      </c>
      <c r="L13" s="97">
        <f>1/4</f>
        <v>0.25</v>
      </c>
      <c r="M13" s="97"/>
      <c r="N13" s="97">
        <f t="shared" si="1"/>
        <v>4.1666666666666664E-2</v>
      </c>
      <c r="O13" s="48"/>
      <c r="P13" s="48"/>
      <c r="Q13" s="48"/>
      <c r="R13" s="48"/>
      <c r="S13" s="48"/>
      <c r="T13" s="48">
        <f t="shared" ref="T13:T18" si="2">L13*(0.245*0.4+0.34*0.189+0.34*0.095)</f>
        <v>4.8640000000000003E-2</v>
      </c>
      <c r="U13" s="48">
        <f t="shared" ref="U13:U18" si="3">L13*(0.245*0.348+0.34*0.291)</f>
        <v>4.6049999999999994E-2</v>
      </c>
      <c r="V13" s="48">
        <f t="shared" ref="V13:V18" si="4">L13*(0.245*0.201+0.34*0.349)</f>
        <v>4.197625E-2</v>
      </c>
      <c r="W13" s="48">
        <v>0</v>
      </c>
      <c r="X13" s="48">
        <v>0</v>
      </c>
      <c r="Y13" s="117">
        <f t="shared" si="0"/>
        <v>4.8640000000000003E-2</v>
      </c>
      <c r="AB13" t="s">
        <v>21</v>
      </c>
      <c r="AC13" t="s">
        <v>186</v>
      </c>
      <c r="AE13" t="s">
        <v>21</v>
      </c>
      <c r="AF13" t="s">
        <v>234</v>
      </c>
    </row>
    <row r="14" spans="1:32" x14ac:dyDescent="0.25">
      <c r="A14" s="5" t="str">
        <f>Plantilla!A16</f>
        <v>#8</v>
      </c>
      <c r="B14" s="51" t="str">
        <f>Plantilla!D16</f>
        <v>I. Stone</v>
      </c>
      <c r="C14" s="5">
        <f>Plantilla!E16</f>
        <v>21</v>
      </c>
      <c r="D14" s="465">
        <f ca="1">Plantilla!F16</f>
        <v>75</v>
      </c>
      <c r="E14" s="49">
        <f>Plantilla!X16</f>
        <v>0</v>
      </c>
      <c r="F14" s="49">
        <f>Plantilla!Y16</f>
        <v>3</v>
      </c>
      <c r="G14" s="49">
        <f>Plantilla!Z16</f>
        <v>12</v>
      </c>
      <c r="H14" s="49">
        <f>Plantilla!AA16</f>
        <v>2</v>
      </c>
      <c r="I14" s="49">
        <f>Plantilla!AB16</f>
        <v>6</v>
      </c>
      <c r="J14" s="49">
        <f>Plantilla!AC16</f>
        <v>9</v>
      </c>
      <c r="K14" s="49">
        <f>Plantilla!AD16</f>
        <v>15.333333333333334</v>
      </c>
      <c r="L14" s="97">
        <f>1/3</f>
        <v>0.33333333333333331</v>
      </c>
      <c r="M14" s="97"/>
      <c r="N14" s="97">
        <f t="shared" si="1"/>
        <v>5.5555555555555552E-2</v>
      </c>
      <c r="O14" s="48"/>
      <c r="P14" s="48"/>
      <c r="Q14" s="48"/>
      <c r="R14" s="48"/>
      <c r="S14" s="48"/>
      <c r="T14" s="48">
        <f t="shared" si="2"/>
        <v>6.4853333333333332E-2</v>
      </c>
      <c r="U14" s="48">
        <f t="shared" si="3"/>
        <v>6.1399999999999989E-2</v>
      </c>
      <c r="V14" s="48">
        <f t="shared" si="4"/>
        <v>5.5968333333333328E-2</v>
      </c>
      <c r="W14" s="48">
        <v>0</v>
      </c>
      <c r="X14" s="48">
        <v>0</v>
      </c>
      <c r="Y14" s="117">
        <f t="shared" si="0"/>
        <v>6.4853333333333332E-2</v>
      </c>
    </row>
    <row r="15" spans="1:32" x14ac:dyDescent="0.25">
      <c r="A15" s="5" t="str">
        <f>Plantilla!A17</f>
        <v>#14</v>
      </c>
      <c r="B15" s="51" t="str">
        <f>Plantilla!D17</f>
        <v>G. Piscaer</v>
      </c>
      <c r="C15" s="5">
        <f>Plantilla!E17</f>
        <v>22</v>
      </c>
      <c r="D15" s="465">
        <f ca="1">Plantilla!F17</f>
        <v>36</v>
      </c>
      <c r="E15" s="49">
        <f>Plantilla!X17</f>
        <v>0</v>
      </c>
      <c r="F15" s="49">
        <f>Plantilla!Y17</f>
        <v>4</v>
      </c>
      <c r="G15" s="49">
        <f>Plantilla!Z17</f>
        <v>13</v>
      </c>
      <c r="H15" s="49">
        <f>Plantilla!AA17</f>
        <v>3</v>
      </c>
      <c r="I15" s="49">
        <f>Plantilla!AB17</f>
        <v>2</v>
      </c>
      <c r="J15" s="49">
        <f>Plantilla!AC17</f>
        <v>8</v>
      </c>
      <c r="K15" s="49">
        <f>Plantilla!AD17</f>
        <v>14.333333333333334</v>
      </c>
      <c r="L15" s="97">
        <f>1/4</f>
        <v>0.25</v>
      </c>
      <c r="M15" s="97"/>
      <c r="N15" s="97">
        <f t="shared" si="1"/>
        <v>4.1666666666666664E-2</v>
      </c>
      <c r="O15" s="48"/>
      <c r="P15" s="48"/>
      <c r="Q15" s="48"/>
      <c r="R15" s="48"/>
      <c r="S15" s="48"/>
      <c r="T15" s="48">
        <f t="shared" si="2"/>
        <v>4.8640000000000003E-2</v>
      </c>
      <c r="U15" s="48">
        <f t="shared" si="3"/>
        <v>4.6049999999999994E-2</v>
      </c>
      <c r="V15" s="48">
        <f t="shared" si="4"/>
        <v>4.197625E-2</v>
      </c>
      <c r="W15" s="48">
        <v>0</v>
      </c>
      <c r="X15" s="48">
        <v>0</v>
      </c>
      <c r="Y15" s="117">
        <f t="shared" si="0"/>
        <v>4.8640000000000003E-2</v>
      </c>
    </row>
    <row r="16" spans="1:32" x14ac:dyDescent="0.25">
      <c r="A16" s="5" t="str">
        <f>Plantilla!A18</f>
        <v>#9</v>
      </c>
      <c r="B16" s="51" t="str">
        <f>Plantilla!D18</f>
        <v>M. Bondarewski</v>
      </c>
      <c r="C16" s="5">
        <f>Plantilla!E18</f>
        <v>22</v>
      </c>
      <c r="D16" s="465">
        <f ca="1">Plantilla!F18</f>
        <v>36</v>
      </c>
      <c r="E16" s="49">
        <f>Plantilla!X18</f>
        <v>0</v>
      </c>
      <c r="F16" s="49">
        <f>Plantilla!Y18</f>
        <v>2</v>
      </c>
      <c r="G16" s="49">
        <f>Plantilla!Z18</f>
        <v>13</v>
      </c>
      <c r="H16" s="49">
        <f>Plantilla!AA18</f>
        <v>5</v>
      </c>
      <c r="I16" s="49">
        <f>Plantilla!AB18</f>
        <v>4</v>
      </c>
      <c r="J16" s="49">
        <f>Plantilla!AC18</f>
        <v>8</v>
      </c>
      <c r="K16" s="49">
        <f>Plantilla!AD18</f>
        <v>17</v>
      </c>
      <c r="L16" s="97">
        <f>1/3</f>
        <v>0.33333333333333331</v>
      </c>
      <c r="M16" s="97"/>
      <c r="N16" s="97">
        <f t="shared" si="1"/>
        <v>5.5555555555555552E-2</v>
      </c>
      <c r="O16" s="48"/>
      <c r="P16" s="48"/>
      <c r="Q16" s="48"/>
      <c r="R16" s="48"/>
      <c r="S16" s="48"/>
      <c r="T16" s="48">
        <f t="shared" si="2"/>
        <v>6.4853333333333332E-2</v>
      </c>
      <c r="U16" s="48">
        <f t="shared" si="3"/>
        <v>6.1399999999999989E-2</v>
      </c>
      <c r="V16" s="48">
        <f t="shared" si="4"/>
        <v>5.5968333333333328E-2</v>
      </c>
      <c r="W16" s="48">
        <v>0</v>
      </c>
      <c r="X16" s="48">
        <v>0</v>
      </c>
      <c r="Y16" s="117">
        <f t="shared" si="0"/>
        <v>6.4853333333333332E-2</v>
      </c>
    </row>
    <row r="17" spans="1:25" x14ac:dyDescent="0.25">
      <c r="A17" s="5" t="str">
        <f>Plantilla!A19</f>
        <v>#12</v>
      </c>
      <c r="B17" s="51" t="str">
        <f>Plantilla!D19</f>
        <v>P. Tuderek</v>
      </c>
      <c r="C17" s="5">
        <f>Plantilla!E19</f>
        <v>22</v>
      </c>
      <c r="D17" s="465">
        <f ca="1">Plantilla!F19</f>
        <v>22</v>
      </c>
      <c r="E17" s="49">
        <f>Plantilla!X19</f>
        <v>0</v>
      </c>
      <c r="F17" s="49">
        <f>Plantilla!Y19</f>
        <v>6</v>
      </c>
      <c r="G17" s="49">
        <f>Plantilla!Z19</f>
        <v>12</v>
      </c>
      <c r="H17" s="49">
        <f>Plantilla!AA19</f>
        <v>2</v>
      </c>
      <c r="I17" s="49">
        <f>Plantilla!AB19</f>
        <v>3</v>
      </c>
      <c r="J17" s="49">
        <f>Plantilla!AC19</f>
        <v>6</v>
      </c>
      <c r="K17" s="49">
        <f>Plantilla!AD19</f>
        <v>17.25</v>
      </c>
      <c r="L17" s="97">
        <f>1/5</f>
        <v>0.2</v>
      </c>
      <c r="M17" s="97"/>
      <c r="N17" s="97">
        <f t="shared" si="1"/>
        <v>3.3333333333333333E-2</v>
      </c>
      <c r="O17" s="48"/>
      <c r="P17" s="48"/>
      <c r="Q17" s="48"/>
      <c r="R17" s="48"/>
      <c r="S17" s="48"/>
      <c r="T17" s="48">
        <f t="shared" si="2"/>
        <v>3.8912000000000002E-2</v>
      </c>
      <c r="U17" s="48">
        <f t="shared" si="3"/>
        <v>3.6839999999999998E-2</v>
      </c>
      <c r="V17" s="48">
        <f t="shared" si="4"/>
        <v>3.3581E-2</v>
      </c>
      <c r="W17" s="48">
        <v>0</v>
      </c>
      <c r="X17" s="48">
        <v>0</v>
      </c>
      <c r="Y17" s="117">
        <f t="shared" si="0"/>
        <v>3.8912000000000002E-2</v>
      </c>
    </row>
    <row r="18" spans="1:25" x14ac:dyDescent="0.25">
      <c r="A18" s="5" t="str">
        <f>Plantilla!A20</f>
        <v>#10</v>
      </c>
      <c r="B18" s="51" t="str">
        <f>Plantilla!D20</f>
        <v>R. Forsyth</v>
      </c>
      <c r="C18" s="5">
        <f>Plantilla!E20</f>
        <v>22</v>
      </c>
      <c r="D18" s="465">
        <f ca="1">Plantilla!F20</f>
        <v>77</v>
      </c>
      <c r="E18" s="49">
        <f>Plantilla!X20</f>
        <v>0</v>
      </c>
      <c r="F18" s="49">
        <f>Plantilla!Y20</f>
        <v>7</v>
      </c>
      <c r="G18" s="49">
        <f>Plantilla!Z20</f>
        <v>13</v>
      </c>
      <c r="H18" s="49">
        <f>Plantilla!AA20</f>
        <v>3</v>
      </c>
      <c r="I18" s="49">
        <f>Plantilla!AB20</f>
        <v>4</v>
      </c>
      <c r="J18" s="49">
        <f>Plantilla!AC20</f>
        <v>6</v>
      </c>
      <c r="K18" s="49">
        <f>Plantilla!AD20</f>
        <v>15</v>
      </c>
      <c r="L18" s="97">
        <f>1/6</f>
        <v>0.16666666666666666</v>
      </c>
      <c r="M18" s="97"/>
      <c r="N18" s="97">
        <f t="shared" si="1"/>
        <v>2.7777777777777776E-2</v>
      </c>
      <c r="O18" s="48"/>
      <c r="P18" s="48"/>
      <c r="Q18" s="48"/>
      <c r="R18" s="48"/>
      <c r="S18" s="48"/>
      <c r="T18" s="48">
        <f t="shared" si="2"/>
        <v>3.2426666666666666E-2</v>
      </c>
      <c r="U18" s="48">
        <f t="shared" si="3"/>
        <v>3.0699999999999995E-2</v>
      </c>
      <c r="V18" s="48">
        <f t="shared" si="4"/>
        <v>2.7984166666666664E-2</v>
      </c>
      <c r="W18" s="48">
        <v>0</v>
      </c>
      <c r="X18" s="48">
        <v>0</v>
      </c>
      <c r="Y18" s="117">
        <f t="shared" si="0"/>
        <v>3.2426666666666666E-2</v>
      </c>
    </row>
    <row r="19" spans="1:25" x14ac:dyDescent="0.25">
      <c r="A19" s="5" t="str">
        <f>Plantilla!A13</f>
        <v>#3</v>
      </c>
      <c r="B19" s="51" t="str">
        <f>Plantilla!D13</f>
        <v>S. Embe</v>
      </c>
      <c r="C19" s="5">
        <f>Plantilla!E13</f>
        <v>22</v>
      </c>
      <c r="D19" s="465">
        <f ca="1">Plantilla!F13</f>
        <v>89</v>
      </c>
      <c r="E19" s="49">
        <f>Plantilla!X13</f>
        <v>0</v>
      </c>
      <c r="F19" s="49">
        <f>Plantilla!Y13</f>
        <v>11</v>
      </c>
      <c r="G19" s="49">
        <f>Plantilla!Z13</f>
        <v>4</v>
      </c>
      <c r="H19" s="49">
        <f>Plantilla!AA13</f>
        <v>1</v>
      </c>
      <c r="I19" s="49">
        <f>Plantilla!AB13</f>
        <v>5</v>
      </c>
      <c r="J19" s="49">
        <f>Plantilla!AC13</f>
        <v>6</v>
      </c>
      <c r="K19" s="49">
        <f>Plantilla!AD13</f>
        <v>17.333333333333332</v>
      </c>
      <c r="L19" s="97">
        <f>1/10</f>
        <v>0.1</v>
      </c>
      <c r="M19" s="97"/>
      <c r="N19" s="97">
        <f t="shared" si="1"/>
        <v>1.6666666666666666E-2</v>
      </c>
      <c r="O19" s="48"/>
      <c r="P19" s="48">
        <f>L19*(0.245*1+0.34*0.516+0.34*0.258)/(0.245+0.34)</f>
        <v>8.6864957264957285E-2</v>
      </c>
      <c r="Q19" s="48">
        <f>L19*(0.245*0.725+0.34*0.378+0.34*0.189)/(0.245+0.34)</f>
        <v>6.3317094017094011E-2</v>
      </c>
      <c r="R19" s="48">
        <f>L19*(0.245*0.708+0.34*0.754)/(0.245+0.34)</f>
        <v>7.3473504273504284E-2</v>
      </c>
      <c r="S19" s="48">
        <f>L19*(0.245*0.414+0.34*0.919)/(0.245+0.34)</f>
        <v>7.0750427350427358E-2</v>
      </c>
      <c r="T19" s="48"/>
      <c r="U19" s="48"/>
      <c r="V19" s="48"/>
      <c r="W19" s="48"/>
      <c r="X19" s="48"/>
      <c r="Y19" s="117">
        <f t="shared" si="0"/>
        <v>8.6864957264957285E-2</v>
      </c>
    </row>
    <row r="20" spans="1:25" x14ac:dyDescent="0.25">
      <c r="A20" s="5" t="str">
        <f>Plantilla!A14</f>
        <v>#4</v>
      </c>
      <c r="B20" s="51" t="str">
        <f>Plantilla!D14</f>
        <v>E. Deus</v>
      </c>
      <c r="C20" s="5">
        <f>Plantilla!E14</f>
        <v>21</v>
      </c>
      <c r="D20" s="465">
        <f ca="1">Plantilla!F14</f>
        <v>72</v>
      </c>
      <c r="E20" s="49">
        <f>Plantilla!X14</f>
        <v>0</v>
      </c>
      <c r="F20" s="49">
        <f>Plantilla!Y14</f>
        <v>11</v>
      </c>
      <c r="G20" s="49">
        <f>Plantilla!Z14</f>
        <v>7</v>
      </c>
      <c r="H20" s="49">
        <f>Plantilla!AA14</f>
        <v>1</v>
      </c>
      <c r="I20" s="49">
        <f>Plantilla!AB14</f>
        <v>6</v>
      </c>
      <c r="J20" s="49">
        <f>Plantilla!AC14</f>
        <v>5</v>
      </c>
      <c r="K20" s="49">
        <f>Plantilla!AD14</f>
        <v>15.333333333333334</v>
      </c>
      <c r="L20" s="97">
        <f>1/10</f>
        <v>0.1</v>
      </c>
      <c r="M20" s="97"/>
      <c r="N20" s="97">
        <f t="shared" si="1"/>
        <v>1.6666666666666666E-2</v>
      </c>
      <c r="O20" s="48"/>
      <c r="P20" s="48">
        <f>L20*(0.245*1+0.34*0.516+0.34*0.258)/(0.245+0.34)</f>
        <v>8.6864957264957285E-2</v>
      </c>
      <c r="Q20" s="48">
        <f>L20*(0.245*0.725+0.34*0.378+0.34*0.189)/(0.245+0.34)</f>
        <v>6.3317094017094011E-2</v>
      </c>
      <c r="R20" s="48">
        <f>L20*(0.245*0.708+0.34*0.754)/(0.245+0.34)</f>
        <v>7.3473504273504284E-2</v>
      </c>
      <c r="S20" s="48">
        <f>L20*(0.245*0.414+0.34*0.919)/(0.245+0.34)</f>
        <v>7.0750427350427358E-2</v>
      </c>
      <c r="T20" s="48"/>
      <c r="U20" s="48"/>
      <c r="V20" s="48"/>
      <c r="W20" s="48"/>
      <c r="X20" s="48"/>
      <c r="Y20" s="117">
        <f t="shared" si="0"/>
        <v>8.6864957264957285E-2</v>
      </c>
    </row>
    <row r="21" spans="1:25" x14ac:dyDescent="0.25">
      <c r="A21" s="5" t="str">
        <f>Plantilla!A22</f>
        <v>#11</v>
      </c>
      <c r="B21" s="51" t="str">
        <f>Plantilla!D22</f>
        <v>J-P. Kechele</v>
      </c>
      <c r="C21" s="5">
        <f>Plantilla!E22</f>
        <v>29</v>
      </c>
      <c r="D21" s="465">
        <f ca="1">Plantilla!F22</f>
        <v>110</v>
      </c>
      <c r="E21" s="49">
        <f>Plantilla!X22</f>
        <v>0</v>
      </c>
      <c r="F21" s="49">
        <f>Plantilla!Y22</f>
        <v>4</v>
      </c>
      <c r="G21" s="49">
        <f>Plantilla!Z22</f>
        <v>14</v>
      </c>
      <c r="H21" s="49">
        <f>Plantilla!AA22</f>
        <v>4</v>
      </c>
      <c r="I21" s="49">
        <f>Plantilla!AB22</f>
        <v>9</v>
      </c>
      <c r="J21" s="49">
        <f>Plantilla!AC22</f>
        <v>8</v>
      </c>
      <c r="K21" s="49">
        <f>Plantilla!AD22</f>
        <v>19.25</v>
      </c>
      <c r="L21" s="97"/>
      <c r="M21" s="97"/>
      <c r="N21" s="97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117">
        <f t="shared" si="0"/>
        <v>0</v>
      </c>
    </row>
    <row r="22" spans="1:25" x14ac:dyDescent="0.25">
      <c r="A22" s="5" t="str">
        <f>Plantilla!A23</f>
        <v>#29</v>
      </c>
      <c r="B22" s="51" t="str">
        <f>Plantilla!D23</f>
        <v>S. Zobbe</v>
      </c>
      <c r="C22" s="5">
        <f>Plantilla!E23</f>
        <v>36</v>
      </c>
      <c r="D22" s="465">
        <f ca="1">Plantilla!F23</f>
        <v>0</v>
      </c>
      <c r="E22" s="49">
        <f>Plantilla!X23</f>
        <v>0</v>
      </c>
      <c r="F22" s="49">
        <f>Plantilla!Y23</f>
        <v>7.95</v>
      </c>
      <c r="G22" s="49">
        <f>Plantilla!Z23</f>
        <v>11.95</v>
      </c>
      <c r="H22" s="49">
        <f>Plantilla!AA23</f>
        <v>11.95</v>
      </c>
      <c r="I22" s="49">
        <f>Plantilla!AB23</f>
        <v>9.9499999999999993</v>
      </c>
      <c r="J22" s="49">
        <f>Plantilla!AC23</f>
        <v>4.95</v>
      </c>
      <c r="K22" s="49">
        <f>Plantilla!AD23</f>
        <v>18</v>
      </c>
      <c r="L22" s="97"/>
      <c r="M22" s="97"/>
      <c r="N22" s="97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117">
        <f t="shared" si="0"/>
        <v>0</v>
      </c>
    </row>
    <row r="23" spans="1:25" x14ac:dyDescent="0.25">
      <c r="A23" s="5" t="str">
        <f>Plantilla!A6</f>
        <v>#40</v>
      </c>
      <c r="B23" s="51" t="str">
        <f>Plantilla!D6</f>
        <v>E. Toney</v>
      </c>
      <c r="C23" s="5">
        <f>Plantilla!E6</f>
        <v>39</v>
      </c>
      <c r="D23" s="465">
        <f ca="1">Plantilla!F6</f>
        <v>76</v>
      </c>
      <c r="E23" s="49">
        <f>Plantilla!X6</f>
        <v>0</v>
      </c>
      <c r="F23" s="49">
        <f>Plantilla!Y6</f>
        <v>8.9499999999999975</v>
      </c>
      <c r="G23" s="49">
        <f>Plantilla!Z6</f>
        <v>7.95</v>
      </c>
      <c r="H23" s="49">
        <f>Plantilla!AA6</f>
        <v>4.95</v>
      </c>
      <c r="I23" s="49">
        <f>Plantilla!AB6</f>
        <v>3.95</v>
      </c>
      <c r="J23" s="49">
        <f>Plantilla!AC6</f>
        <v>0</v>
      </c>
      <c r="K23" s="49">
        <f>Plantilla!AD6</f>
        <v>15</v>
      </c>
      <c r="L23" s="97"/>
      <c r="M23" s="97"/>
      <c r="N23" s="97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117">
        <f t="shared" si="0"/>
        <v>0</v>
      </c>
    </row>
    <row r="24" spans="1:25" x14ac:dyDescent="0.25">
      <c r="A24" s="5" t="str">
        <f>Plantilla!A24</f>
        <v>#28</v>
      </c>
      <c r="B24" s="51" t="str">
        <f>Plantilla!D24</f>
        <v>P .Trivadi</v>
      </c>
      <c r="C24" s="5">
        <f>Plantilla!E24</f>
        <v>35</v>
      </c>
      <c r="D24" s="465">
        <f ca="1">Plantilla!F24</f>
        <v>68</v>
      </c>
      <c r="E24" s="49">
        <f>Plantilla!X24</f>
        <v>0</v>
      </c>
      <c r="F24" s="49">
        <f>Plantilla!Y24</f>
        <v>3.95</v>
      </c>
      <c r="G24" s="49">
        <f>Plantilla!Z24</f>
        <v>5.95</v>
      </c>
      <c r="H24" s="49">
        <f>Plantilla!AA24</f>
        <v>4.95</v>
      </c>
      <c r="I24" s="49">
        <f>Plantilla!AB24</f>
        <v>9.9499999999999993</v>
      </c>
      <c r="J24" s="49">
        <f>Plantilla!AC24</f>
        <v>5.95</v>
      </c>
      <c r="K24" s="49">
        <f>Plantilla!AD24</f>
        <v>15</v>
      </c>
      <c r="N24" s="97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117">
        <f t="shared" si="0"/>
        <v>0</v>
      </c>
    </row>
  </sheetData>
  <conditionalFormatting sqref="E4:K24">
    <cfRule type="colorScale" priority="1">
      <colorScale>
        <cfvo type="min"/>
        <cfvo type="max"/>
        <color rgb="FFFCFCFF"/>
        <color rgb="FFF8696B"/>
      </colorScale>
    </cfRule>
  </conditionalFormatting>
  <conditionalFormatting sqref="L4:X23 N24:X24">
    <cfRule type="colorScale" priority="2">
      <colorScale>
        <cfvo type="min"/>
        <cfvo type="max"/>
        <color rgb="FFFFEF9C"/>
        <color rgb="FF63BE7B"/>
      </colorScale>
    </cfRule>
  </conditionalFormatting>
  <conditionalFormatting sqref="Y4:Y2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{775E8293-27D4-05AD-1C26-4977B4FAF230}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5E8293-27D4-05AD-1C26-4977B4FAF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DA9694"/>
  </sheetPr>
  <dimension ref="A1:AF24"/>
  <sheetViews>
    <sheetView workbookViewId="0">
      <selection activeCell="E5" sqref="E5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9" width="6" customWidth="1"/>
    <col min="10" max="10" width="5.5703125" customWidth="1"/>
    <col min="11" max="11" width="6" customWidth="1"/>
    <col min="12" max="13" width="6.5703125" style="58" customWidth="1"/>
    <col min="14" max="14" width="8.28515625" style="58" customWidth="1"/>
    <col min="15" max="15" width="4.5703125" style="58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4.7109375" customWidth="1"/>
    <col min="25" max="25" width="11.85546875" customWidth="1"/>
    <col min="28" max="28" width="6" customWidth="1"/>
    <col min="29" max="29" width="13.7109375" customWidth="1"/>
    <col min="31" max="31" width="5.7109375" customWidth="1"/>
    <col min="32" max="32" width="13.7109375" customWidth="1"/>
  </cols>
  <sheetData>
    <row r="1" spans="1:32" x14ac:dyDescent="0.25">
      <c r="B1" t="s">
        <v>635</v>
      </c>
      <c r="AB1" t="s">
        <v>636</v>
      </c>
      <c r="AE1" t="s">
        <v>637</v>
      </c>
    </row>
    <row r="2" spans="1:32" x14ac:dyDescent="0.25">
      <c r="B2" s="74">
        <v>44035</v>
      </c>
      <c r="Y2" s="206"/>
      <c r="AB2" s="149" t="s">
        <v>85</v>
      </c>
      <c r="AC2" s="149" t="s">
        <v>87</v>
      </c>
      <c r="AE2" s="149" t="s">
        <v>85</v>
      </c>
      <c r="AF2" s="149" t="s">
        <v>87</v>
      </c>
    </row>
    <row r="3" spans="1:32" x14ac:dyDescent="0.25">
      <c r="A3" s="81" t="s">
        <v>638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1">
        <v>1</v>
      </c>
      <c r="M3" s="201">
        <v>0.5</v>
      </c>
      <c r="N3" s="81" t="s">
        <v>646</v>
      </c>
      <c r="O3" s="203" t="s">
        <v>14</v>
      </c>
      <c r="P3" s="203" t="s">
        <v>630</v>
      </c>
      <c r="Q3" s="202" t="s">
        <v>640</v>
      </c>
      <c r="R3" s="202" t="s">
        <v>641</v>
      </c>
      <c r="S3" s="202" t="s">
        <v>642</v>
      </c>
      <c r="T3" s="202" t="s">
        <v>135</v>
      </c>
      <c r="U3" s="202" t="s">
        <v>473</v>
      </c>
      <c r="V3" s="202" t="s">
        <v>643</v>
      </c>
      <c r="W3" s="203" t="s">
        <v>140</v>
      </c>
      <c r="X3" s="205" t="s">
        <v>21</v>
      </c>
      <c r="Y3" s="204" t="s">
        <v>644</v>
      </c>
      <c r="AB3" t="s">
        <v>14</v>
      </c>
      <c r="AC3" t="s">
        <v>144</v>
      </c>
      <c r="AE3" t="s">
        <v>14</v>
      </c>
      <c r="AF3" t="s">
        <v>144</v>
      </c>
    </row>
    <row r="4" spans="1:32" x14ac:dyDescent="0.25">
      <c r="A4" s="5" t="str">
        <f>Plantilla!A4</f>
        <v>#30</v>
      </c>
      <c r="B4" s="51" t="str">
        <f>Plantilla!D4</f>
        <v>D. Gehmacher</v>
      </c>
      <c r="C4" s="5">
        <f>Plantilla!E4</f>
        <v>38</v>
      </c>
      <c r="D4" s="465">
        <f ca="1">Plantilla!F4</f>
        <v>65</v>
      </c>
      <c r="E4" s="49">
        <f>Plantilla!X4</f>
        <v>14.95</v>
      </c>
      <c r="F4" s="49">
        <f>Plantilla!Y4</f>
        <v>8.9499999999999993</v>
      </c>
      <c r="G4" s="49">
        <f>Plantilla!Z4</f>
        <v>0.95</v>
      </c>
      <c r="H4" s="49">
        <f>Plantilla!AA4</f>
        <v>0</v>
      </c>
      <c r="I4" s="49">
        <f>Plantilla!AB4</f>
        <v>0</v>
      </c>
      <c r="J4" s="49">
        <f>Plantilla!AC4</f>
        <v>0</v>
      </c>
      <c r="K4" s="49">
        <f>Plantilla!AD4</f>
        <v>17.95</v>
      </c>
      <c r="L4" s="97"/>
      <c r="M4" s="97"/>
      <c r="N4" s="97"/>
      <c r="O4" s="48"/>
      <c r="P4" s="48"/>
      <c r="Q4" s="48"/>
      <c r="R4" s="48"/>
      <c r="S4" s="48"/>
      <c r="T4" s="48"/>
      <c r="U4" s="48"/>
      <c r="V4" s="48"/>
      <c r="W4" s="48"/>
      <c r="X4" s="48"/>
      <c r="Y4" s="117">
        <f t="shared" ref="Y4:Y24" si="0">MAX(O4:X4)</f>
        <v>0</v>
      </c>
      <c r="AB4" t="s">
        <v>629</v>
      </c>
      <c r="AC4" t="s">
        <v>645</v>
      </c>
      <c r="AE4" t="s">
        <v>629</v>
      </c>
      <c r="AF4" t="str">
        <f>AC4</f>
        <v>B. Pinczehelyi</v>
      </c>
    </row>
    <row r="5" spans="1:32" x14ac:dyDescent="0.25">
      <c r="A5" s="5" t="str">
        <f>Plantilla!A5</f>
        <v>#1</v>
      </c>
      <c r="B5" s="51" t="str">
        <f>Plantilla!D5</f>
        <v>林 (Lin) 光维 (Guangwei)</v>
      </c>
      <c r="C5" s="5">
        <f>Plantilla!E5</f>
        <v>22</v>
      </c>
      <c r="D5" s="465">
        <f ca="1">Plantilla!F5</f>
        <v>104</v>
      </c>
      <c r="E5" s="49">
        <f>Plantilla!X5</f>
        <v>15</v>
      </c>
      <c r="F5" s="49">
        <f>Plantilla!Y5</f>
        <v>5</v>
      </c>
      <c r="G5" s="49">
        <f>Plantilla!Z5</f>
        <v>2</v>
      </c>
      <c r="H5" s="49">
        <f>Plantilla!AA5</f>
        <v>1</v>
      </c>
      <c r="I5" s="49">
        <f>Plantilla!AB5</f>
        <v>5</v>
      </c>
      <c r="J5" s="49">
        <f>Plantilla!AC5</f>
        <v>3</v>
      </c>
      <c r="K5" s="49">
        <f>Plantilla!AD5</f>
        <v>19.25</v>
      </c>
      <c r="L5" s="97"/>
      <c r="M5" s="97"/>
      <c r="N5" s="97"/>
      <c r="O5" s="48"/>
      <c r="P5" s="48"/>
      <c r="Q5" s="48"/>
      <c r="R5" s="48"/>
      <c r="S5" s="48"/>
      <c r="T5" s="48"/>
      <c r="U5" s="48"/>
      <c r="V5" s="48"/>
      <c r="W5" s="48"/>
      <c r="X5" s="48"/>
      <c r="Y5" s="117">
        <f t="shared" si="0"/>
        <v>0</v>
      </c>
      <c r="AB5" t="s">
        <v>630</v>
      </c>
      <c r="AC5" t="s">
        <v>225</v>
      </c>
      <c r="AE5" t="s">
        <v>634</v>
      </c>
      <c r="AF5" t="s">
        <v>218</v>
      </c>
    </row>
    <row r="6" spans="1:32" x14ac:dyDescent="0.25">
      <c r="A6" s="5" t="str">
        <f>Plantilla!A10</f>
        <v>#2</v>
      </c>
      <c r="B6" s="51" t="str">
        <f>Plantilla!D10</f>
        <v>S. Swärdborn</v>
      </c>
      <c r="C6" s="5">
        <f>Plantilla!E10</f>
        <v>22</v>
      </c>
      <c r="D6" s="465">
        <f ca="1">Plantilla!F10</f>
        <v>21</v>
      </c>
      <c r="E6" s="49">
        <f>Plantilla!X10</f>
        <v>0</v>
      </c>
      <c r="F6" s="49">
        <f>Plantilla!Y10</f>
        <v>12</v>
      </c>
      <c r="G6" s="49">
        <f>Plantilla!Z10</f>
        <v>7</v>
      </c>
      <c r="H6" s="49">
        <f>Plantilla!AA10</f>
        <v>1</v>
      </c>
      <c r="I6" s="49">
        <f>Plantilla!AB10</f>
        <v>3</v>
      </c>
      <c r="J6" s="49">
        <f>Plantilla!AC10</f>
        <v>6</v>
      </c>
      <c r="K6" s="49">
        <f>Plantilla!AD10</f>
        <v>15.333333333333334</v>
      </c>
      <c r="L6" s="97">
        <f>1/5</f>
        <v>0.2</v>
      </c>
      <c r="M6" s="97">
        <f>L6*0.5</f>
        <v>0.1</v>
      </c>
      <c r="N6" s="97">
        <f>L6*0.125</f>
        <v>2.5000000000000001E-2</v>
      </c>
      <c r="O6" s="48"/>
      <c r="P6" s="48">
        <f>L6*0.236</f>
        <v>4.7199999999999999E-2</v>
      </c>
      <c r="Q6" s="48">
        <f>L6*0.363</f>
        <v>7.2599999999999998E-2</v>
      </c>
      <c r="R6" s="48">
        <f>L6*0.165</f>
        <v>3.3000000000000002E-2</v>
      </c>
      <c r="S6" s="48">
        <f>L6*0.167</f>
        <v>3.3400000000000006E-2</v>
      </c>
      <c r="T6" s="48"/>
      <c r="U6" s="48"/>
      <c r="V6" s="48"/>
      <c r="W6" s="48"/>
      <c r="X6" s="48"/>
      <c r="Y6" s="117">
        <f t="shared" si="0"/>
        <v>7.2599999999999998E-2</v>
      </c>
      <c r="AB6" t="s">
        <v>629</v>
      </c>
      <c r="AC6" t="s">
        <v>148</v>
      </c>
      <c r="AE6" t="s">
        <v>132</v>
      </c>
      <c r="AF6" t="s">
        <v>148</v>
      </c>
    </row>
    <row r="7" spans="1:32" x14ac:dyDescent="0.25">
      <c r="A7" s="5" t="str">
        <f>Plantilla!A7</f>
        <v>#36</v>
      </c>
      <c r="B7" s="51" t="str">
        <f>Plantilla!D7</f>
        <v>F. Lasprilla</v>
      </c>
      <c r="C7" s="5">
        <f>Plantilla!E7</f>
        <v>35</v>
      </c>
      <c r="D7" s="465">
        <f ca="1">Plantilla!F7</f>
        <v>84</v>
      </c>
      <c r="E7" s="49">
        <f>Plantilla!X7</f>
        <v>0</v>
      </c>
      <c r="F7" s="49">
        <f>Plantilla!Y7</f>
        <v>8.9499999999999975</v>
      </c>
      <c r="G7" s="49">
        <f>Plantilla!Z7</f>
        <v>7.95</v>
      </c>
      <c r="H7" s="49">
        <f>Plantilla!AA7</f>
        <v>4.95</v>
      </c>
      <c r="I7" s="49">
        <f>Plantilla!AB7</f>
        <v>7.95</v>
      </c>
      <c r="J7" s="49">
        <f>Plantilla!AC7</f>
        <v>0.95</v>
      </c>
      <c r="K7" s="49">
        <f>Plantilla!AD7</f>
        <v>14</v>
      </c>
      <c r="L7"/>
      <c r="M7" s="97"/>
      <c r="N7" s="97"/>
      <c r="O7" s="48"/>
      <c r="P7" s="48"/>
      <c r="Q7" s="48"/>
      <c r="R7" s="48"/>
      <c r="S7" s="48"/>
      <c r="T7" s="48"/>
      <c r="U7" s="48"/>
      <c r="V7" s="48"/>
      <c r="W7" s="48"/>
      <c r="X7" s="48"/>
      <c r="Y7" s="117">
        <f t="shared" si="0"/>
        <v>0</v>
      </c>
      <c r="AB7" t="s">
        <v>473</v>
      </c>
      <c r="AC7" t="s">
        <v>155</v>
      </c>
      <c r="AE7" t="s">
        <v>634</v>
      </c>
      <c r="AF7" t="s">
        <v>214</v>
      </c>
    </row>
    <row r="8" spans="1:32" x14ac:dyDescent="0.25">
      <c r="A8" s="5" t="str">
        <f>Plantilla!A8</f>
        <v>#31</v>
      </c>
      <c r="B8" s="51" t="str">
        <f>Plantilla!D8</f>
        <v>E. Romweber</v>
      </c>
      <c r="C8" s="5">
        <f>Plantilla!E8</f>
        <v>39</v>
      </c>
      <c r="D8" s="465">
        <f ca="1">Plantilla!F8</f>
        <v>38</v>
      </c>
      <c r="E8" s="49">
        <f>Plantilla!X8</f>
        <v>0</v>
      </c>
      <c r="F8" s="49">
        <f>Plantilla!Y8</f>
        <v>8.9499999999999975</v>
      </c>
      <c r="G8" s="49">
        <f>Plantilla!Z8</f>
        <v>8.9499999999999975</v>
      </c>
      <c r="H8" s="49">
        <f>Plantilla!AA8</f>
        <v>8.9499999999999975</v>
      </c>
      <c r="I8" s="49">
        <f>Plantilla!AB8</f>
        <v>6.95</v>
      </c>
      <c r="J8" s="49">
        <f>Plantilla!AC8</f>
        <v>0.95</v>
      </c>
      <c r="K8" s="49">
        <f>Plantilla!AD8</f>
        <v>16</v>
      </c>
      <c r="L8" s="97"/>
      <c r="M8" s="97"/>
      <c r="N8" s="97"/>
      <c r="O8" s="48"/>
      <c r="P8" s="48"/>
      <c r="Q8" s="48"/>
      <c r="R8" s="48"/>
      <c r="S8" s="48"/>
      <c r="T8" s="48"/>
      <c r="U8" s="48"/>
      <c r="V8" s="48"/>
      <c r="W8" s="48"/>
      <c r="X8" s="48"/>
      <c r="Y8" s="117">
        <f t="shared" si="0"/>
        <v>0</v>
      </c>
      <c r="AB8" t="s">
        <v>135</v>
      </c>
      <c r="AC8" t="s">
        <v>237</v>
      </c>
      <c r="AE8" t="s">
        <v>629</v>
      </c>
      <c r="AF8" t="s">
        <v>153</v>
      </c>
    </row>
    <row r="9" spans="1:32" x14ac:dyDescent="0.25">
      <c r="A9" s="5" t="str">
        <f>Plantilla!A21</f>
        <v>#35</v>
      </c>
      <c r="B9" s="51" t="str">
        <f>Plantilla!D21</f>
        <v>S. Buschelman</v>
      </c>
      <c r="C9" s="5">
        <f>Plantilla!E21</f>
        <v>37</v>
      </c>
      <c r="D9" s="465">
        <f ca="1">Plantilla!F21</f>
        <v>109</v>
      </c>
      <c r="E9" s="49">
        <f>Plantilla!X21</f>
        <v>0</v>
      </c>
      <c r="F9" s="49">
        <f>Plantilla!Y21</f>
        <v>7.95</v>
      </c>
      <c r="G9" s="49">
        <f>Plantilla!Z21</f>
        <v>11.95</v>
      </c>
      <c r="H9" s="49">
        <f>Plantilla!AA21</f>
        <v>9.9499999999999993</v>
      </c>
      <c r="I9" s="49">
        <f>Plantilla!AB21</f>
        <v>6.95</v>
      </c>
      <c r="J9" s="49">
        <f>Plantilla!AC21</f>
        <v>0.95</v>
      </c>
      <c r="K9" s="49">
        <f>Plantilla!AD21</f>
        <v>16</v>
      </c>
      <c r="L9" s="97"/>
      <c r="M9" s="97"/>
      <c r="N9" s="97"/>
      <c r="O9" s="48"/>
      <c r="P9" s="48"/>
      <c r="Q9" s="48"/>
      <c r="R9" s="48"/>
      <c r="S9" s="48"/>
      <c r="T9" s="48"/>
      <c r="U9" s="48"/>
      <c r="V9" s="48"/>
      <c r="W9" s="48"/>
      <c r="X9" s="48"/>
      <c r="Y9" s="117">
        <f t="shared" si="0"/>
        <v>0</v>
      </c>
      <c r="AB9" t="s">
        <v>473</v>
      </c>
      <c r="AC9" t="s">
        <v>231</v>
      </c>
      <c r="AE9" t="s">
        <v>473</v>
      </c>
      <c r="AF9" t="s">
        <v>231</v>
      </c>
    </row>
    <row r="10" spans="1:32" x14ac:dyDescent="0.25">
      <c r="A10" s="5" t="str">
        <f>Plantilla!A11</f>
        <v>#19</v>
      </c>
      <c r="B10" s="51" t="str">
        <f>Plantilla!D11</f>
        <v>A. Grimaud</v>
      </c>
      <c r="C10" s="5">
        <f>Plantilla!E11</f>
        <v>22</v>
      </c>
      <c r="D10" s="465">
        <f ca="1">Plantilla!F11</f>
        <v>44</v>
      </c>
      <c r="E10" s="49">
        <f>Plantilla!X11</f>
        <v>0</v>
      </c>
      <c r="F10" s="49">
        <f>Plantilla!Y11</f>
        <v>12</v>
      </c>
      <c r="G10" s="49">
        <f>Plantilla!Z11</f>
        <v>7</v>
      </c>
      <c r="H10" s="49">
        <f>Plantilla!AA11</f>
        <v>3</v>
      </c>
      <c r="I10" s="49">
        <f>Plantilla!AB11</f>
        <v>3</v>
      </c>
      <c r="J10" s="49">
        <f>Plantilla!AC11</f>
        <v>5</v>
      </c>
      <c r="K10" s="49">
        <f>Plantilla!AD11</f>
        <v>14.333333333333334</v>
      </c>
      <c r="L10" s="97">
        <f>1/5</f>
        <v>0.2</v>
      </c>
      <c r="M10" s="97">
        <f>L10*0.5</f>
        <v>0.1</v>
      </c>
      <c r="N10" s="97">
        <f>L10*0.125</f>
        <v>2.5000000000000001E-2</v>
      </c>
      <c r="O10" s="48"/>
      <c r="P10" s="48">
        <f>L10*0.236</f>
        <v>4.7199999999999999E-2</v>
      </c>
      <c r="Q10" s="48">
        <f>L10*0.363</f>
        <v>7.2599999999999998E-2</v>
      </c>
      <c r="R10" s="48">
        <f>L10*0.165</f>
        <v>3.3000000000000002E-2</v>
      </c>
      <c r="S10" s="48">
        <f>L10*0.167</f>
        <v>3.3400000000000006E-2</v>
      </c>
      <c r="T10" s="48"/>
      <c r="U10" s="48"/>
      <c r="V10" s="48"/>
      <c r="W10" s="48"/>
      <c r="X10" s="48"/>
      <c r="Y10" s="117">
        <f t="shared" si="0"/>
        <v>7.2599999999999998E-2</v>
      </c>
      <c r="AB10" t="s">
        <v>476</v>
      </c>
      <c r="AC10" t="s">
        <v>153</v>
      </c>
      <c r="AE10" t="s">
        <v>473</v>
      </c>
      <c r="AF10" t="s">
        <v>155</v>
      </c>
    </row>
    <row r="11" spans="1:32" x14ac:dyDescent="0.25">
      <c r="A11" s="5" t="str">
        <f>Plantilla!A12</f>
        <v>#22</v>
      </c>
      <c r="B11" s="51" t="str">
        <f>Plantilla!D12</f>
        <v>V. Gardner</v>
      </c>
      <c r="C11" s="5">
        <f>Plantilla!E12</f>
        <v>22</v>
      </c>
      <c r="D11" s="465">
        <f ca="1">Plantilla!F12</f>
        <v>33</v>
      </c>
      <c r="E11" s="49">
        <f>Plantilla!X12</f>
        <v>0</v>
      </c>
      <c r="F11" s="49">
        <f>Plantilla!Y12</f>
        <v>12</v>
      </c>
      <c r="G11" s="49">
        <f>Plantilla!Z12</f>
        <v>5</v>
      </c>
      <c r="H11" s="49">
        <f>Plantilla!AA12</f>
        <v>3</v>
      </c>
      <c r="I11" s="49">
        <f>Plantilla!AB12</f>
        <v>5</v>
      </c>
      <c r="J11" s="49">
        <f>Plantilla!AC12</f>
        <v>6</v>
      </c>
      <c r="K11" s="49">
        <f>Plantilla!AD12</f>
        <v>16</v>
      </c>
      <c r="L11" s="97">
        <f>1/4</f>
        <v>0.25</v>
      </c>
      <c r="M11" s="97">
        <f>L11*0.5</f>
        <v>0.125</v>
      </c>
      <c r="N11" s="97">
        <f>L11*0.125</f>
        <v>3.125E-2</v>
      </c>
      <c r="O11" s="48"/>
      <c r="P11" s="48">
        <f>L11*0.236</f>
        <v>5.8999999999999997E-2</v>
      </c>
      <c r="Q11" s="48">
        <f>L11*0.363</f>
        <v>9.0749999999999997E-2</v>
      </c>
      <c r="R11" s="48">
        <f>L11*0.165</f>
        <v>4.1250000000000002E-2</v>
      </c>
      <c r="S11" s="48">
        <f>L11*0.167</f>
        <v>4.1750000000000002E-2</v>
      </c>
      <c r="T11" s="48"/>
      <c r="U11" s="48"/>
      <c r="V11" s="48"/>
      <c r="W11" s="48"/>
      <c r="X11" s="48"/>
      <c r="Y11" s="117">
        <f t="shared" si="0"/>
        <v>9.0749999999999997E-2</v>
      </c>
      <c r="AB11" t="s">
        <v>476</v>
      </c>
      <c r="AC11" t="s">
        <v>238</v>
      </c>
      <c r="AE11" t="s">
        <v>476</v>
      </c>
      <c r="AF11" t="s">
        <v>238</v>
      </c>
    </row>
    <row r="12" spans="1:32" x14ac:dyDescent="0.25">
      <c r="A12" s="5" t="str">
        <f>Plantilla!A9</f>
        <v>#2</v>
      </c>
      <c r="B12" s="51" t="str">
        <f>Plantilla!D9</f>
        <v>L. Tutorić</v>
      </c>
      <c r="C12" s="5">
        <f>Plantilla!E9</f>
        <v>29</v>
      </c>
      <c r="D12" s="465">
        <f ca="1">Plantilla!F9</f>
        <v>19</v>
      </c>
      <c r="E12" s="49">
        <f>Plantilla!X9</f>
        <v>0</v>
      </c>
      <c r="F12" s="49">
        <f>Plantilla!Y9</f>
        <v>13</v>
      </c>
      <c r="G12" s="49">
        <f>Plantilla!Z9</f>
        <v>6</v>
      </c>
      <c r="H12" s="49">
        <f>Plantilla!AA9</f>
        <v>2</v>
      </c>
      <c r="I12" s="49">
        <f>Plantilla!AB9</f>
        <v>1</v>
      </c>
      <c r="J12" s="49">
        <f>Plantilla!AC9</f>
        <v>7</v>
      </c>
      <c r="K12" s="49">
        <f>Plantilla!AD9</f>
        <v>15.333333333333334</v>
      </c>
      <c r="L12" s="97"/>
      <c r="M12" s="97"/>
      <c r="N12" s="97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117">
        <f t="shared" si="0"/>
        <v>0</v>
      </c>
      <c r="AB12" t="s">
        <v>21</v>
      </c>
      <c r="AC12" t="s">
        <v>234</v>
      </c>
      <c r="AE12" t="s">
        <v>476</v>
      </c>
      <c r="AF12" t="s">
        <v>186</v>
      </c>
    </row>
    <row r="13" spans="1:32" x14ac:dyDescent="0.25">
      <c r="A13" s="5" t="str">
        <f>Plantilla!A15</f>
        <v>#16</v>
      </c>
      <c r="B13" s="51" t="str">
        <f>Plantilla!D15</f>
        <v>I. Vanags</v>
      </c>
      <c r="C13" s="5">
        <f>Plantilla!E15</f>
        <v>22</v>
      </c>
      <c r="D13" s="465">
        <f ca="1">Plantilla!F15</f>
        <v>20</v>
      </c>
      <c r="E13" s="49">
        <f>Plantilla!X15</f>
        <v>0</v>
      </c>
      <c r="F13" s="49">
        <f>Plantilla!Y15</f>
        <v>4</v>
      </c>
      <c r="G13" s="49">
        <f>Plantilla!Z15</f>
        <v>13</v>
      </c>
      <c r="H13" s="49">
        <f>Plantilla!AA15</f>
        <v>3</v>
      </c>
      <c r="I13" s="49">
        <f>Plantilla!AB15</f>
        <v>4</v>
      </c>
      <c r="J13" s="49">
        <f>Plantilla!AC15</f>
        <v>7</v>
      </c>
      <c r="K13" s="49">
        <f>Plantilla!AD15</f>
        <v>16.333333333333332</v>
      </c>
      <c r="L13" s="97">
        <f>1/10</f>
        <v>0.1</v>
      </c>
      <c r="M13" s="97">
        <f t="shared" ref="M13:M20" si="1">L13*0.5</f>
        <v>0.05</v>
      </c>
      <c r="N13" s="97">
        <f t="shared" ref="N13:N20" si="2">L13*0.125</f>
        <v>1.2500000000000001E-2</v>
      </c>
      <c r="O13" s="48"/>
      <c r="P13" s="48"/>
      <c r="Q13" s="48"/>
      <c r="R13" s="48"/>
      <c r="S13" s="48"/>
      <c r="T13" s="48">
        <f t="shared" ref="T13:T18" si="3">L13*1</f>
        <v>0.1</v>
      </c>
      <c r="U13" s="48">
        <f t="shared" ref="U13:U18" si="4">L13*0.881</f>
        <v>8.8100000000000012E-2</v>
      </c>
      <c r="V13" s="48">
        <f t="shared" ref="V13:V18" si="5">L13*0.455</f>
        <v>4.5500000000000006E-2</v>
      </c>
      <c r="W13" s="48"/>
      <c r="X13" s="48"/>
      <c r="Y13" s="117">
        <f t="shared" si="0"/>
        <v>0.1</v>
      </c>
      <c r="AB13" t="s">
        <v>21</v>
      </c>
      <c r="AC13" t="s">
        <v>186</v>
      </c>
      <c r="AE13" t="s">
        <v>21</v>
      </c>
      <c r="AF13" t="s">
        <v>234</v>
      </c>
    </row>
    <row r="14" spans="1:32" x14ac:dyDescent="0.25">
      <c r="A14" s="5" t="str">
        <f>Plantilla!A16</f>
        <v>#8</v>
      </c>
      <c r="B14" s="51" t="str">
        <f>Plantilla!D16</f>
        <v>I. Stone</v>
      </c>
      <c r="C14" s="5">
        <f>Plantilla!E16</f>
        <v>21</v>
      </c>
      <c r="D14" s="465">
        <f ca="1">Plantilla!F16</f>
        <v>75</v>
      </c>
      <c r="E14" s="49">
        <f>Plantilla!X16</f>
        <v>0</v>
      </c>
      <c r="F14" s="49">
        <f>Plantilla!Y16</f>
        <v>3</v>
      </c>
      <c r="G14" s="49">
        <f>Plantilla!Z16</f>
        <v>12</v>
      </c>
      <c r="H14" s="49">
        <f>Plantilla!AA16</f>
        <v>2</v>
      </c>
      <c r="I14" s="49">
        <f>Plantilla!AB16</f>
        <v>6</v>
      </c>
      <c r="J14" s="49">
        <f>Plantilla!AC16</f>
        <v>9</v>
      </c>
      <c r="K14" s="49">
        <f>Plantilla!AD16</f>
        <v>15.333333333333334</v>
      </c>
      <c r="L14" s="97">
        <f>1/10</f>
        <v>0.1</v>
      </c>
      <c r="M14" s="97">
        <f t="shared" si="1"/>
        <v>0.05</v>
      </c>
      <c r="N14" s="97">
        <f t="shared" si="2"/>
        <v>1.2500000000000001E-2</v>
      </c>
      <c r="O14" s="48"/>
      <c r="P14" s="48"/>
      <c r="Q14" s="48"/>
      <c r="R14" s="48"/>
      <c r="S14" s="48"/>
      <c r="T14" s="48">
        <f t="shared" si="3"/>
        <v>0.1</v>
      </c>
      <c r="U14" s="48">
        <f t="shared" si="4"/>
        <v>8.8100000000000012E-2</v>
      </c>
      <c r="V14" s="48">
        <f t="shared" si="5"/>
        <v>4.5500000000000006E-2</v>
      </c>
      <c r="W14" s="48"/>
      <c r="X14" s="48"/>
      <c r="Y14" s="117">
        <f t="shared" si="0"/>
        <v>0.1</v>
      </c>
    </row>
    <row r="15" spans="1:32" x14ac:dyDescent="0.25">
      <c r="A15" s="5" t="str">
        <f>Plantilla!A17</f>
        <v>#14</v>
      </c>
      <c r="B15" s="51" t="str">
        <f>Plantilla!D17</f>
        <v>G. Piscaer</v>
      </c>
      <c r="C15" s="5">
        <f>Plantilla!E17</f>
        <v>22</v>
      </c>
      <c r="D15" s="465">
        <f ca="1">Plantilla!F17</f>
        <v>36</v>
      </c>
      <c r="E15" s="49">
        <f>Plantilla!X17</f>
        <v>0</v>
      </c>
      <c r="F15" s="49">
        <f>Plantilla!Y17</f>
        <v>4</v>
      </c>
      <c r="G15" s="49">
        <f>Plantilla!Z17</f>
        <v>13</v>
      </c>
      <c r="H15" s="49">
        <f>Plantilla!AA17</f>
        <v>3</v>
      </c>
      <c r="I15" s="49">
        <f>Plantilla!AB17</f>
        <v>2</v>
      </c>
      <c r="J15" s="49">
        <f>Plantilla!AC17</f>
        <v>8</v>
      </c>
      <c r="K15" s="49">
        <f>Plantilla!AD17</f>
        <v>14.333333333333334</v>
      </c>
      <c r="L15" s="97">
        <f>1/11</f>
        <v>9.0909090909090912E-2</v>
      </c>
      <c r="M15" s="97">
        <f t="shared" si="1"/>
        <v>4.5454545454545456E-2</v>
      </c>
      <c r="N15" s="97">
        <f t="shared" si="2"/>
        <v>1.1363636363636364E-2</v>
      </c>
      <c r="O15" s="48"/>
      <c r="P15" s="48"/>
      <c r="Q15" s="48"/>
      <c r="R15" s="48"/>
      <c r="S15" s="48"/>
      <c r="T15" s="48">
        <f t="shared" si="3"/>
        <v>9.0909090909090912E-2</v>
      </c>
      <c r="U15" s="48">
        <f t="shared" si="4"/>
        <v>8.0090909090909088E-2</v>
      </c>
      <c r="V15" s="48">
        <f t="shared" si="5"/>
        <v>4.1363636363636366E-2</v>
      </c>
      <c r="W15" s="48"/>
      <c r="X15" s="48"/>
      <c r="Y15" s="117">
        <f t="shared" si="0"/>
        <v>9.0909090909090912E-2</v>
      </c>
    </row>
    <row r="16" spans="1:32" x14ac:dyDescent="0.25">
      <c r="A16" s="5" t="str">
        <f>Plantilla!A18</f>
        <v>#9</v>
      </c>
      <c r="B16" s="51" t="str">
        <f>Plantilla!D18</f>
        <v>M. Bondarewski</v>
      </c>
      <c r="C16" s="5">
        <f>Plantilla!E18</f>
        <v>22</v>
      </c>
      <c r="D16" s="465">
        <f ca="1">Plantilla!F18</f>
        <v>36</v>
      </c>
      <c r="E16" s="49">
        <f>Plantilla!X18</f>
        <v>0</v>
      </c>
      <c r="F16" s="49">
        <f>Plantilla!Y18</f>
        <v>2</v>
      </c>
      <c r="G16" s="49">
        <f>Plantilla!Z18</f>
        <v>13</v>
      </c>
      <c r="H16" s="49">
        <f>Plantilla!AA18</f>
        <v>5</v>
      </c>
      <c r="I16" s="49">
        <f>Plantilla!AB18</f>
        <v>4</v>
      </c>
      <c r="J16" s="49">
        <f>Plantilla!AC18</f>
        <v>8</v>
      </c>
      <c r="K16" s="49">
        <f>Plantilla!AD18</f>
        <v>17</v>
      </c>
      <c r="L16" s="97">
        <f>1/11</f>
        <v>9.0909090909090912E-2</v>
      </c>
      <c r="M16" s="97">
        <f t="shared" si="1"/>
        <v>4.5454545454545456E-2</v>
      </c>
      <c r="N16" s="97">
        <f t="shared" si="2"/>
        <v>1.1363636363636364E-2</v>
      </c>
      <c r="O16" s="48"/>
      <c r="P16" s="48"/>
      <c r="Q16" s="48"/>
      <c r="R16" s="48"/>
      <c r="S16" s="48"/>
      <c r="T16" s="48">
        <f t="shared" si="3"/>
        <v>9.0909090909090912E-2</v>
      </c>
      <c r="U16" s="48">
        <f t="shared" si="4"/>
        <v>8.0090909090909088E-2</v>
      </c>
      <c r="V16" s="48">
        <f t="shared" si="5"/>
        <v>4.1363636363636366E-2</v>
      </c>
      <c r="W16" s="48"/>
      <c r="X16" s="48"/>
      <c r="Y16" s="117">
        <f t="shared" si="0"/>
        <v>9.0909090909090912E-2</v>
      </c>
    </row>
    <row r="17" spans="1:25" x14ac:dyDescent="0.25">
      <c r="A17" s="5" t="str">
        <f>Plantilla!A19</f>
        <v>#12</v>
      </c>
      <c r="B17" s="51" t="str">
        <f>Plantilla!D19</f>
        <v>P. Tuderek</v>
      </c>
      <c r="C17" s="5">
        <f>Plantilla!E19</f>
        <v>22</v>
      </c>
      <c r="D17" s="465">
        <f ca="1">Plantilla!F19</f>
        <v>22</v>
      </c>
      <c r="E17" s="49">
        <f>Plantilla!X19</f>
        <v>0</v>
      </c>
      <c r="F17" s="49">
        <f>Plantilla!Y19</f>
        <v>6</v>
      </c>
      <c r="G17" s="49">
        <f>Plantilla!Z19</f>
        <v>12</v>
      </c>
      <c r="H17" s="49">
        <f>Plantilla!AA19</f>
        <v>2</v>
      </c>
      <c r="I17" s="49">
        <f>Plantilla!AB19</f>
        <v>3</v>
      </c>
      <c r="J17" s="49">
        <f>Plantilla!AC19</f>
        <v>6</v>
      </c>
      <c r="K17" s="49">
        <f>Plantilla!AD19</f>
        <v>17.25</v>
      </c>
      <c r="L17" s="97">
        <f>1/10</f>
        <v>0.1</v>
      </c>
      <c r="M17" s="97">
        <f t="shared" si="1"/>
        <v>0.05</v>
      </c>
      <c r="N17" s="97">
        <f t="shared" si="2"/>
        <v>1.2500000000000001E-2</v>
      </c>
      <c r="O17" s="48"/>
      <c r="P17" s="48"/>
      <c r="Q17" s="48"/>
      <c r="R17" s="48"/>
      <c r="S17" s="48"/>
      <c r="T17" s="48">
        <f t="shared" si="3"/>
        <v>0.1</v>
      </c>
      <c r="U17" s="48">
        <f t="shared" si="4"/>
        <v>8.8100000000000012E-2</v>
      </c>
      <c r="V17" s="48">
        <f t="shared" si="5"/>
        <v>4.5500000000000006E-2</v>
      </c>
      <c r="W17" s="48"/>
      <c r="X17" s="48"/>
      <c r="Y17" s="117">
        <f t="shared" si="0"/>
        <v>0.1</v>
      </c>
    </row>
    <row r="18" spans="1:25" x14ac:dyDescent="0.25">
      <c r="A18" s="5" t="str">
        <f>Plantilla!A20</f>
        <v>#10</v>
      </c>
      <c r="B18" s="51" t="str">
        <f>Plantilla!D20</f>
        <v>R. Forsyth</v>
      </c>
      <c r="C18" s="5">
        <f>Plantilla!E20</f>
        <v>22</v>
      </c>
      <c r="D18" s="465">
        <f ca="1">Plantilla!F20</f>
        <v>77</v>
      </c>
      <c r="E18" s="49">
        <f>Plantilla!X20</f>
        <v>0</v>
      </c>
      <c r="F18" s="49">
        <f>Plantilla!Y20</f>
        <v>7</v>
      </c>
      <c r="G18" s="49">
        <f>Plantilla!Z20</f>
        <v>13</v>
      </c>
      <c r="H18" s="49">
        <f>Plantilla!AA20</f>
        <v>3</v>
      </c>
      <c r="I18" s="49">
        <f>Plantilla!AB20</f>
        <v>4</v>
      </c>
      <c r="J18" s="49">
        <f>Plantilla!AC20</f>
        <v>6</v>
      </c>
      <c r="K18" s="49">
        <f>Plantilla!AD20</f>
        <v>15</v>
      </c>
      <c r="L18" s="97">
        <f>1/11</f>
        <v>9.0909090909090912E-2</v>
      </c>
      <c r="M18" s="97">
        <f t="shared" si="1"/>
        <v>4.5454545454545456E-2</v>
      </c>
      <c r="N18" s="97">
        <f t="shared" si="2"/>
        <v>1.1363636363636364E-2</v>
      </c>
      <c r="O18" s="48"/>
      <c r="P18" s="48"/>
      <c r="Q18" s="48"/>
      <c r="R18" s="48"/>
      <c r="S18" s="48"/>
      <c r="T18" s="48">
        <f t="shared" si="3"/>
        <v>9.0909090909090912E-2</v>
      </c>
      <c r="U18" s="48">
        <f t="shared" si="4"/>
        <v>8.0090909090909088E-2</v>
      </c>
      <c r="V18" s="48">
        <f t="shared" si="5"/>
        <v>4.1363636363636366E-2</v>
      </c>
      <c r="W18" s="48"/>
      <c r="X18" s="48"/>
      <c r="Y18" s="117">
        <f t="shared" si="0"/>
        <v>9.0909090909090912E-2</v>
      </c>
    </row>
    <row r="19" spans="1:25" x14ac:dyDescent="0.25">
      <c r="A19" s="5" t="str">
        <f>Plantilla!A13</f>
        <v>#3</v>
      </c>
      <c r="B19" s="51" t="str">
        <f>Plantilla!D13</f>
        <v>S. Embe</v>
      </c>
      <c r="C19" s="5">
        <f>Plantilla!E13</f>
        <v>22</v>
      </c>
      <c r="D19" s="465">
        <f ca="1">Plantilla!F13</f>
        <v>89</v>
      </c>
      <c r="E19" s="49">
        <f>Plantilla!X13</f>
        <v>0</v>
      </c>
      <c r="F19" s="49">
        <f>Plantilla!Y13</f>
        <v>11</v>
      </c>
      <c r="G19" s="49">
        <f>Plantilla!Z13</f>
        <v>4</v>
      </c>
      <c r="H19" s="49">
        <f>Plantilla!AA13</f>
        <v>1</v>
      </c>
      <c r="I19" s="49">
        <f>Plantilla!AB13</f>
        <v>5</v>
      </c>
      <c r="J19" s="49">
        <f>Plantilla!AC13</f>
        <v>6</v>
      </c>
      <c r="K19" s="49">
        <f>Plantilla!AD13</f>
        <v>17.333333333333332</v>
      </c>
      <c r="L19" s="97">
        <f>1/4</f>
        <v>0.25</v>
      </c>
      <c r="M19" s="97">
        <f t="shared" si="1"/>
        <v>0.125</v>
      </c>
      <c r="N19" s="97">
        <f t="shared" si="2"/>
        <v>3.125E-2</v>
      </c>
      <c r="O19" s="48"/>
      <c r="P19" s="48">
        <f>L19*0.236</f>
        <v>5.8999999999999997E-2</v>
      </c>
      <c r="Q19" s="48">
        <f>L19*0.363</f>
        <v>9.0749999999999997E-2</v>
      </c>
      <c r="R19" s="48">
        <f>L19*0.165</f>
        <v>4.1250000000000002E-2</v>
      </c>
      <c r="S19" s="48">
        <f>L19*0.167</f>
        <v>4.1750000000000002E-2</v>
      </c>
      <c r="T19" s="48"/>
      <c r="U19" s="48"/>
      <c r="V19" s="48"/>
      <c r="W19" s="48"/>
      <c r="X19" s="48"/>
      <c r="Y19" s="117">
        <f t="shared" si="0"/>
        <v>9.0749999999999997E-2</v>
      </c>
    </row>
    <row r="20" spans="1:25" x14ac:dyDescent="0.25">
      <c r="A20" s="5" t="str">
        <f>Plantilla!A14</f>
        <v>#4</v>
      </c>
      <c r="B20" s="51" t="str">
        <f>Plantilla!D14</f>
        <v>E. Deus</v>
      </c>
      <c r="C20" s="5">
        <f>Plantilla!E14</f>
        <v>21</v>
      </c>
      <c r="D20" s="465">
        <f ca="1">Plantilla!F14</f>
        <v>72</v>
      </c>
      <c r="E20" s="49">
        <f>Plantilla!X14</f>
        <v>0</v>
      </c>
      <c r="F20" s="49">
        <f>Plantilla!Y14</f>
        <v>11</v>
      </c>
      <c r="G20" s="49">
        <f>Plantilla!Z14</f>
        <v>7</v>
      </c>
      <c r="H20" s="49">
        <f>Plantilla!AA14</f>
        <v>1</v>
      </c>
      <c r="I20" s="49">
        <f>Plantilla!AB14</f>
        <v>6</v>
      </c>
      <c r="J20" s="49">
        <f>Plantilla!AC14</f>
        <v>5</v>
      </c>
      <c r="K20" s="49">
        <f>Plantilla!AD14</f>
        <v>15.333333333333334</v>
      </c>
      <c r="L20" s="97">
        <f>1/5</f>
        <v>0.2</v>
      </c>
      <c r="M20" s="97">
        <f t="shared" si="1"/>
        <v>0.1</v>
      </c>
      <c r="N20" s="97">
        <f t="shared" si="2"/>
        <v>2.5000000000000001E-2</v>
      </c>
      <c r="O20" s="48"/>
      <c r="P20" s="48">
        <f>L20*0.236</f>
        <v>4.7199999999999999E-2</v>
      </c>
      <c r="Q20" s="48">
        <f>L20*0.363</f>
        <v>7.2599999999999998E-2</v>
      </c>
      <c r="R20" s="48">
        <f>L20*0.165</f>
        <v>3.3000000000000002E-2</v>
      </c>
      <c r="S20" s="48">
        <f>L20*0.167</f>
        <v>3.3400000000000006E-2</v>
      </c>
      <c r="T20" s="48"/>
      <c r="U20" s="48"/>
      <c r="V20" s="48"/>
      <c r="W20" s="48"/>
      <c r="X20" s="48"/>
      <c r="Y20" s="117">
        <f t="shared" si="0"/>
        <v>7.2599999999999998E-2</v>
      </c>
    </row>
    <row r="21" spans="1:25" x14ac:dyDescent="0.25">
      <c r="A21" s="5" t="str">
        <f>Plantilla!A22</f>
        <v>#11</v>
      </c>
      <c r="B21" s="51" t="str">
        <f>Plantilla!D22</f>
        <v>J-P. Kechele</v>
      </c>
      <c r="C21" s="5">
        <f>Plantilla!E22</f>
        <v>29</v>
      </c>
      <c r="D21" s="465">
        <f ca="1">Plantilla!F22</f>
        <v>110</v>
      </c>
      <c r="E21" s="49">
        <f>Plantilla!X22</f>
        <v>0</v>
      </c>
      <c r="F21" s="49">
        <f>Plantilla!Y22</f>
        <v>4</v>
      </c>
      <c r="G21" s="49">
        <f>Plantilla!Z22</f>
        <v>14</v>
      </c>
      <c r="H21" s="49">
        <f>Plantilla!AA22</f>
        <v>4</v>
      </c>
      <c r="I21" s="49">
        <f>Plantilla!AB22</f>
        <v>9</v>
      </c>
      <c r="J21" s="49">
        <f>Plantilla!AC22</f>
        <v>8</v>
      </c>
      <c r="K21" s="49">
        <f>Plantilla!AD22</f>
        <v>19.25</v>
      </c>
      <c r="L21" s="97"/>
      <c r="M21" s="97"/>
      <c r="N21" s="97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117">
        <f t="shared" si="0"/>
        <v>0</v>
      </c>
    </row>
    <row r="22" spans="1:25" x14ac:dyDescent="0.25">
      <c r="A22" s="5" t="str">
        <f>Plantilla!A23</f>
        <v>#29</v>
      </c>
      <c r="B22" s="51" t="str">
        <f>Plantilla!D23</f>
        <v>S. Zobbe</v>
      </c>
      <c r="C22" s="5">
        <f>Plantilla!E23</f>
        <v>36</v>
      </c>
      <c r="D22" s="465">
        <f ca="1">Plantilla!F23</f>
        <v>0</v>
      </c>
      <c r="E22" s="49">
        <f>Plantilla!X23</f>
        <v>0</v>
      </c>
      <c r="F22" s="49">
        <f>Plantilla!Y23</f>
        <v>7.95</v>
      </c>
      <c r="G22" s="49">
        <f>Plantilla!Z23</f>
        <v>11.95</v>
      </c>
      <c r="H22" s="49">
        <f>Plantilla!AA23</f>
        <v>11.95</v>
      </c>
      <c r="I22" s="49">
        <f>Plantilla!AB23</f>
        <v>9.9499999999999993</v>
      </c>
      <c r="J22" s="49">
        <f>Plantilla!AC23</f>
        <v>4.95</v>
      </c>
      <c r="K22" s="49">
        <f>Plantilla!AD23</f>
        <v>18</v>
      </c>
      <c r="L22" s="97"/>
      <c r="M22" s="97"/>
      <c r="N22" s="97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117">
        <f t="shared" si="0"/>
        <v>0</v>
      </c>
    </row>
    <row r="23" spans="1:25" x14ac:dyDescent="0.25">
      <c r="A23" s="5" t="str">
        <f>Plantilla!A6</f>
        <v>#40</v>
      </c>
      <c r="B23" s="51" t="str">
        <f>Plantilla!D6</f>
        <v>E. Toney</v>
      </c>
      <c r="C23" s="5">
        <f>Plantilla!E6</f>
        <v>39</v>
      </c>
      <c r="D23" s="465">
        <f ca="1">Plantilla!F6</f>
        <v>76</v>
      </c>
      <c r="E23" s="49">
        <f>Plantilla!X6</f>
        <v>0</v>
      </c>
      <c r="F23" s="49">
        <f>Plantilla!Y6</f>
        <v>8.9499999999999975</v>
      </c>
      <c r="G23" s="49">
        <f>Plantilla!Z6</f>
        <v>7.95</v>
      </c>
      <c r="H23" s="49">
        <f>Plantilla!AA6</f>
        <v>4.95</v>
      </c>
      <c r="I23" s="49">
        <f>Plantilla!AB6</f>
        <v>3.95</v>
      </c>
      <c r="J23" s="49">
        <f>Plantilla!AC6</f>
        <v>0</v>
      </c>
      <c r="K23" s="49">
        <f>Plantilla!AD6</f>
        <v>15</v>
      </c>
      <c r="L23" s="97"/>
      <c r="M23" s="97"/>
      <c r="N23" s="97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117">
        <f t="shared" si="0"/>
        <v>0</v>
      </c>
    </row>
    <row r="24" spans="1:25" x14ac:dyDescent="0.25">
      <c r="A24" s="5" t="str">
        <f>Plantilla!A24</f>
        <v>#28</v>
      </c>
      <c r="B24" s="51" t="str">
        <f>Plantilla!D24</f>
        <v>P .Trivadi</v>
      </c>
      <c r="C24" s="5">
        <f>Plantilla!E24</f>
        <v>35</v>
      </c>
      <c r="D24" s="465">
        <f ca="1">Plantilla!F24</f>
        <v>68</v>
      </c>
      <c r="E24" s="49">
        <f>Plantilla!X24</f>
        <v>0</v>
      </c>
      <c r="F24" s="49">
        <f>Plantilla!Y24</f>
        <v>3.95</v>
      </c>
      <c r="G24" s="49">
        <f>Plantilla!Z24</f>
        <v>5.95</v>
      </c>
      <c r="H24" s="49">
        <f>Plantilla!AA24</f>
        <v>4.95</v>
      </c>
      <c r="I24" s="49">
        <f>Plantilla!AB24</f>
        <v>9.9499999999999993</v>
      </c>
      <c r="J24" s="49">
        <f>Plantilla!AC24</f>
        <v>5.95</v>
      </c>
      <c r="K24" s="49">
        <f>Plantilla!AD24</f>
        <v>15</v>
      </c>
      <c r="L24" s="97"/>
      <c r="M24" s="97"/>
      <c r="N24" s="97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117">
        <f t="shared" si="0"/>
        <v>0</v>
      </c>
    </row>
  </sheetData>
  <conditionalFormatting sqref="E4:K24">
    <cfRule type="colorScale" priority="1">
      <colorScale>
        <cfvo type="min"/>
        <cfvo type="max"/>
        <color rgb="FFFCFCFF"/>
        <color rgb="FFF8696B"/>
      </colorScale>
    </cfRule>
  </conditionalFormatting>
  <conditionalFormatting sqref="L4:X24">
    <cfRule type="colorScale" priority="2">
      <colorScale>
        <cfvo type="min"/>
        <cfvo type="max"/>
        <color rgb="FFFFEF9C"/>
        <color rgb="FF63BE7B"/>
      </colorScale>
    </cfRule>
  </conditionalFormatting>
  <conditionalFormatting sqref="Y4:Y2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{4C2A8114-93B3-91EC-B0C5-EB4AAD25DE4E}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2A8114-93B3-91EC-B0C5-EB4AAD25D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DA9694"/>
  </sheetPr>
  <dimension ref="A1:AF27"/>
  <sheetViews>
    <sheetView workbookViewId="0">
      <selection activeCell="Y5" sqref="Y5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2" width="6.5703125" style="58" customWidth="1"/>
    <col min="13" max="13" width="8.28515625" style="58" customWidth="1"/>
    <col min="14" max="14" width="4.5703125" style="58" customWidth="1"/>
    <col min="15" max="15" width="6" customWidth="1"/>
    <col min="16" max="17" width="5.42578125" customWidth="1"/>
    <col min="18" max="18" width="5.140625" customWidth="1"/>
    <col min="19" max="20" width="4.5703125" customWidth="1"/>
    <col min="21" max="21" width="4.85546875" customWidth="1"/>
    <col min="22" max="23" width="4.5703125" customWidth="1"/>
    <col min="24" max="24" width="9.7109375" customWidth="1"/>
    <col min="25" max="25" width="14.140625" customWidth="1"/>
    <col min="28" max="28" width="6" customWidth="1"/>
    <col min="29" max="29" width="13.7109375" customWidth="1"/>
    <col min="31" max="31" width="5.7109375" customWidth="1"/>
    <col min="32" max="32" width="13.7109375" customWidth="1"/>
  </cols>
  <sheetData>
    <row r="1" spans="1:32" x14ac:dyDescent="0.25">
      <c r="B1" t="s">
        <v>635</v>
      </c>
      <c r="AB1" t="s">
        <v>636</v>
      </c>
      <c r="AE1" t="s">
        <v>637</v>
      </c>
    </row>
    <row r="2" spans="1:32" x14ac:dyDescent="0.25">
      <c r="B2" s="74">
        <v>44035</v>
      </c>
      <c r="X2" s="206">
        <f>SUM(X4:X22)</f>
        <v>0.42663333333333336</v>
      </c>
      <c r="Y2" s="206">
        <f>SUM(Y4:Y22)</f>
        <v>3.6124761904761886</v>
      </c>
      <c r="Z2" s="206">
        <f>SUM(Z4:Z22)</f>
        <v>0.60207936507937632</v>
      </c>
      <c r="AB2" s="149" t="s">
        <v>85</v>
      </c>
      <c r="AC2" s="149" t="s">
        <v>87</v>
      </c>
      <c r="AE2" s="149" t="s">
        <v>85</v>
      </c>
      <c r="AF2" s="149" t="s">
        <v>87</v>
      </c>
    </row>
    <row r="3" spans="1:32" x14ac:dyDescent="0.25">
      <c r="A3" s="81" t="s">
        <v>638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1">
        <v>1</v>
      </c>
      <c r="M3" s="81" t="s">
        <v>639</v>
      </c>
      <c r="N3" s="203" t="s">
        <v>14</v>
      </c>
      <c r="O3" s="203" t="s">
        <v>630</v>
      </c>
      <c r="P3" s="202" t="s">
        <v>640</v>
      </c>
      <c r="Q3" s="202" t="s">
        <v>641</v>
      </c>
      <c r="R3" s="202" t="s">
        <v>642</v>
      </c>
      <c r="S3" s="202" t="s">
        <v>135</v>
      </c>
      <c r="T3" s="202" t="s">
        <v>473</v>
      </c>
      <c r="U3" s="202" t="s">
        <v>643</v>
      </c>
      <c r="V3" s="203" t="s">
        <v>140</v>
      </c>
      <c r="W3" s="203" t="s">
        <v>21</v>
      </c>
      <c r="X3" s="204" t="s">
        <v>647</v>
      </c>
      <c r="Y3" s="204" t="s">
        <v>648</v>
      </c>
      <c r="Z3" s="204" t="s">
        <v>649</v>
      </c>
      <c r="AB3" t="s">
        <v>14</v>
      </c>
      <c r="AC3" t="s">
        <v>144</v>
      </c>
      <c r="AE3" t="s">
        <v>14</v>
      </c>
      <c r="AF3" t="s">
        <v>144</v>
      </c>
    </row>
    <row r="4" spans="1:32" x14ac:dyDescent="0.25">
      <c r="A4" s="5" t="str">
        <f>Plantilla!A4</f>
        <v>#30</v>
      </c>
      <c r="B4" s="264" t="str">
        <f>Plantilla!D4</f>
        <v>D. Gehmacher</v>
      </c>
      <c r="C4" s="5">
        <f>Plantilla!E4</f>
        <v>38</v>
      </c>
      <c r="D4" s="465">
        <f ca="1">Plantilla!F4</f>
        <v>65</v>
      </c>
      <c r="E4" s="49">
        <f>Plantilla!X4</f>
        <v>14.95</v>
      </c>
      <c r="F4" s="49">
        <f>Plantilla!Y4</f>
        <v>8.9499999999999993</v>
      </c>
      <c r="G4" s="49">
        <f>Plantilla!Z4</f>
        <v>0.95</v>
      </c>
      <c r="H4" s="49">
        <f>Plantilla!AA4</f>
        <v>0</v>
      </c>
      <c r="I4" s="49">
        <f>Plantilla!AB4</f>
        <v>0</v>
      </c>
      <c r="J4" s="49">
        <f>Plantilla!AC4</f>
        <v>0</v>
      </c>
      <c r="K4" s="49">
        <f>Plantilla!AD4</f>
        <v>17.95</v>
      </c>
      <c r="L4" s="97"/>
      <c r="M4" s="97"/>
      <c r="N4" s="49"/>
      <c r="O4" s="48"/>
      <c r="P4" s="48"/>
      <c r="Q4" s="48"/>
      <c r="R4" s="48"/>
      <c r="S4" s="48"/>
      <c r="T4" s="48"/>
      <c r="U4" s="48"/>
      <c r="V4" s="48"/>
      <c r="W4" s="48"/>
      <c r="X4" s="117"/>
      <c r="Y4" s="117"/>
      <c r="Z4" s="117"/>
      <c r="AB4" t="s">
        <v>629</v>
      </c>
      <c r="AC4" t="s">
        <v>645</v>
      </c>
      <c r="AE4" t="s">
        <v>629</v>
      </c>
      <c r="AF4" t="str">
        <f>AC4</f>
        <v>B. Pinczehelyi</v>
      </c>
    </row>
    <row r="5" spans="1:32" x14ac:dyDescent="0.25">
      <c r="A5" s="5" t="str">
        <f>Plantilla!A5</f>
        <v>#1</v>
      </c>
      <c r="B5" s="264" t="str">
        <f>Plantilla!D5</f>
        <v>林 (Lin) 光维 (Guangwei)</v>
      </c>
      <c r="C5" s="5">
        <f>Plantilla!E5</f>
        <v>22</v>
      </c>
      <c r="D5" s="465">
        <f ca="1">Plantilla!F5</f>
        <v>104</v>
      </c>
      <c r="E5" s="49">
        <f>Plantilla!X5</f>
        <v>15</v>
      </c>
      <c r="F5" s="49">
        <f>Plantilla!Y5</f>
        <v>5</v>
      </c>
      <c r="G5" s="49">
        <f>Plantilla!Z5</f>
        <v>2</v>
      </c>
      <c r="H5" s="49">
        <f>Plantilla!AA5</f>
        <v>1</v>
      </c>
      <c r="I5" s="49">
        <f>Plantilla!AB5</f>
        <v>5</v>
      </c>
      <c r="J5" s="49">
        <f>Plantilla!AC5</f>
        <v>3</v>
      </c>
      <c r="K5" s="49">
        <f>Plantilla!AD5</f>
        <v>19.25</v>
      </c>
      <c r="L5" s="97"/>
      <c r="M5" s="97"/>
      <c r="N5" s="49"/>
      <c r="O5" s="48"/>
      <c r="P5" s="48"/>
      <c r="Q5" s="48"/>
      <c r="R5" s="48"/>
      <c r="S5" s="48"/>
      <c r="T5" s="48"/>
      <c r="U5" s="48"/>
      <c r="V5" s="48"/>
      <c r="W5" s="48"/>
      <c r="X5" s="117"/>
      <c r="Y5" s="117"/>
      <c r="Z5" s="117"/>
      <c r="AB5" t="s">
        <v>630</v>
      </c>
      <c r="AC5" t="s">
        <v>225</v>
      </c>
      <c r="AE5" t="s">
        <v>634</v>
      </c>
      <c r="AF5" t="s">
        <v>218</v>
      </c>
    </row>
    <row r="6" spans="1:32" x14ac:dyDescent="0.25">
      <c r="A6" s="5" t="str">
        <f>Plantilla!A6</f>
        <v>#40</v>
      </c>
      <c r="B6" s="264" t="str">
        <f>Plantilla!D6</f>
        <v>E. Toney</v>
      </c>
      <c r="C6" s="5">
        <f>Plantilla!E6</f>
        <v>39</v>
      </c>
      <c r="D6" s="465">
        <f ca="1">Plantilla!F6</f>
        <v>76</v>
      </c>
      <c r="E6" s="49">
        <f>Plantilla!X6</f>
        <v>0</v>
      </c>
      <c r="F6" s="49">
        <f>Plantilla!Y6</f>
        <v>8.9499999999999975</v>
      </c>
      <c r="G6" s="49">
        <f>Plantilla!Z6</f>
        <v>7.95</v>
      </c>
      <c r="H6" s="49">
        <f>Plantilla!AA6</f>
        <v>4.95</v>
      </c>
      <c r="I6" s="49">
        <f>Plantilla!AB6</f>
        <v>3.95</v>
      </c>
      <c r="J6" s="49">
        <f>Plantilla!AC6</f>
        <v>0</v>
      </c>
      <c r="K6" s="49">
        <f>Plantilla!AD6</f>
        <v>15</v>
      </c>
      <c r="L6" s="97"/>
      <c r="M6" s="97"/>
      <c r="N6" s="49"/>
      <c r="O6" s="48"/>
      <c r="P6" s="48"/>
      <c r="Q6" s="48"/>
      <c r="R6" s="48"/>
      <c r="S6" s="48"/>
      <c r="T6" s="48"/>
      <c r="U6" s="48"/>
      <c r="V6" s="48"/>
      <c r="W6" s="48"/>
      <c r="X6" s="117"/>
      <c r="Y6" s="117"/>
      <c r="Z6" s="117"/>
      <c r="AB6" t="s">
        <v>629</v>
      </c>
      <c r="AC6" t="s">
        <v>148</v>
      </c>
      <c r="AE6" t="s">
        <v>132</v>
      </c>
      <c r="AF6" t="s">
        <v>148</v>
      </c>
    </row>
    <row r="7" spans="1:32" x14ac:dyDescent="0.25">
      <c r="A7" s="5" t="str">
        <f>Plantilla!A7</f>
        <v>#36</v>
      </c>
      <c r="B7" s="264" t="str">
        <f>Plantilla!D7</f>
        <v>F. Lasprilla</v>
      </c>
      <c r="C7" s="5">
        <f>Plantilla!E7</f>
        <v>35</v>
      </c>
      <c r="D7" s="465">
        <f ca="1">Plantilla!F7</f>
        <v>84</v>
      </c>
      <c r="E7" s="49">
        <f>Plantilla!X7</f>
        <v>0</v>
      </c>
      <c r="F7" s="49">
        <f>Plantilla!Y7</f>
        <v>8.9499999999999975</v>
      </c>
      <c r="G7" s="49">
        <f>Plantilla!Z7</f>
        <v>7.95</v>
      </c>
      <c r="H7" s="49">
        <f>Plantilla!AA7</f>
        <v>4.95</v>
      </c>
      <c r="I7" s="49">
        <f>Plantilla!AB7</f>
        <v>7.95</v>
      </c>
      <c r="J7" s="49">
        <f>Plantilla!AC7</f>
        <v>0.95</v>
      </c>
      <c r="K7" s="49">
        <f>Plantilla!AD7</f>
        <v>14</v>
      </c>
      <c r="L7" s="97"/>
      <c r="M7" s="97"/>
      <c r="N7" s="49"/>
      <c r="O7" s="48"/>
      <c r="P7" s="48"/>
      <c r="Q7" s="48"/>
      <c r="R7" s="48"/>
      <c r="S7" s="48"/>
      <c r="T7" s="48"/>
      <c r="U7" s="48"/>
      <c r="V7" s="48"/>
      <c r="W7" s="48"/>
      <c r="X7" s="117"/>
      <c r="Y7" s="117"/>
      <c r="Z7" s="117"/>
      <c r="AB7" t="s">
        <v>473</v>
      </c>
      <c r="AC7" t="s">
        <v>155</v>
      </c>
      <c r="AE7" t="s">
        <v>634</v>
      </c>
      <c r="AF7" t="s">
        <v>214</v>
      </c>
    </row>
    <row r="8" spans="1:32" x14ac:dyDescent="0.25">
      <c r="A8" s="5" t="str">
        <f>Plantilla!A8</f>
        <v>#31</v>
      </c>
      <c r="B8" s="264" t="str">
        <f>Plantilla!D8</f>
        <v>E. Romweber</v>
      </c>
      <c r="C8" s="5">
        <f>Plantilla!E8</f>
        <v>39</v>
      </c>
      <c r="D8" s="465">
        <f ca="1">Plantilla!F8</f>
        <v>38</v>
      </c>
      <c r="E8" s="49">
        <f>Plantilla!X8</f>
        <v>0</v>
      </c>
      <c r="F8" s="49">
        <f>Plantilla!Y8</f>
        <v>8.9499999999999975</v>
      </c>
      <c r="G8" s="49">
        <f>Plantilla!Z8</f>
        <v>8.9499999999999975</v>
      </c>
      <c r="H8" s="49">
        <f>Plantilla!AA8</f>
        <v>8.9499999999999975</v>
      </c>
      <c r="I8" s="49">
        <f>Plantilla!AB8</f>
        <v>6.95</v>
      </c>
      <c r="J8" s="49">
        <f>Plantilla!AC8</f>
        <v>0.95</v>
      </c>
      <c r="K8" s="49">
        <f>Plantilla!AD8</f>
        <v>16</v>
      </c>
      <c r="L8" s="97"/>
      <c r="M8" s="97"/>
      <c r="N8" s="49"/>
      <c r="O8" s="48"/>
      <c r="P8" s="48"/>
      <c r="Q8" s="48"/>
      <c r="R8" s="48"/>
      <c r="S8" s="48"/>
      <c r="T8" s="48"/>
      <c r="U8" s="48"/>
      <c r="V8" s="48"/>
      <c r="W8" s="48"/>
      <c r="X8" s="117"/>
      <c r="Y8" s="117"/>
      <c r="Z8" s="117"/>
      <c r="AB8" t="s">
        <v>135</v>
      </c>
      <c r="AC8" t="s">
        <v>237</v>
      </c>
      <c r="AE8" t="s">
        <v>629</v>
      </c>
      <c r="AF8" t="s">
        <v>153</v>
      </c>
    </row>
    <row r="9" spans="1:32" x14ac:dyDescent="0.25">
      <c r="A9" s="5" t="str">
        <f>Plantilla!A21</f>
        <v>#35</v>
      </c>
      <c r="B9" s="264" t="str">
        <f>Plantilla!D21</f>
        <v>S. Buschelman</v>
      </c>
      <c r="C9" s="5">
        <f>Plantilla!E21</f>
        <v>37</v>
      </c>
      <c r="D9" s="465">
        <f ca="1">Plantilla!F21</f>
        <v>109</v>
      </c>
      <c r="E9" s="49">
        <f>Plantilla!X21</f>
        <v>0</v>
      </c>
      <c r="F9" s="49">
        <f>Plantilla!Y21</f>
        <v>7.95</v>
      </c>
      <c r="G9" s="49">
        <f>Plantilla!Z21</f>
        <v>11.95</v>
      </c>
      <c r="H9" s="49">
        <f>Plantilla!AA21</f>
        <v>9.9499999999999993</v>
      </c>
      <c r="I9" s="49">
        <f>Plantilla!AB21</f>
        <v>6.95</v>
      </c>
      <c r="J9" s="49">
        <f>Plantilla!AC21</f>
        <v>0.95</v>
      </c>
      <c r="K9" s="49">
        <f>Plantilla!AD21</f>
        <v>16</v>
      </c>
      <c r="L9" s="97"/>
      <c r="M9" s="97"/>
      <c r="N9" s="49"/>
      <c r="O9" s="48"/>
      <c r="P9" s="48"/>
      <c r="Q9" s="48"/>
      <c r="R9" s="48"/>
      <c r="S9" s="48"/>
      <c r="T9" s="48"/>
      <c r="U9" s="48"/>
      <c r="V9" s="48"/>
      <c r="W9" s="48"/>
      <c r="X9" s="117"/>
      <c r="Y9" s="117"/>
      <c r="Z9" s="117"/>
      <c r="AB9" t="s">
        <v>473</v>
      </c>
      <c r="AC9" t="s">
        <v>231</v>
      </c>
      <c r="AE9" t="s">
        <v>473</v>
      </c>
      <c r="AF9" t="s">
        <v>231</v>
      </c>
    </row>
    <row r="10" spans="1:32" x14ac:dyDescent="0.25">
      <c r="A10" s="5" t="str">
        <f>Plantilla!A9</f>
        <v>#2</v>
      </c>
      <c r="B10" s="264" t="str">
        <f>Plantilla!D9</f>
        <v>L. Tutorić</v>
      </c>
      <c r="C10" s="5">
        <f>Plantilla!E9</f>
        <v>29</v>
      </c>
      <c r="D10" s="465">
        <f ca="1">Plantilla!F9</f>
        <v>19</v>
      </c>
      <c r="E10" s="49">
        <f>Plantilla!X9</f>
        <v>0</v>
      </c>
      <c r="F10" s="49">
        <f>Plantilla!Y9</f>
        <v>13</v>
      </c>
      <c r="G10" s="49">
        <f>Plantilla!Z9</f>
        <v>6</v>
      </c>
      <c r="H10" s="49">
        <f>Plantilla!AA9</f>
        <v>2</v>
      </c>
      <c r="I10" s="49">
        <f>Plantilla!AB9</f>
        <v>1</v>
      </c>
      <c r="J10" s="49">
        <f>Plantilla!AC9</f>
        <v>7</v>
      </c>
      <c r="K10" s="49">
        <f>Plantilla!AD9</f>
        <v>15.333333333333334</v>
      </c>
      <c r="L10" s="97"/>
      <c r="M10" s="97"/>
      <c r="N10" s="49"/>
      <c r="O10" s="48"/>
      <c r="P10" s="48"/>
      <c r="Q10" s="48"/>
      <c r="R10" s="48"/>
      <c r="S10" s="48"/>
      <c r="T10" s="48"/>
      <c r="U10" s="48"/>
      <c r="V10" s="48"/>
      <c r="W10" s="48"/>
      <c r="X10" s="117"/>
      <c r="Y10" s="117"/>
      <c r="Z10" s="117"/>
      <c r="AB10" t="s">
        <v>476</v>
      </c>
      <c r="AC10" t="s">
        <v>153</v>
      </c>
      <c r="AE10" t="s">
        <v>473</v>
      </c>
      <c r="AF10" t="s">
        <v>155</v>
      </c>
    </row>
    <row r="11" spans="1:32" x14ac:dyDescent="0.25">
      <c r="A11" s="5" t="str">
        <f>Plantilla!A10</f>
        <v>#2</v>
      </c>
      <c r="B11" s="264" t="str">
        <f>Plantilla!D10</f>
        <v>S. Swärdborn</v>
      </c>
      <c r="C11" s="5">
        <f>Plantilla!E10</f>
        <v>22</v>
      </c>
      <c r="D11" s="465">
        <f ca="1">Plantilla!F10</f>
        <v>21</v>
      </c>
      <c r="E11" s="49">
        <f>Plantilla!X10</f>
        <v>0</v>
      </c>
      <c r="F11" s="49">
        <f>Plantilla!Y10</f>
        <v>12</v>
      </c>
      <c r="G11" s="49">
        <f>Plantilla!Z10</f>
        <v>7</v>
      </c>
      <c r="H11" s="49">
        <f>Plantilla!AA10</f>
        <v>1</v>
      </c>
      <c r="I11" s="49">
        <f>Plantilla!AB10</f>
        <v>3</v>
      </c>
      <c r="J11" s="49">
        <f>Plantilla!AC10</f>
        <v>6</v>
      </c>
      <c r="K11" s="49">
        <f>Plantilla!AD10</f>
        <v>15.333333333333334</v>
      </c>
      <c r="L11" s="97">
        <f>1/5</f>
        <v>0.2</v>
      </c>
      <c r="M11" s="97">
        <f t="shared" ref="M11:M21" si="0">L11/6</f>
        <v>3.3333333333333333E-2</v>
      </c>
      <c r="N11" s="49">
        <v>0</v>
      </c>
      <c r="O11" s="48">
        <v>0</v>
      </c>
      <c r="P11" s="48">
        <v>0</v>
      </c>
      <c r="Q11" s="48">
        <v>0</v>
      </c>
      <c r="R11" s="48">
        <v>0</v>
      </c>
      <c r="S11" s="48"/>
      <c r="T11" s="48"/>
      <c r="U11" s="48"/>
      <c r="V11" s="48"/>
      <c r="W11" s="48"/>
      <c r="X11" s="117">
        <f t="shared" ref="X11:X21" si="1">MAX(N11:W11)</f>
        <v>0</v>
      </c>
      <c r="Y11" s="117">
        <f t="shared" ref="Y11:Y21" si="2">(1.66*(J11+L11)+0.55*(K11)-7.6)-(1.66*(J11)+0.55*(K11)-7.6)</f>
        <v>0.33200000000000074</v>
      </c>
      <c r="Z11" s="117">
        <f t="shared" ref="Z11:Z21" si="3">(1.66*(J11+M11)+0.55*(K11)-7.6)-(1.66*(J11)+0.55*(K11)-7.6)</f>
        <v>5.5333333333337009E-2</v>
      </c>
      <c r="AB11" t="s">
        <v>476</v>
      </c>
      <c r="AC11" t="s">
        <v>238</v>
      </c>
      <c r="AE11" t="s">
        <v>476</v>
      </c>
      <c r="AF11" t="s">
        <v>238</v>
      </c>
    </row>
    <row r="12" spans="1:32" x14ac:dyDescent="0.25">
      <c r="A12" s="5" t="str">
        <f>Plantilla!A11</f>
        <v>#19</v>
      </c>
      <c r="B12" s="264" t="str">
        <f>Plantilla!D11</f>
        <v>A. Grimaud</v>
      </c>
      <c r="C12" s="5">
        <f>Plantilla!E11</f>
        <v>22</v>
      </c>
      <c r="D12" s="465">
        <f ca="1">Plantilla!F11</f>
        <v>44</v>
      </c>
      <c r="E12" s="49">
        <f>Plantilla!X11</f>
        <v>0</v>
      </c>
      <c r="F12" s="49">
        <f>Plantilla!Y11</f>
        <v>12</v>
      </c>
      <c r="G12" s="49">
        <f>Plantilla!Z11</f>
        <v>7</v>
      </c>
      <c r="H12" s="49">
        <f>Plantilla!AA11</f>
        <v>3</v>
      </c>
      <c r="I12" s="49">
        <f>Plantilla!AB11</f>
        <v>3</v>
      </c>
      <c r="J12" s="49">
        <f>Plantilla!AC11</f>
        <v>5</v>
      </c>
      <c r="K12" s="49">
        <f>Plantilla!AD11</f>
        <v>14.333333333333334</v>
      </c>
      <c r="L12" s="97">
        <f>1/4</f>
        <v>0.25</v>
      </c>
      <c r="M12" s="97">
        <f t="shared" si="0"/>
        <v>4.1666666666666664E-2</v>
      </c>
      <c r="N12" s="49">
        <v>0</v>
      </c>
      <c r="O12" s="48">
        <v>0</v>
      </c>
      <c r="P12" s="48">
        <v>0</v>
      </c>
      <c r="Q12" s="48">
        <v>0</v>
      </c>
      <c r="R12" s="48">
        <v>0</v>
      </c>
      <c r="S12" s="48"/>
      <c r="T12" s="48"/>
      <c r="U12" s="48"/>
      <c r="V12" s="48"/>
      <c r="W12" s="48"/>
      <c r="X12" s="117">
        <f t="shared" si="1"/>
        <v>0</v>
      </c>
      <c r="Y12" s="117">
        <f t="shared" si="2"/>
        <v>0.4150000000000027</v>
      </c>
      <c r="Z12" s="117">
        <f t="shared" si="3"/>
        <v>6.9166666666667709E-2</v>
      </c>
      <c r="AB12" t="s">
        <v>21</v>
      </c>
      <c r="AC12" t="s">
        <v>234</v>
      </c>
      <c r="AE12" t="s">
        <v>476</v>
      </c>
      <c r="AF12" t="s">
        <v>186</v>
      </c>
    </row>
    <row r="13" spans="1:32" x14ac:dyDescent="0.25">
      <c r="A13" s="5" t="str">
        <f>Plantilla!A12</f>
        <v>#22</v>
      </c>
      <c r="B13" s="264" t="str">
        <f>Plantilla!D12</f>
        <v>V. Gardner</v>
      </c>
      <c r="C13" s="5">
        <f>Plantilla!E12</f>
        <v>22</v>
      </c>
      <c r="D13" s="465">
        <f ca="1">Plantilla!F12</f>
        <v>33</v>
      </c>
      <c r="E13" s="49">
        <f>Plantilla!X12</f>
        <v>0</v>
      </c>
      <c r="F13" s="49">
        <f>Plantilla!Y12</f>
        <v>12</v>
      </c>
      <c r="G13" s="49">
        <f>Plantilla!Z12</f>
        <v>5</v>
      </c>
      <c r="H13" s="49">
        <f>Plantilla!AA12</f>
        <v>3</v>
      </c>
      <c r="I13" s="49">
        <f>Plantilla!AB12</f>
        <v>5</v>
      </c>
      <c r="J13" s="49">
        <f>Plantilla!AC12</f>
        <v>6</v>
      </c>
      <c r="K13" s="49">
        <f>Plantilla!AD12</f>
        <v>16</v>
      </c>
      <c r="L13" s="97">
        <f>1/5</f>
        <v>0.2</v>
      </c>
      <c r="M13" s="97">
        <f t="shared" si="0"/>
        <v>3.3333333333333333E-2</v>
      </c>
      <c r="N13" s="49">
        <v>0</v>
      </c>
      <c r="O13" s="48">
        <v>0</v>
      </c>
      <c r="P13" s="48">
        <v>0</v>
      </c>
      <c r="Q13" s="48">
        <v>0</v>
      </c>
      <c r="R13" s="48">
        <v>0</v>
      </c>
      <c r="S13" s="48"/>
      <c r="T13" s="48"/>
      <c r="U13" s="48"/>
      <c r="V13" s="48"/>
      <c r="W13" s="48"/>
      <c r="X13" s="117">
        <f t="shared" si="1"/>
        <v>0</v>
      </c>
      <c r="Y13" s="117">
        <f t="shared" si="2"/>
        <v>0.33200000000000074</v>
      </c>
      <c r="Z13" s="117">
        <f t="shared" si="3"/>
        <v>5.5333333333337009E-2</v>
      </c>
      <c r="AB13" t="s">
        <v>21</v>
      </c>
      <c r="AC13" t="s">
        <v>186</v>
      </c>
      <c r="AE13" t="s">
        <v>21</v>
      </c>
      <c r="AF13" t="s">
        <v>234</v>
      </c>
    </row>
    <row r="14" spans="1:32" x14ac:dyDescent="0.25">
      <c r="A14" s="5" t="str">
        <f>Plantilla!A13</f>
        <v>#3</v>
      </c>
      <c r="B14" s="264" t="str">
        <f>Plantilla!D13</f>
        <v>S. Embe</v>
      </c>
      <c r="C14" s="5">
        <f>Plantilla!E13</f>
        <v>22</v>
      </c>
      <c r="D14" s="465">
        <f ca="1">Plantilla!F13</f>
        <v>89</v>
      </c>
      <c r="E14" s="49">
        <f>Plantilla!X13</f>
        <v>0</v>
      </c>
      <c r="F14" s="49">
        <f>Plantilla!Y13</f>
        <v>11</v>
      </c>
      <c r="G14" s="49">
        <f>Plantilla!Z13</f>
        <v>4</v>
      </c>
      <c r="H14" s="49">
        <f>Plantilla!AA13</f>
        <v>1</v>
      </c>
      <c r="I14" s="49">
        <f>Plantilla!AB13</f>
        <v>5</v>
      </c>
      <c r="J14" s="49">
        <f>Plantilla!AC13</f>
        <v>6</v>
      </c>
      <c r="K14" s="49">
        <f>Plantilla!AD13</f>
        <v>17.333333333333332</v>
      </c>
      <c r="L14" s="97">
        <f>1/(5)</f>
        <v>0.2</v>
      </c>
      <c r="M14" s="97">
        <f t="shared" si="0"/>
        <v>3.3333333333333333E-2</v>
      </c>
      <c r="N14" s="49">
        <v>0</v>
      </c>
      <c r="O14" s="48">
        <v>0</v>
      </c>
      <c r="P14" s="48">
        <v>0</v>
      </c>
      <c r="Q14" s="48">
        <v>0</v>
      </c>
      <c r="R14" s="48">
        <v>0</v>
      </c>
      <c r="S14" s="48"/>
      <c r="T14" s="48"/>
      <c r="U14" s="48"/>
      <c r="V14" s="48"/>
      <c r="W14" s="48"/>
      <c r="X14" s="117">
        <f t="shared" si="1"/>
        <v>0</v>
      </c>
      <c r="Y14" s="117">
        <f t="shared" si="2"/>
        <v>0.33200000000000074</v>
      </c>
      <c r="Z14" s="117">
        <f t="shared" si="3"/>
        <v>5.5333333333333456E-2</v>
      </c>
    </row>
    <row r="15" spans="1:32" x14ac:dyDescent="0.25">
      <c r="A15" s="5" t="str">
        <f>Plantilla!A14</f>
        <v>#4</v>
      </c>
      <c r="B15" s="264" t="str">
        <f>Plantilla!D14</f>
        <v>E. Deus</v>
      </c>
      <c r="C15" s="5">
        <f>Plantilla!E14</f>
        <v>21</v>
      </c>
      <c r="D15" s="465">
        <f ca="1">Plantilla!F14</f>
        <v>72</v>
      </c>
      <c r="E15" s="49">
        <f>Plantilla!X14</f>
        <v>0</v>
      </c>
      <c r="F15" s="49">
        <f>Plantilla!Y14</f>
        <v>11</v>
      </c>
      <c r="G15" s="49">
        <f>Plantilla!Z14</f>
        <v>7</v>
      </c>
      <c r="H15" s="49">
        <f>Plantilla!AA14</f>
        <v>1</v>
      </c>
      <c r="I15" s="49">
        <f>Plantilla!AB14</f>
        <v>6</v>
      </c>
      <c r="J15" s="49">
        <f>Plantilla!AC14</f>
        <v>5</v>
      </c>
      <c r="K15" s="49">
        <f>Plantilla!AD14</f>
        <v>15.333333333333334</v>
      </c>
      <c r="L15" s="97">
        <f>1/4</f>
        <v>0.25</v>
      </c>
      <c r="M15" s="97">
        <f t="shared" si="0"/>
        <v>4.1666666666666664E-2</v>
      </c>
      <c r="N15" s="49">
        <v>0</v>
      </c>
      <c r="O15" s="48">
        <v>0</v>
      </c>
      <c r="P15" s="48">
        <v>0</v>
      </c>
      <c r="Q15" s="48">
        <v>0</v>
      </c>
      <c r="R15" s="48">
        <v>0</v>
      </c>
      <c r="S15" s="48"/>
      <c r="T15" s="48"/>
      <c r="U15" s="48"/>
      <c r="V15" s="48"/>
      <c r="W15" s="48"/>
      <c r="X15" s="117">
        <f t="shared" si="1"/>
        <v>0</v>
      </c>
      <c r="Y15" s="117">
        <f t="shared" si="2"/>
        <v>0.41499999999999915</v>
      </c>
      <c r="Z15" s="117">
        <f t="shared" si="3"/>
        <v>6.9166666666667709E-2</v>
      </c>
    </row>
    <row r="16" spans="1:32" x14ac:dyDescent="0.25">
      <c r="A16" s="5" t="str">
        <f>Plantilla!A15</f>
        <v>#16</v>
      </c>
      <c r="B16" s="264" t="str">
        <f>Plantilla!D15</f>
        <v>I. Vanags</v>
      </c>
      <c r="C16" s="5">
        <f>Plantilla!E15</f>
        <v>22</v>
      </c>
      <c r="D16" s="465">
        <f ca="1">Plantilla!F15</f>
        <v>20</v>
      </c>
      <c r="E16" s="49">
        <f>Plantilla!X15</f>
        <v>0</v>
      </c>
      <c r="F16" s="49">
        <f>Plantilla!Y15</f>
        <v>4</v>
      </c>
      <c r="G16" s="49">
        <f>Plantilla!Z15</f>
        <v>13</v>
      </c>
      <c r="H16" s="49">
        <f>Plantilla!AA15</f>
        <v>3</v>
      </c>
      <c r="I16" s="49">
        <f>Plantilla!AB15</f>
        <v>4</v>
      </c>
      <c r="J16" s="49">
        <f>Plantilla!AC15</f>
        <v>7</v>
      </c>
      <c r="K16" s="49">
        <f>Plantilla!AD15</f>
        <v>16.333333333333332</v>
      </c>
      <c r="L16" s="97">
        <f>1/5</f>
        <v>0.2</v>
      </c>
      <c r="M16" s="97">
        <f t="shared" si="0"/>
        <v>3.3333333333333333E-2</v>
      </c>
      <c r="N16" s="49"/>
      <c r="O16" s="48"/>
      <c r="P16" s="48"/>
      <c r="Q16" s="48"/>
      <c r="R16" s="48"/>
      <c r="S16" s="48">
        <f t="shared" ref="S16:S21" si="4">L16*(0.19*0.341+0.25*0.253+0.25*0.127)/(0.19+0.25)</f>
        <v>7.2631818181818186E-2</v>
      </c>
      <c r="T16" s="48">
        <f t="shared" ref="T16:T21" si="5">L16*(0.19*0.241+0.25*0.315)/(0.19+0.25)</f>
        <v>5.6609090909090908E-2</v>
      </c>
      <c r="U16" s="48">
        <f t="shared" ref="U16:U21" si="6">L16*(0.19*0.121+0.25*0.244)/(0.19+0.25)</f>
        <v>3.8177272727272726E-2</v>
      </c>
      <c r="V16" s="48">
        <f>L16*(0.19*0.543+0.25*0.324)/(0.19+0.25)</f>
        <v>8.3713636363636365E-2</v>
      </c>
      <c r="W16" s="48">
        <f t="shared" ref="W16:W21" si="7">L16*(0.19*0.369+0.25*0.142)/(0.19+0.25)</f>
        <v>4.8004545454545459E-2</v>
      </c>
      <c r="X16" s="117">
        <f t="shared" si="1"/>
        <v>8.3713636363636365E-2</v>
      </c>
      <c r="Y16" s="117">
        <f t="shared" si="2"/>
        <v>0.33200000000000074</v>
      </c>
      <c r="Z16" s="117">
        <f t="shared" si="3"/>
        <v>5.5333333333337009E-2</v>
      </c>
    </row>
    <row r="17" spans="1:26" x14ac:dyDescent="0.25">
      <c r="A17" s="5" t="str">
        <f>Plantilla!A16</f>
        <v>#8</v>
      </c>
      <c r="B17" s="264" t="str">
        <f>Plantilla!D16</f>
        <v>I. Stone</v>
      </c>
      <c r="C17" s="5">
        <f>Plantilla!E16</f>
        <v>21</v>
      </c>
      <c r="D17" s="465">
        <f ca="1">Plantilla!F16</f>
        <v>75</v>
      </c>
      <c r="E17" s="49">
        <f>Plantilla!X16</f>
        <v>0</v>
      </c>
      <c r="F17" s="49">
        <f>Plantilla!Y16</f>
        <v>3</v>
      </c>
      <c r="G17" s="49">
        <f>Plantilla!Z16</f>
        <v>12</v>
      </c>
      <c r="H17" s="49">
        <f>Plantilla!AA16</f>
        <v>2</v>
      </c>
      <c r="I17" s="49">
        <f>Plantilla!AB16</f>
        <v>6</v>
      </c>
      <c r="J17" s="49">
        <f>Plantilla!AC16</f>
        <v>9</v>
      </c>
      <c r="K17" s="49">
        <f>Plantilla!AD16</f>
        <v>15.333333333333334</v>
      </c>
      <c r="L17" s="97">
        <f>1/7</f>
        <v>0.14285714285714285</v>
      </c>
      <c r="M17" s="97">
        <f t="shared" si="0"/>
        <v>2.3809523809523808E-2</v>
      </c>
      <c r="N17" s="49"/>
      <c r="O17" s="48"/>
      <c r="P17" s="48"/>
      <c r="Q17" s="48"/>
      <c r="R17" s="48"/>
      <c r="S17" s="48">
        <f t="shared" si="4"/>
        <v>5.1879870129870123E-2</v>
      </c>
      <c r="T17" s="48">
        <f t="shared" si="5"/>
        <v>4.0435064935064928E-2</v>
      </c>
      <c r="U17" s="48">
        <f t="shared" si="6"/>
        <v>2.7269480519480516E-2</v>
      </c>
      <c r="V17" s="48">
        <f>L17*(0.19*0.543+0.25*0.324)/(0.19+0.25)</f>
        <v>5.9795454545454547E-2</v>
      </c>
      <c r="W17" s="48">
        <f t="shared" si="7"/>
        <v>3.4288961038961042E-2</v>
      </c>
      <c r="X17" s="117">
        <f t="shared" si="1"/>
        <v>5.9795454545454547E-2</v>
      </c>
      <c r="Y17" s="117">
        <f t="shared" si="2"/>
        <v>0.23714285714285488</v>
      </c>
      <c r="Z17" s="117">
        <f t="shared" si="3"/>
        <v>3.9523809523807074E-2</v>
      </c>
    </row>
    <row r="18" spans="1:26" x14ac:dyDescent="0.25">
      <c r="A18" s="5" t="str">
        <f>Plantilla!A17</f>
        <v>#14</v>
      </c>
      <c r="B18" s="264" t="str">
        <f>Plantilla!D17</f>
        <v>G. Piscaer</v>
      </c>
      <c r="C18" s="5">
        <f>Plantilla!E17</f>
        <v>22</v>
      </c>
      <c r="D18" s="465">
        <f ca="1">Plantilla!F17</f>
        <v>36</v>
      </c>
      <c r="E18" s="49">
        <f>Plantilla!X17</f>
        <v>0</v>
      </c>
      <c r="F18" s="49">
        <f>Plantilla!Y17</f>
        <v>4</v>
      </c>
      <c r="G18" s="49">
        <f>Plantilla!Z17</f>
        <v>13</v>
      </c>
      <c r="H18" s="49">
        <f>Plantilla!AA17</f>
        <v>3</v>
      </c>
      <c r="I18" s="49">
        <f>Plantilla!AB17</f>
        <v>2</v>
      </c>
      <c r="J18" s="49">
        <f>Plantilla!AC17</f>
        <v>8</v>
      </c>
      <c r="K18" s="49">
        <f>Plantilla!AD17</f>
        <v>14.333333333333334</v>
      </c>
      <c r="L18" s="97">
        <f>1/6</f>
        <v>0.16666666666666666</v>
      </c>
      <c r="M18" s="97">
        <f t="shared" si="0"/>
        <v>2.7777777777777776E-2</v>
      </c>
      <c r="N18" s="49"/>
      <c r="O18" s="48"/>
      <c r="P18" s="48"/>
      <c r="Q18" s="48"/>
      <c r="R18" s="48"/>
      <c r="S18" s="48">
        <f t="shared" si="4"/>
        <v>6.0526515151515144E-2</v>
      </c>
      <c r="T18" s="48">
        <f t="shared" si="5"/>
        <v>4.7174242424242424E-2</v>
      </c>
      <c r="U18" s="48">
        <f t="shared" si="6"/>
        <v>3.1814393939393934E-2</v>
      </c>
      <c r="V18" s="48">
        <f>L18*(0.19*0.543+0.25*0.25)/(0.19+0.25)</f>
        <v>6.2753787878787881E-2</v>
      </c>
      <c r="W18" s="48">
        <f t="shared" si="7"/>
        <v>4.0003787878787882E-2</v>
      </c>
      <c r="X18" s="117">
        <f t="shared" si="1"/>
        <v>6.2753787878787881E-2</v>
      </c>
      <c r="Y18" s="117">
        <f t="shared" si="2"/>
        <v>0.27666666666666373</v>
      </c>
      <c r="Z18" s="117">
        <f t="shared" si="3"/>
        <v>4.611111111111299E-2</v>
      </c>
    </row>
    <row r="19" spans="1:26" x14ac:dyDescent="0.25">
      <c r="A19" s="5" t="str">
        <f>Plantilla!A18</f>
        <v>#9</v>
      </c>
      <c r="B19" s="264" t="str">
        <f>Plantilla!D18</f>
        <v>M. Bondarewski</v>
      </c>
      <c r="C19" s="5">
        <f>Plantilla!E18</f>
        <v>22</v>
      </c>
      <c r="D19" s="465">
        <f ca="1">Plantilla!F18</f>
        <v>36</v>
      </c>
      <c r="E19" s="49">
        <f>Plantilla!X18</f>
        <v>0</v>
      </c>
      <c r="F19" s="49">
        <f>Plantilla!Y18</f>
        <v>2</v>
      </c>
      <c r="G19" s="49">
        <f>Plantilla!Z18</f>
        <v>13</v>
      </c>
      <c r="H19" s="49">
        <f>Plantilla!AA18</f>
        <v>5</v>
      </c>
      <c r="I19" s="49">
        <f>Plantilla!AB18</f>
        <v>4</v>
      </c>
      <c r="J19" s="49">
        <f>Plantilla!AC18</f>
        <v>8</v>
      </c>
      <c r="K19" s="49">
        <f>Plantilla!AD18</f>
        <v>17</v>
      </c>
      <c r="L19" s="97">
        <f>1/6</f>
        <v>0.16666666666666666</v>
      </c>
      <c r="M19" s="97">
        <f t="shared" si="0"/>
        <v>2.7777777777777776E-2</v>
      </c>
      <c r="N19" s="49"/>
      <c r="O19" s="48"/>
      <c r="P19" s="48"/>
      <c r="Q19" s="48"/>
      <c r="R19" s="48"/>
      <c r="S19" s="48">
        <f t="shared" si="4"/>
        <v>6.0526515151515144E-2</v>
      </c>
      <c r="T19" s="48">
        <f t="shared" si="5"/>
        <v>4.7174242424242424E-2</v>
      </c>
      <c r="U19" s="48">
        <f t="shared" si="6"/>
        <v>3.1814393939393934E-2</v>
      </c>
      <c r="V19" s="48">
        <f>L19*(0.19*0.543+0.25*0.324)/(0.19+0.25)</f>
        <v>6.9761363636363635E-2</v>
      </c>
      <c r="W19" s="48">
        <f t="shared" si="7"/>
        <v>4.0003787878787882E-2</v>
      </c>
      <c r="X19" s="117">
        <f t="shared" si="1"/>
        <v>6.9761363636363635E-2</v>
      </c>
      <c r="Y19" s="117">
        <f t="shared" si="2"/>
        <v>0.27666666666666373</v>
      </c>
      <c r="Z19" s="117">
        <f t="shared" si="3"/>
        <v>4.6111111111109437E-2</v>
      </c>
    </row>
    <row r="20" spans="1:26" x14ac:dyDescent="0.25">
      <c r="A20" s="5" t="str">
        <f>Plantilla!A19</f>
        <v>#12</v>
      </c>
      <c r="B20" s="264" t="str">
        <f>Plantilla!D19</f>
        <v>P. Tuderek</v>
      </c>
      <c r="C20" s="5">
        <f>Plantilla!E19</f>
        <v>22</v>
      </c>
      <c r="D20" s="465">
        <f ca="1">Plantilla!F19</f>
        <v>22</v>
      </c>
      <c r="E20" s="49">
        <f>Plantilla!X19</f>
        <v>0</v>
      </c>
      <c r="F20" s="49">
        <f>Plantilla!Y19</f>
        <v>6</v>
      </c>
      <c r="G20" s="49">
        <f>Plantilla!Z19</f>
        <v>12</v>
      </c>
      <c r="H20" s="49">
        <f>Plantilla!AA19</f>
        <v>2</v>
      </c>
      <c r="I20" s="49">
        <f>Plantilla!AB19</f>
        <v>3</v>
      </c>
      <c r="J20" s="49">
        <f>Plantilla!AC19</f>
        <v>6</v>
      </c>
      <c r="K20" s="49">
        <f>Plantilla!AD19</f>
        <v>17.25</v>
      </c>
      <c r="L20" s="97">
        <f>1/5</f>
        <v>0.2</v>
      </c>
      <c r="M20" s="97">
        <f t="shared" si="0"/>
        <v>3.3333333333333333E-2</v>
      </c>
      <c r="N20" s="49"/>
      <c r="O20" s="48"/>
      <c r="P20" s="48"/>
      <c r="Q20" s="48"/>
      <c r="R20" s="48"/>
      <c r="S20" s="48">
        <f t="shared" si="4"/>
        <v>7.2631818181818186E-2</v>
      </c>
      <c r="T20" s="48">
        <f t="shared" si="5"/>
        <v>5.6609090909090908E-2</v>
      </c>
      <c r="U20" s="48">
        <f t="shared" si="6"/>
        <v>3.8177272727272726E-2</v>
      </c>
      <c r="V20" s="48">
        <f>L20*(0.19*0.543+0.25*0.25)/(0.19+0.25)</f>
        <v>7.5304545454545457E-2</v>
      </c>
      <c r="W20" s="48">
        <f t="shared" si="7"/>
        <v>4.8004545454545459E-2</v>
      </c>
      <c r="X20" s="117">
        <f t="shared" si="1"/>
        <v>7.5304545454545457E-2</v>
      </c>
      <c r="Y20" s="117">
        <f t="shared" si="2"/>
        <v>0.33200000000000074</v>
      </c>
      <c r="Z20" s="117">
        <f t="shared" si="3"/>
        <v>5.5333333333337009E-2</v>
      </c>
    </row>
    <row r="21" spans="1:26" x14ac:dyDescent="0.25">
      <c r="A21" s="5" t="str">
        <f>Plantilla!A20</f>
        <v>#10</v>
      </c>
      <c r="B21" s="264" t="str">
        <f>Plantilla!D20</f>
        <v>R. Forsyth</v>
      </c>
      <c r="C21" s="5">
        <f>Plantilla!E20</f>
        <v>22</v>
      </c>
      <c r="D21" s="465">
        <f ca="1">Plantilla!F20</f>
        <v>77</v>
      </c>
      <c r="E21" s="49">
        <f>Plantilla!X20</f>
        <v>0</v>
      </c>
      <c r="F21" s="49">
        <f>Plantilla!Y20</f>
        <v>7</v>
      </c>
      <c r="G21" s="49">
        <f>Plantilla!Z20</f>
        <v>13</v>
      </c>
      <c r="H21" s="49">
        <f>Plantilla!AA20</f>
        <v>3</v>
      </c>
      <c r="I21" s="49">
        <f>Plantilla!AB20</f>
        <v>4</v>
      </c>
      <c r="J21" s="49">
        <f>Plantilla!AC20</f>
        <v>6</v>
      </c>
      <c r="K21" s="49">
        <f>Plantilla!AD20</f>
        <v>15</v>
      </c>
      <c r="L21" s="97">
        <f>1/5</f>
        <v>0.2</v>
      </c>
      <c r="M21" s="97">
        <f t="shared" si="0"/>
        <v>3.3333333333333333E-2</v>
      </c>
      <c r="N21" s="49"/>
      <c r="O21" s="48"/>
      <c r="P21" s="48"/>
      <c r="Q21" s="48"/>
      <c r="R21" s="48"/>
      <c r="S21" s="48">
        <f t="shared" si="4"/>
        <v>7.2631818181818186E-2</v>
      </c>
      <c r="T21" s="48">
        <f t="shared" si="5"/>
        <v>5.6609090909090908E-2</v>
      </c>
      <c r="U21" s="48">
        <f t="shared" si="6"/>
        <v>3.8177272727272726E-2</v>
      </c>
      <c r="V21" s="48">
        <f>L21*(0.19*0.543+0.25*0.25)/(0.19+0.25)</f>
        <v>7.5304545454545457E-2</v>
      </c>
      <c r="W21" s="48">
        <f t="shared" si="7"/>
        <v>4.8004545454545459E-2</v>
      </c>
      <c r="X21" s="117">
        <f t="shared" si="1"/>
        <v>7.5304545454545457E-2</v>
      </c>
      <c r="Y21" s="117">
        <f t="shared" si="2"/>
        <v>0.33200000000000074</v>
      </c>
      <c r="Z21" s="117">
        <f t="shared" si="3"/>
        <v>5.5333333333329904E-2</v>
      </c>
    </row>
    <row r="22" spans="1:26" x14ac:dyDescent="0.25">
      <c r="A22" s="5" t="str">
        <f>Plantilla!A22</f>
        <v>#11</v>
      </c>
      <c r="B22" s="264" t="str">
        <f>Plantilla!D22</f>
        <v>J-P. Kechele</v>
      </c>
      <c r="C22" s="5">
        <f>Plantilla!E22</f>
        <v>29</v>
      </c>
      <c r="D22" s="465">
        <f ca="1">Plantilla!F22</f>
        <v>110</v>
      </c>
      <c r="E22" s="49">
        <f>Plantilla!X22</f>
        <v>0</v>
      </c>
      <c r="F22" s="49">
        <f>Plantilla!Y22</f>
        <v>4</v>
      </c>
      <c r="G22" s="49">
        <f>Plantilla!Z22</f>
        <v>14</v>
      </c>
      <c r="H22" s="49">
        <f>Plantilla!AA22</f>
        <v>4</v>
      </c>
      <c r="I22" s="49">
        <f>Plantilla!AB22</f>
        <v>9</v>
      </c>
      <c r="J22" s="49">
        <f>Plantilla!AC22</f>
        <v>8</v>
      </c>
      <c r="K22" s="49">
        <f>Plantilla!AD22</f>
        <v>19.25</v>
      </c>
      <c r="L22" s="97"/>
      <c r="M22" s="97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7"/>
      <c r="Y22" s="117"/>
      <c r="Z22" s="117"/>
    </row>
    <row r="23" spans="1:26" x14ac:dyDescent="0.25">
      <c r="A23" s="5" t="str">
        <f>Plantilla!A23</f>
        <v>#29</v>
      </c>
      <c r="B23" s="264" t="str">
        <f>Plantilla!D23</f>
        <v>S. Zobbe</v>
      </c>
      <c r="C23" s="5">
        <f>Plantilla!E23</f>
        <v>36</v>
      </c>
      <c r="D23" s="465">
        <f ca="1">Plantilla!F23</f>
        <v>0</v>
      </c>
      <c r="E23" s="49">
        <f>Plantilla!X23</f>
        <v>0</v>
      </c>
      <c r="F23" s="49">
        <f>Plantilla!Y23</f>
        <v>7.95</v>
      </c>
      <c r="G23" s="49">
        <f>Plantilla!Z23</f>
        <v>11.95</v>
      </c>
      <c r="H23" s="49">
        <f>Plantilla!AA23</f>
        <v>11.95</v>
      </c>
      <c r="I23" s="49">
        <f>Plantilla!AB23</f>
        <v>9.9499999999999993</v>
      </c>
      <c r="J23" s="49">
        <f>Plantilla!AC23</f>
        <v>4.95</v>
      </c>
      <c r="K23" s="49">
        <f>Plantilla!AD23</f>
        <v>18</v>
      </c>
      <c r="L23" s="97"/>
      <c r="M23" s="97"/>
      <c r="N23" s="49"/>
      <c r="O23" s="48"/>
      <c r="P23" s="48"/>
      <c r="Q23" s="48"/>
      <c r="R23" s="48"/>
      <c r="S23" s="48"/>
      <c r="T23" s="48"/>
      <c r="U23" s="48"/>
      <c r="V23" s="48"/>
      <c r="W23" s="48"/>
      <c r="X23" s="117"/>
      <c r="Y23" s="117"/>
      <c r="Z23" s="117"/>
    </row>
    <row r="24" spans="1:26" x14ac:dyDescent="0.25">
      <c r="A24" s="5" t="str">
        <f>Plantilla!A24</f>
        <v>#28</v>
      </c>
      <c r="B24" s="264" t="str">
        <f>Plantilla!D24</f>
        <v>P .Trivadi</v>
      </c>
      <c r="C24" s="5">
        <f>Plantilla!E24</f>
        <v>35</v>
      </c>
      <c r="D24" s="465">
        <f ca="1">Plantilla!F24</f>
        <v>68</v>
      </c>
      <c r="E24" s="49">
        <f>Plantilla!X24</f>
        <v>0</v>
      </c>
      <c r="F24" s="49">
        <f>Plantilla!Y24</f>
        <v>3.95</v>
      </c>
      <c r="G24" s="49">
        <f>Plantilla!Z24</f>
        <v>5.95</v>
      </c>
      <c r="H24" s="49">
        <f>Plantilla!AA24</f>
        <v>4.95</v>
      </c>
      <c r="I24" s="49">
        <f>Plantilla!AB24</f>
        <v>9.9499999999999993</v>
      </c>
      <c r="J24" s="49">
        <f>Plantilla!AC24</f>
        <v>5.95</v>
      </c>
      <c r="K24" s="49">
        <f>Plantilla!AD24</f>
        <v>15</v>
      </c>
      <c r="S24" s="48"/>
      <c r="T24" s="48"/>
      <c r="U24" s="48"/>
      <c r="V24" s="48"/>
      <c r="W24" s="48"/>
    </row>
    <row r="25" spans="1:26" x14ac:dyDescent="0.25">
      <c r="A25" s="5">
        <f>Plantilla!A25</f>
        <v>0</v>
      </c>
      <c r="B25" s="264">
        <f>Plantilla!D25</f>
        <v>0</v>
      </c>
      <c r="C25" s="5">
        <f>Plantilla!E25</f>
        <v>0</v>
      </c>
      <c r="D25" s="465">
        <f>Plantilla!F25</f>
        <v>0</v>
      </c>
      <c r="E25" s="49">
        <f>Plantilla!X25</f>
        <v>0</v>
      </c>
      <c r="F25" s="49">
        <f>Plantilla!Y25</f>
        <v>0</v>
      </c>
      <c r="G25" s="49">
        <f>Plantilla!Z25</f>
        <v>0</v>
      </c>
      <c r="H25" s="49">
        <f>Plantilla!AA25</f>
        <v>0</v>
      </c>
      <c r="I25" s="49">
        <f>Plantilla!AB25</f>
        <v>0</v>
      </c>
      <c r="J25" s="49">
        <f>Plantilla!AC25</f>
        <v>0</v>
      </c>
      <c r="K25" s="49">
        <f>Plantilla!AD25</f>
        <v>0</v>
      </c>
      <c r="S25" s="48"/>
      <c r="T25" s="48"/>
      <c r="U25" s="48"/>
      <c r="V25" s="48"/>
      <c r="W25" s="48"/>
    </row>
    <row r="26" spans="1:26" x14ac:dyDescent="0.25">
      <c r="A26" s="5">
        <f>Plantilla!A26</f>
        <v>0</v>
      </c>
      <c r="B26" s="264">
        <f>Plantilla!D26</f>
        <v>0</v>
      </c>
      <c r="C26" s="5">
        <f>Plantilla!E26</f>
        <v>0</v>
      </c>
      <c r="D26" s="465">
        <f>Plantilla!F26</f>
        <v>0</v>
      </c>
      <c r="E26" s="49">
        <f>Plantilla!X26</f>
        <v>0</v>
      </c>
      <c r="F26" s="49">
        <f>Plantilla!Y26</f>
        <v>0</v>
      </c>
      <c r="G26" s="49">
        <f>Plantilla!Z26</f>
        <v>0</v>
      </c>
      <c r="H26" s="49">
        <f>Plantilla!AA26</f>
        <v>0</v>
      </c>
      <c r="I26" s="49">
        <f>Plantilla!AB26</f>
        <v>0</v>
      </c>
      <c r="J26" s="49">
        <f>Plantilla!AC26</f>
        <v>0</v>
      </c>
      <c r="K26" s="49">
        <f>Plantilla!AD26</f>
        <v>0</v>
      </c>
      <c r="S26" s="48"/>
      <c r="T26" s="48"/>
      <c r="U26" s="48"/>
      <c r="V26" s="48"/>
      <c r="W26" s="48"/>
    </row>
    <row r="27" spans="1:26" x14ac:dyDescent="0.25">
      <c r="A27" s="5">
        <f>Plantilla!A27</f>
        <v>0</v>
      </c>
      <c r="B27" s="264">
        <f>Plantilla!D27</f>
        <v>0</v>
      </c>
      <c r="C27" s="5">
        <f>Plantilla!E27</f>
        <v>0</v>
      </c>
      <c r="D27" s="465">
        <f>Plantilla!F27</f>
        <v>0</v>
      </c>
      <c r="E27" s="49">
        <f>Plantilla!X27</f>
        <v>0</v>
      </c>
      <c r="F27" s="49">
        <f>Plantilla!Y27</f>
        <v>0</v>
      </c>
      <c r="G27" s="49">
        <f>Plantilla!Z27</f>
        <v>0</v>
      </c>
      <c r="H27" s="49">
        <f>Plantilla!AA27</f>
        <v>0</v>
      </c>
      <c r="I27" s="49">
        <f>Plantilla!AB27</f>
        <v>0</v>
      </c>
      <c r="J27" s="49">
        <f>Plantilla!AC27</f>
        <v>0</v>
      </c>
      <c r="K27" s="49">
        <f>Plantilla!AD27</f>
        <v>0</v>
      </c>
      <c r="S27" s="48"/>
      <c r="T27" s="48"/>
      <c r="U27" s="48"/>
      <c r="V27" s="48"/>
      <c r="W27" s="48"/>
    </row>
  </sheetData>
  <conditionalFormatting sqref="Y4:Z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{2B2BCBDD-516D-D1D2-9E80-083F50A3DC5F}</x14:id>
        </ext>
      </extLst>
    </cfRule>
  </conditionalFormatting>
  <conditionalFormatting sqref="L4:W23 S24:W27">
    <cfRule type="colorScale" priority="2">
      <colorScale>
        <cfvo type="min"/>
        <cfvo type="max"/>
        <color rgb="FFFFEF9C"/>
        <color rgb="FF63BE7B"/>
      </colorScale>
    </cfRule>
  </conditionalFormatting>
  <conditionalFormatting sqref="X4:X2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{472E5994-5F01-F46F-4C09-6E048F287679}</x14:id>
        </ext>
      </extLst>
    </cfRule>
  </conditionalFormatting>
  <conditionalFormatting sqref="E4:K27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2BCBDD-516D-D1D2-9E80-083F50A3D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Y4:Z27</xm:sqref>
        </x14:conditionalFormatting>
        <x14:conditionalFormatting xmlns:xm="http://schemas.microsoft.com/office/excel/2006/main">
          <x14:cfRule type="dataBar" id="{472E5994-5F01-F46F-4C09-6E048F2876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DA9694"/>
  </sheetPr>
  <dimension ref="A1:AE27"/>
  <sheetViews>
    <sheetView workbookViewId="0">
      <selection activeCell="Y2" sqref="Y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8" customWidth="1"/>
    <col min="14" max="14" width="5.28515625" style="58" customWidth="1"/>
    <col min="15" max="15" width="5.85546875" style="58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5.5703125" customWidth="1"/>
    <col min="25" max="25" width="8.28515625" customWidth="1"/>
    <col min="26" max="26" width="7.7109375" customWidth="1"/>
    <col min="29" max="29" width="6" customWidth="1"/>
    <col min="30" max="30" width="13.7109375" customWidth="1"/>
  </cols>
  <sheetData>
    <row r="1" spans="1:31" x14ac:dyDescent="0.25">
      <c r="B1" t="s">
        <v>635</v>
      </c>
      <c r="O1"/>
      <c r="AA1" t="s">
        <v>636</v>
      </c>
      <c r="AD1" t="s">
        <v>637</v>
      </c>
    </row>
    <row r="2" spans="1:31" x14ac:dyDescent="0.25">
      <c r="B2" s="207">
        <v>44035</v>
      </c>
      <c r="O2"/>
      <c r="X2" s="206">
        <f>SUM(X4:X22)</f>
        <v>0.21529836523125997</v>
      </c>
      <c r="Y2" s="206">
        <f>SUM(Y4:Y22)</f>
        <v>2.0033481620718554</v>
      </c>
      <c r="AA2" s="149" t="s">
        <v>85</v>
      </c>
      <c r="AB2" s="149" t="s">
        <v>87</v>
      </c>
      <c r="AD2" s="149" t="s">
        <v>85</v>
      </c>
      <c r="AE2" s="149" t="s">
        <v>87</v>
      </c>
    </row>
    <row r="3" spans="1:31" x14ac:dyDescent="0.25">
      <c r="A3" s="81" t="s">
        <v>638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1">
        <v>0.5</v>
      </c>
      <c r="M3" s="201" t="s">
        <v>200</v>
      </c>
      <c r="N3" s="203" t="s">
        <v>14</v>
      </c>
      <c r="O3" s="203" t="s">
        <v>630</v>
      </c>
      <c r="P3" s="202" t="s">
        <v>640</v>
      </c>
      <c r="Q3" s="202" t="s">
        <v>641</v>
      </c>
      <c r="R3" s="202" t="s">
        <v>642</v>
      </c>
      <c r="S3" s="202" t="s">
        <v>135</v>
      </c>
      <c r="T3" s="202" t="s">
        <v>473</v>
      </c>
      <c r="U3" s="202" t="s">
        <v>643</v>
      </c>
      <c r="V3" s="203" t="s">
        <v>140</v>
      </c>
      <c r="W3" s="203" t="s">
        <v>21</v>
      </c>
      <c r="X3" s="204" t="s">
        <v>647</v>
      </c>
      <c r="Y3" s="204" t="s">
        <v>650</v>
      </c>
      <c r="AA3" t="s">
        <v>14</v>
      </c>
      <c r="AB3" t="s">
        <v>144</v>
      </c>
      <c r="AD3" t="s">
        <v>14</v>
      </c>
      <c r="AE3" t="s">
        <v>144</v>
      </c>
    </row>
    <row r="4" spans="1:31" x14ac:dyDescent="0.25">
      <c r="A4" s="5" t="str">
        <f>Plantilla!A4</f>
        <v>#30</v>
      </c>
      <c r="B4" s="264" t="str">
        <f>Plantilla!D4</f>
        <v>D. Gehmacher</v>
      </c>
      <c r="C4" s="5">
        <f>Plantilla!E4</f>
        <v>38</v>
      </c>
      <c r="D4" s="465">
        <f ca="1">Plantilla!F4</f>
        <v>65</v>
      </c>
      <c r="E4" s="49">
        <f>Plantilla!X4</f>
        <v>14.95</v>
      </c>
      <c r="F4" s="49">
        <f>Plantilla!Y4</f>
        <v>8.9499999999999993</v>
      </c>
      <c r="G4" s="49">
        <f>Plantilla!Z4</f>
        <v>0.95</v>
      </c>
      <c r="H4" s="49">
        <f>Plantilla!AA4</f>
        <v>0</v>
      </c>
      <c r="I4" s="49">
        <f>Plantilla!AB4</f>
        <v>0</v>
      </c>
      <c r="J4" s="49">
        <f>Plantilla!AC4</f>
        <v>0</v>
      </c>
      <c r="K4" s="49">
        <f>Plantilla!AD4</f>
        <v>17.95</v>
      </c>
      <c r="L4" s="97"/>
      <c r="M4" s="97"/>
      <c r="N4" s="49"/>
      <c r="O4" s="48"/>
      <c r="P4" s="48"/>
      <c r="Q4" s="48"/>
      <c r="R4" s="48"/>
      <c r="S4" s="48"/>
      <c r="T4" s="48"/>
      <c r="U4" s="48"/>
      <c r="V4" s="48"/>
      <c r="W4" s="48"/>
      <c r="X4" s="117"/>
      <c r="Y4" s="117"/>
      <c r="AA4" t="s">
        <v>629</v>
      </c>
      <c r="AB4" t="s">
        <v>645</v>
      </c>
      <c r="AD4" t="s">
        <v>629</v>
      </c>
      <c r="AE4" t="str">
        <f>AB4</f>
        <v>B. Pinczehelyi</v>
      </c>
    </row>
    <row r="5" spans="1:31" x14ac:dyDescent="0.25">
      <c r="A5" s="5" t="str">
        <f>Plantilla!A5</f>
        <v>#1</v>
      </c>
      <c r="B5" s="264" t="str">
        <f>Plantilla!D5</f>
        <v>林 (Lin) 光维 (Guangwei)</v>
      </c>
      <c r="C5" s="5">
        <f>Plantilla!E5</f>
        <v>22</v>
      </c>
      <c r="D5" s="465">
        <f ca="1">Plantilla!F5</f>
        <v>104</v>
      </c>
      <c r="E5" s="49">
        <f>Plantilla!X5</f>
        <v>15</v>
      </c>
      <c r="F5" s="49">
        <f>Plantilla!Y5</f>
        <v>5</v>
      </c>
      <c r="G5" s="49">
        <f>Plantilla!Z5</f>
        <v>2</v>
      </c>
      <c r="H5" s="49">
        <f>Plantilla!AA5</f>
        <v>1</v>
      </c>
      <c r="I5" s="49">
        <f>Plantilla!AB5</f>
        <v>5</v>
      </c>
      <c r="J5" s="49">
        <f>Plantilla!AC5</f>
        <v>3</v>
      </c>
      <c r="K5" s="49">
        <f>Plantilla!AD5</f>
        <v>19.25</v>
      </c>
      <c r="L5" s="97"/>
      <c r="M5" s="97"/>
      <c r="N5" s="49"/>
      <c r="O5" s="48"/>
      <c r="P5" s="48"/>
      <c r="Q5" s="48"/>
      <c r="R5" s="48"/>
      <c r="S5" s="48"/>
      <c r="T5" s="48"/>
      <c r="U5" s="48"/>
      <c r="V5" s="48"/>
      <c r="W5" s="48"/>
      <c r="X5" s="117"/>
      <c r="Y5" s="117"/>
      <c r="AA5" t="s">
        <v>630</v>
      </c>
      <c r="AB5" t="s">
        <v>225</v>
      </c>
      <c r="AD5" t="s">
        <v>634</v>
      </c>
      <c r="AE5" t="s">
        <v>218</v>
      </c>
    </row>
    <row r="6" spans="1:31" x14ac:dyDescent="0.25">
      <c r="A6" s="5" t="str">
        <f>Plantilla!A6</f>
        <v>#40</v>
      </c>
      <c r="B6" s="264" t="str">
        <f>Plantilla!D6</f>
        <v>E. Toney</v>
      </c>
      <c r="C6" s="5">
        <f>Plantilla!E6</f>
        <v>39</v>
      </c>
      <c r="D6" s="465">
        <f ca="1">Plantilla!F6</f>
        <v>76</v>
      </c>
      <c r="E6" s="49">
        <f>Plantilla!X6</f>
        <v>0</v>
      </c>
      <c r="F6" s="49">
        <f>Plantilla!Y6</f>
        <v>8.9499999999999975</v>
      </c>
      <c r="G6" s="49">
        <f>Plantilla!Z6</f>
        <v>7.95</v>
      </c>
      <c r="H6" s="49">
        <f>Plantilla!AA6</f>
        <v>4.95</v>
      </c>
      <c r="I6" s="49">
        <f>Plantilla!AB6</f>
        <v>3.95</v>
      </c>
      <c r="J6" s="49">
        <f>Plantilla!AC6</f>
        <v>0</v>
      </c>
      <c r="K6" s="49">
        <f>Plantilla!AD6</f>
        <v>15</v>
      </c>
      <c r="L6" s="97"/>
      <c r="M6" s="97"/>
      <c r="N6" s="49"/>
      <c r="O6" s="48"/>
      <c r="P6" s="48"/>
      <c r="Q6" s="48"/>
      <c r="R6" s="48"/>
      <c r="S6" s="48"/>
      <c r="T6" s="48"/>
      <c r="U6" s="48"/>
      <c r="V6" s="48"/>
      <c r="W6" s="48"/>
      <c r="X6" s="117"/>
      <c r="Y6" s="117"/>
      <c r="AA6" t="s">
        <v>629</v>
      </c>
      <c r="AB6" t="s">
        <v>148</v>
      </c>
      <c r="AD6" t="s">
        <v>132</v>
      </c>
      <c r="AE6" t="s">
        <v>148</v>
      </c>
    </row>
    <row r="7" spans="1:31" x14ac:dyDescent="0.25">
      <c r="A7" s="5" t="str">
        <f>Plantilla!A7</f>
        <v>#36</v>
      </c>
      <c r="B7" s="264" t="str">
        <f>Plantilla!D7</f>
        <v>F. Lasprilla</v>
      </c>
      <c r="C7" s="5">
        <f>Plantilla!E7</f>
        <v>35</v>
      </c>
      <c r="D7" s="465">
        <f ca="1">Plantilla!F7</f>
        <v>84</v>
      </c>
      <c r="E7" s="49">
        <f>Plantilla!X7</f>
        <v>0</v>
      </c>
      <c r="F7" s="49">
        <f>Plantilla!Y7</f>
        <v>8.9499999999999975</v>
      </c>
      <c r="G7" s="49">
        <f>Plantilla!Z7</f>
        <v>7.95</v>
      </c>
      <c r="H7" s="49">
        <f>Plantilla!AA7</f>
        <v>4.95</v>
      </c>
      <c r="I7" s="49">
        <f>Plantilla!AB7</f>
        <v>7.95</v>
      </c>
      <c r="J7" s="49">
        <f>Plantilla!AC7</f>
        <v>0.95</v>
      </c>
      <c r="K7" s="49">
        <f>Plantilla!AD7</f>
        <v>14</v>
      </c>
      <c r="L7" s="97"/>
      <c r="M7" s="97"/>
      <c r="N7" s="49"/>
      <c r="O7" s="48"/>
      <c r="P7" s="48"/>
      <c r="Q7" s="48"/>
      <c r="R7" s="48"/>
      <c r="S7" s="48"/>
      <c r="T7" s="48"/>
      <c r="U7" s="48"/>
      <c r="V7" s="48"/>
      <c r="W7" s="48"/>
      <c r="X7" s="117"/>
      <c r="Y7" s="117"/>
      <c r="AA7" t="s">
        <v>473</v>
      </c>
      <c r="AB7" t="s">
        <v>155</v>
      </c>
      <c r="AD7" t="s">
        <v>634</v>
      </c>
      <c r="AE7" t="s">
        <v>214</v>
      </c>
    </row>
    <row r="8" spans="1:31" x14ac:dyDescent="0.25">
      <c r="A8" s="5" t="str">
        <f>Plantilla!A8</f>
        <v>#31</v>
      </c>
      <c r="B8" s="264" t="str">
        <f>Plantilla!D8</f>
        <v>E. Romweber</v>
      </c>
      <c r="C8" s="5">
        <f>Plantilla!E8</f>
        <v>39</v>
      </c>
      <c r="D8" s="465">
        <f ca="1">Plantilla!F8</f>
        <v>38</v>
      </c>
      <c r="E8" s="49">
        <f>Plantilla!X8</f>
        <v>0</v>
      </c>
      <c r="F8" s="49">
        <f>Plantilla!Y8</f>
        <v>8.9499999999999975</v>
      </c>
      <c r="G8" s="49">
        <f>Plantilla!Z8</f>
        <v>8.9499999999999975</v>
      </c>
      <c r="H8" s="49">
        <f>Plantilla!AA8</f>
        <v>8.9499999999999975</v>
      </c>
      <c r="I8" s="49">
        <f>Plantilla!AB8</f>
        <v>6.95</v>
      </c>
      <c r="J8" s="49">
        <f>Plantilla!AC8</f>
        <v>0.95</v>
      </c>
      <c r="K8" s="49">
        <f>Plantilla!AD8</f>
        <v>16</v>
      </c>
      <c r="L8" s="97"/>
      <c r="M8" s="97"/>
      <c r="N8" s="49"/>
      <c r="O8" s="48"/>
      <c r="P8" s="48"/>
      <c r="Q8" s="48"/>
      <c r="R8" s="48"/>
      <c r="S8" s="48"/>
      <c r="T8" s="48"/>
      <c r="U8" s="48"/>
      <c r="V8" s="48"/>
      <c r="W8" s="48"/>
      <c r="X8" s="117"/>
      <c r="Y8" s="117"/>
      <c r="AA8" t="s">
        <v>135</v>
      </c>
      <c r="AB8" t="s">
        <v>237</v>
      </c>
      <c r="AD8" t="s">
        <v>629</v>
      </c>
      <c r="AE8" t="s">
        <v>153</v>
      </c>
    </row>
    <row r="9" spans="1:31" x14ac:dyDescent="0.25">
      <c r="A9" s="5" t="str">
        <f>Plantilla!A21</f>
        <v>#35</v>
      </c>
      <c r="B9" s="264" t="str">
        <f>Plantilla!D21</f>
        <v>S. Buschelman</v>
      </c>
      <c r="C9" s="5">
        <f>Plantilla!E21</f>
        <v>37</v>
      </c>
      <c r="D9" s="465">
        <f ca="1">Plantilla!F21</f>
        <v>109</v>
      </c>
      <c r="E9" s="49">
        <f>Plantilla!X21</f>
        <v>0</v>
      </c>
      <c r="F9" s="49">
        <f>Plantilla!Y21</f>
        <v>7.95</v>
      </c>
      <c r="G9" s="49">
        <f>Plantilla!Z21</f>
        <v>11.95</v>
      </c>
      <c r="H9" s="49">
        <f>Plantilla!AA21</f>
        <v>9.9499999999999993</v>
      </c>
      <c r="I9" s="49">
        <f>Plantilla!AB21</f>
        <v>6.95</v>
      </c>
      <c r="J9" s="49">
        <f>Plantilla!AC21</f>
        <v>0.95</v>
      </c>
      <c r="K9" s="49">
        <f>Plantilla!AD21</f>
        <v>16</v>
      </c>
      <c r="L9" s="97"/>
      <c r="M9" s="97"/>
      <c r="N9" s="49"/>
      <c r="O9" s="48"/>
      <c r="P9" s="48"/>
      <c r="Q9" s="48"/>
      <c r="R9" s="48"/>
      <c r="S9" s="48"/>
      <c r="T9" s="48"/>
      <c r="U9" s="48"/>
      <c r="V9" s="48"/>
      <c r="W9" s="48"/>
      <c r="X9" s="117"/>
      <c r="Y9" s="117"/>
      <c r="AA9" t="s">
        <v>473</v>
      </c>
      <c r="AB9" t="s">
        <v>231</v>
      </c>
      <c r="AD9" t="s">
        <v>473</v>
      </c>
      <c r="AE9" t="s">
        <v>231</v>
      </c>
    </row>
    <row r="10" spans="1:31" x14ac:dyDescent="0.25">
      <c r="A10" s="5" t="str">
        <f>Plantilla!A9</f>
        <v>#2</v>
      </c>
      <c r="B10" s="264" t="str">
        <f>Plantilla!D9</f>
        <v>L. Tutorić</v>
      </c>
      <c r="C10" s="5">
        <f>Plantilla!E9</f>
        <v>29</v>
      </c>
      <c r="D10" s="465">
        <f ca="1">Plantilla!F9</f>
        <v>19</v>
      </c>
      <c r="E10" s="49">
        <f>Plantilla!X9</f>
        <v>0</v>
      </c>
      <c r="F10" s="49">
        <f>Plantilla!Y9</f>
        <v>13</v>
      </c>
      <c r="G10" s="49">
        <f>Plantilla!Z9</f>
        <v>6</v>
      </c>
      <c r="H10" s="49">
        <f>Plantilla!AA9</f>
        <v>2</v>
      </c>
      <c r="I10" s="49">
        <f>Plantilla!AB9</f>
        <v>1</v>
      </c>
      <c r="J10" s="49">
        <f>Plantilla!AC9</f>
        <v>7</v>
      </c>
      <c r="K10" s="49">
        <f>Plantilla!AD9</f>
        <v>15.333333333333334</v>
      </c>
      <c r="L10" s="97"/>
      <c r="M10" s="97"/>
      <c r="N10" s="49"/>
      <c r="O10" s="48"/>
      <c r="P10" s="48"/>
      <c r="Q10" s="48"/>
      <c r="R10" s="48"/>
      <c r="S10" s="48"/>
      <c r="T10" s="48"/>
      <c r="U10" s="48"/>
      <c r="V10" s="48"/>
      <c r="W10" s="48"/>
      <c r="X10" s="117"/>
      <c r="Y10" s="117"/>
      <c r="AA10" t="s">
        <v>476</v>
      </c>
      <c r="AB10" t="s">
        <v>153</v>
      </c>
      <c r="AD10" t="s">
        <v>473</v>
      </c>
      <c r="AE10" t="s">
        <v>155</v>
      </c>
    </row>
    <row r="11" spans="1:31" x14ac:dyDescent="0.25">
      <c r="A11" s="5" t="str">
        <f>Plantilla!A10</f>
        <v>#2</v>
      </c>
      <c r="B11" s="264" t="str">
        <f>Plantilla!D10</f>
        <v>S. Swärdborn</v>
      </c>
      <c r="C11" s="5">
        <f>Plantilla!E10</f>
        <v>22</v>
      </c>
      <c r="D11" s="465">
        <f ca="1">Plantilla!F10</f>
        <v>21</v>
      </c>
      <c r="E11" s="49">
        <f>Plantilla!X10</f>
        <v>0</v>
      </c>
      <c r="F11" s="49">
        <f>Plantilla!Y10</f>
        <v>12</v>
      </c>
      <c r="G11" s="49">
        <f>Plantilla!Z10</f>
        <v>7</v>
      </c>
      <c r="H11" s="49">
        <f>Plantilla!AA10</f>
        <v>1</v>
      </c>
      <c r="I11" s="49">
        <f>Plantilla!AB10</f>
        <v>3</v>
      </c>
      <c r="J11" s="49">
        <f>Plantilla!AC10</f>
        <v>6</v>
      </c>
      <c r="K11" s="49">
        <f>Plantilla!AD10</f>
        <v>15.333333333333334</v>
      </c>
      <c r="L11" s="97">
        <f>1/9.5</f>
        <v>0.10526315789473684</v>
      </c>
      <c r="M11" s="97">
        <f>1/35</f>
        <v>2.8571428571428571E-2</v>
      </c>
      <c r="N11" s="49">
        <v>0</v>
      </c>
      <c r="O11" s="48">
        <v>0</v>
      </c>
      <c r="P11" s="48">
        <v>0</v>
      </c>
      <c r="Q11" s="48">
        <v>0</v>
      </c>
      <c r="R11" s="48">
        <v>0</v>
      </c>
      <c r="S11" s="48"/>
      <c r="T11" s="48"/>
      <c r="U11" s="48"/>
      <c r="V11" s="48"/>
      <c r="W11" s="48"/>
      <c r="X11" s="117">
        <f t="shared" ref="X11:X21" si="0">MAX(N11:W11)</f>
        <v>0</v>
      </c>
      <c r="Y11" s="117">
        <f t="shared" ref="Y11:Y21" si="1">(1.66*(J11+L11)+0.55*(K11+M11)-7.6)-(1.66*(J11)+0.55*(K11)-7.6)</f>
        <v>0.19045112781955353</v>
      </c>
      <c r="AA11" t="s">
        <v>476</v>
      </c>
      <c r="AB11" t="s">
        <v>238</v>
      </c>
      <c r="AD11" t="s">
        <v>476</v>
      </c>
      <c r="AE11" t="s">
        <v>238</v>
      </c>
    </row>
    <row r="12" spans="1:31" x14ac:dyDescent="0.25">
      <c r="A12" s="5" t="str">
        <f>Plantilla!A11</f>
        <v>#19</v>
      </c>
      <c r="B12" s="264" t="str">
        <f>Plantilla!D11</f>
        <v>A. Grimaud</v>
      </c>
      <c r="C12" s="5">
        <f>Plantilla!E11</f>
        <v>22</v>
      </c>
      <c r="D12" s="465">
        <f ca="1">Plantilla!F11</f>
        <v>44</v>
      </c>
      <c r="E12" s="49">
        <f>Plantilla!X11</f>
        <v>0</v>
      </c>
      <c r="F12" s="49">
        <f>Plantilla!Y11</f>
        <v>12</v>
      </c>
      <c r="G12" s="49">
        <f>Plantilla!Z11</f>
        <v>7</v>
      </c>
      <c r="H12" s="49">
        <f>Plantilla!AA11</f>
        <v>3</v>
      </c>
      <c r="I12" s="49">
        <f>Plantilla!AB11</f>
        <v>3</v>
      </c>
      <c r="J12" s="49">
        <f>Plantilla!AC11</f>
        <v>5</v>
      </c>
      <c r="K12" s="49">
        <f>Plantilla!AD11</f>
        <v>14.333333333333334</v>
      </c>
      <c r="L12" s="97">
        <f>1/8</f>
        <v>0.125</v>
      </c>
      <c r="M12" s="97">
        <f>1/27</f>
        <v>3.7037037037037035E-2</v>
      </c>
      <c r="N12" s="49">
        <v>0</v>
      </c>
      <c r="O12" s="48">
        <v>0</v>
      </c>
      <c r="P12" s="48">
        <v>0</v>
      </c>
      <c r="Q12" s="48">
        <v>0</v>
      </c>
      <c r="R12" s="48">
        <v>0</v>
      </c>
      <c r="S12" s="48"/>
      <c r="T12" s="48"/>
      <c r="U12" s="48"/>
      <c r="V12" s="48"/>
      <c r="W12" s="48"/>
      <c r="X12" s="117">
        <f t="shared" si="0"/>
        <v>0</v>
      </c>
      <c r="Y12" s="117">
        <f t="shared" si="1"/>
        <v>0.22787037037037194</v>
      </c>
      <c r="AA12" t="s">
        <v>21</v>
      </c>
      <c r="AB12" t="s">
        <v>234</v>
      </c>
      <c r="AD12" t="s">
        <v>476</v>
      </c>
      <c r="AE12" t="s">
        <v>186</v>
      </c>
    </row>
    <row r="13" spans="1:31" x14ac:dyDescent="0.25">
      <c r="A13" s="5" t="str">
        <f>Plantilla!A12</f>
        <v>#22</v>
      </c>
      <c r="B13" s="264" t="str">
        <f>Plantilla!D12</f>
        <v>V. Gardner</v>
      </c>
      <c r="C13" s="5">
        <f>Plantilla!E12</f>
        <v>22</v>
      </c>
      <c r="D13" s="465">
        <f ca="1">Plantilla!F12</f>
        <v>33</v>
      </c>
      <c r="E13" s="49">
        <f>Plantilla!X12</f>
        <v>0</v>
      </c>
      <c r="F13" s="49">
        <f>Plantilla!Y12</f>
        <v>12</v>
      </c>
      <c r="G13" s="49">
        <f>Plantilla!Z12</f>
        <v>5</v>
      </c>
      <c r="H13" s="49">
        <f>Plantilla!AA12</f>
        <v>3</v>
      </c>
      <c r="I13" s="49">
        <f>Plantilla!AB12</f>
        <v>5</v>
      </c>
      <c r="J13" s="49">
        <f>Plantilla!AC12</f>
        <v>6</v>
      </c>
      <c r="K13" s="49">
        <f>Plantilla!AD12</f>
        <v>16</v>
      </c>
      <c r="L13" s="97">
        <f>1/9.5</f>
        <v>0.10526315789473684</v>
      </c>
      <c r="M13" s="97">
        <f>1/35</f>
        <v>2.8571428571428571E-2</v>
      </c>
      <c r="N13" s="49">
        <v>0</v>
      </c>
      <c r="O13" s="48">
        <v>0</v>
      </c>
      <c r="P13" s="48">
        <v>0</v>
      </c>
      <c r="Q13" s="48">
        <v>0</v>
      </c>
      <c r="R13" s="48">
        <v>0</v>
      </c>
      <c r="S13" s="48"/>
      <c r="T13" s="48"/>
      <c r="U13" s="48"/>
      <c r="V13" s="48"/>
      <c r="W13" s="48"/>
      <c r="X13" s="117">
        <f t="shared" si="0"/>
        <v>0</v>
      </c>
      <c r="Y13" s="117">
        <f t="shared" si="1"/>
        <v>0.19045112781954998</v>
      </c>
      <c r="AA13" t="s">
        <v>21</v>
      </c>
      <c r="AB13" t="s">
        <v>186</v>
      </c>
      <c r="AD13" t="s">
        <v>21</v>
      </c>
      <c r="AE13" t="s">
        <v>234</v>
      </c>
    </row>
    <row r="14" spans="1:31" x14ac:dyDescent="0.25">
      <c r="A14" s="5" t="str">
        <f>Plantilla!A13</f>
        <v>#3</v>
      </c>
      <c r="B14" s="264" t="str">
        <f>Plantilla!D13</f>
        <v>S. Embe</v>
      </c>
      <c r="C14" s="5">
        <f>Plantilla!E13</f>
        <v>22</v>
      </c>
      <c r="D14" s="465">
        <f ca="1">Plantilla!F13</f>
        <v>89</v>
      </c>
      <c r="E14" s="49">
        <f>Plantilla!X13</f>
        <v>0</v>
      </c>
      <c r="F14" s="49">
        <f>Plantilla!Y13</f>
        <v>11</v>
      </c>
      <c r="G14" s="49">
        <f>Plantilla!Z13</f>
        <v>4</v>
      </c>
      <c r="H14" s="49">
        <f>Plantilla!AA13</f>
        <v>1</v>
      </c>
      <c r="I14" s="49">
        <f>Plantilla!AB13</f>
        <v>5</v>
      </c>
      <c r="J14" s="49">
        <f>Plantilla!AC13</f>
        <v>6</v>
      </c>
      <c r="K14" s="49">
        <f>Plantilla!AD13</f>
        <v>17.333333333333332</v>
      </c>
      <c r="L14" s="97">
        <f>1/9.5</f>
        <v>0.10526315789473684</v>
      </c>
      <c r="M14" s="97">
        <f>1/80</f>
        <v>1.2500000000000001E-2</v>
      </c>
      <c r="N14" s="49">
        <v>0</v>
      </c>
      <c r="O14" s="48">
        <v>0</v>
      </c>
      <c r="P14" s="48">
        <v>0</v>
      </c>
      <c r="Q14" s="48">
        <v>0</v>
      </c>
      <c r="R14" s="48">
        <v>0</v>
      </c>
      <c r="S14" s="48"/>
      <c r="T14" s="48"/>
      <c r="U14" s="48"/>
      <c r="V14" s="48"/>
      <c r="W14" s="48"/>
      <c r="X14" s="117">
        <f t="shared" si="0"/>
        <v>0</v>
      </c>
      <c r="Y14" s="117">
        <f t="shared" si="1"/>
        <v>0.18161184210526216</v>
      </c>
    </row>
    <row r="15" spans="1:31" x14ac:dyDescent="0.25">
      <c r="A15" s="5" t="str">
        <f>Plantilla!A14</f>
        <v>#4</v>
      </c>
      <c r="B15" s="264" t="str">
        <f>Plantilla!D14</f>
        <v>E. Deus</v>
      </c>
      <c r="C15" s="5">
        <f>Plantilla!E14</f>
        <v>21</v>
      </c>
      <c r="D15" s="465">
        <f ca="1">Plantilla!F14</f>
        <v>72</v>
      </c>
      <c r="E15" s="49">
        <f>Plantilla!X14</f>
        <v>0</v>
      </c>
      <c r="F15" s="49">
        <f>Plantilla!Y14</f>
        <v>11</v>
      </c>
      <c r="G15" s="49">
        <f>Plantilla!Z14</f>
        <v>7</v>
      </c>
      <c r="H15" s="49">
        <f>Plantilla!AA14</f>
        <v>1</v>
      </c>
      <c r="I15" s="49">
        <f>Plantilla!AB14</f>
        <v>6</v>
      </c>
      <c r="J15" s="49">
        <f>Plantilla!AC14</f>
        <v>5</v>
      </c>
      <c r="K15" s="49">
        <f>Plantilla!AD14</f>
        <v>15.333333333333334</v>
      </c>
      <c r="L15" s="97">
        <f>1/8</f>
        <v>0.125</v>
      </c>
      <c r="M15" s="97">
        <f>1/35</f>
        <v>2.8571428571428571E-2</v>
      </c>
      <c r="N15" s="49">
        <v>0</v>
      </c>
      <c r="O15" s="48">
        <v>0</v>
      </c>
      <c r="P15" s="48">
        <v>0</v>
      </c>
      <c r="Q15" s="48">
        <v>0</v>
      </c>
      <c r="R15" s="48">
        <v>0</v>
      </c>
      <c r="S15" s="48"/>
      <c r="T15" s="48"/>
      <c r="U15" s="48"/>
      <c r="V15" s="48"/>
      <c r="W15" s="48"/>
      <c r="X15" s="117">
        <f t="shared" si="0"/>
        <v>0</v>
      </c>
      <c r="Y15" s="117">
        <f t="shared" si="1"/>
        <v>0.2232142857142847</v>
      </c>
    </row>
    <row r="16" spans="1:31" x14ac:dyDescent="0.25">
      <c r="A16" s="5" t="str">
        <f>Plantilla!A15</f>
        <v>#16</v>
      </c>
      <c r="B16" s="264" t="str">
        <f>Plantilla!D15</f>
        <v>I. Vanags</v>
      </c>
      <c r="C16" s="5">
        <f>Plantilla!E15</f>
        <v>22</v>
      </c>
      <c r="D16" s="465">
        <f ca="1">Plantilla!F15</f>
        <v>20</v>
      </c>
      <c r="E16" s="49">
        <f>Plantilla!X15</f>
        <v>0</v>
      </c>
      <c r="F16" s="49">
        <f>Plantilla!Y15</f>
        <v>4</v>
      </c>
      <c r="G16" s="49">
        <f>Plantilla!Z15</f>
        <v>13</v>
      </c>
      <c r="H16" s="49">
        <f>Plantilla!AA15</f>
        <v>3</v>
      </c>
      <c r="I16" s="49">
        <f>Plantilla!AB15</f>
        <v>4</v>
      </c>
      <c r="J16" s="49">
        <f>Plantilla!AC15</f>
        <v>7</v>
      </c>
      <c r="K16" s="49">
        <f>Plantilla!AD15</f>
        <v>16.333333333333332</v>
      </c>
      <c r="L16" s="97">
        <f>1/10</f>
        <v>0.1</v>
      </c>
      <c r="M16" s="97">
        <f>1/45</f>
        <v>2.2222222222222223E-2</v>
      </c>
      <c r="N16" s="49"/>
      <c r="O16" s="48"/>
      <c r="P16" s="48"/>
      <c r="Q16" s="48"/>
      <c r="R16" s="48"/>
      <c r="S16" s="48">
        <f t="shared" ref="S16:S21" si="2">L16*(0.19*0.341+0.25*0.253+0.25*0.127)/(0.19+0.25)</f>
        <v>3.6315909090909093E-2</v>
      </c>
      <c r="T16" s="48">
        <f t="shared" ref="T16:T21" si="3">L16*(0.19*0.241+0.25*0.315)/(0.19+0.25)</f>
        <v>2.8304545454545454E-2</v>
      </c>
      <c r="U16" s="48">
        <f t="shared" ref="U16:U21" si="4">L16*(0.19*0.121+0.25*0.244)/(0.19+0.25)</f>
        <v>1.9088636363636363E-2</v>
      </c>
      <c r="V16" s="48">
        <f>L16*(0.19*0.543+0.25*0.324)/(0.19+0.25)</f>
        <v>4.1856818181818183E-2</v>
      </c>
      <c r="W16" s="48">
        <f t="shared" ref="W16:W21" si="5">L16*(0.19*0.369+0.25*0.142)/(0.19+0.25)</f>
        <v>2.400227272727273E-2</v>
      </c>
      <c r="X16" s="117">
        <f t="shared" si="0"/>
        <v>4.1856818181818183E-2</v>
      </c>
      <c r="Y16" s="117">
        <f t="shared" si="1"/>
        <v>0.1782222222222245</v>
      </c>
    </row>
    <row r="17" spans="1:25" x14ac:dyDescent="0.25">
      <c r="A17" s="5" t="str">
        <f>Plantilla!A16</f>
        <v>#8</v>
      </c>
      <c r="B17" s="264" t="str">
        <f>Plantilla!D16</f>
        <v>I. Stone</v>
      </c>
      <c r="C17" s="5">
        <f>Plantilla!E16</f>
        <v>21</v>
      </c>
      <c r="D17" s="465">
        <f ca="1">Plantilla!F16</f>
        <v>75</v>
      </c>
      <c r="E17" s="49">
        <f>Plantilla!X16</f>
        <v>0</v>
      </c>
      <c r="F17" s="49">
        <f>Plantilla!Y16</f>
        <v>3</v>
      </c>
      <c r="G17" s="49">
        <f>Plantilla!Z16</f>
        <v>12</v>
      </c>
      <c r="H17" s="49">
        <f>Plantilla!AA16</f>
        <v>2</v>
      </c>
      <c r="I17" s="49">
        <f>Plantilla!AB16</f>
        <v>6</v>
      </c>
      <c r="J17" s="49">
        <f>Plantilla!AC16</f>
        <v>9</v>
      </c>
      <c r="K17" s="49">
        <f>Plantilla!AD16</f>
        <v>15.333333333333334</v>
      </c>
      <c r="L17" s="97">
        <f>1/14</f>
        <v>7.1428571428571425E-2</v>
      </c>
      <c r="M17" s="97">
        <f>1/35</f>
        <v>2.8571428571428571E-2</v>
      </c>
      <c r="N17" s="49"/>
      <c r="O17" s="48"/>
      <c r="P17" s="48"/>
      <c r="Q17" s="48"/>
      <c r="R17" s="48"/>
      <c r="S17" s="48">
        <f t="shared" si="2"/>
        <v>2.5939935064935062E-2</v>
      </c>
      <c r="T17" s="48">
        <f t="shared" si="3"/>
        <v>2.0217532467532464E-2</v>
      </c>
      <c r="U17" s="48">
        <f t="shared" si="4"/>
        <v>1.3634740259740258E-2</v>
      </c>
      <c r="V17" s="48">
        <f>L17*(0.19*0.543+0.25*0.324)/(0.19+0.25)</f>
        <v>2.9897727272727274E-2</v>
      </c>
      <c r="W17" s="48">
        <f t="shared" si="5"/>
        <v>1.7144480519480521E-2</v>
      </c>
      <c r="X17" s="117">
        <f t="shared" si="0"/>
        <v>2.9897727272727274E-2</v>
      </c>
      <c r="Y17" s="117">
        <f t="shared" si="1"/>
        <v>0.13428571428571345</v>
      </c>
    </row>
    <row r="18" spans="1:25" x14ac:dyDescent="0.25">
      <c r="A18" s="5" t="str">
        <f>Plantilla!A17</f>
        <v>#14</v>
      </c>
      <c r="B18" s="264" t="str">
        <f>Plantilla!D17</f>
        <v>G. Piscaer</v>
      </c>
      <c r="C18" s="5">
        <f>Plantilla!E17</f>
        <v>22</v>
      </c>
      <c r="D18" s="465">
        <f ca="1">Plantilla!F17</f>
        <v>36</v>
      </c>
      <c r="E18" s="49">
        <f>Plantilla!X17</f>
        <v>0</v>
      </c>
      <c r="F18" s="49">
        <f>Plantilla!Y17</f>
        <v>4</v>
      </c>
      <c r="G18" s="49">
        <f>Plantilla!Z17</f>
        <v>13</v>
      </c>
      <c r="H18" s="49">
        <f>Plantilla!AA17</f>
        <v>3</v>
      </c>
      <c r="I18" s="49">
        <f>Plantilla!AB17</f>
        <v>2</v>
      </c>
      <c r="J18" s="49">
        <f>Plantilla!AC17</f>
        <v>8</v>
      </c>
      <c r="K18" s="49">
        <f>Plantilla!AD17</f>
        <v>14.333333333333334</v>
      </c>
      <c r="L18" s="97">
        <f>1/12</f>
        <v>8.3333333333333329E-2</v>
      </c>
      <c r="M18" s="97">
        <f>1/27</f>
        <v>3.7037037037037035E-2</v>
      </c>
      <c r="N18" s="49"/>
      <c r="O18" s="48"/>
      <c r="P18" s="48"/>
      <c r="Q18" s="48"/>
      <c r="R18" s="48"/>
      <c r="S18" s="48">
        <f t="shared" si="2"/>
        <v>3.0263257575757572E-2</v>
      </c>
      <c r="T18" s="48">
        <f t="shared" si="3"/>
        <v>2.3587121212121212E-2</v>
      </c>
      <c r="U18" s="48">
        <f t="shared" si="4"/>
        <v>1.5907196969696967E-2</v>
      </c>
      <c r="V18" s="48">
        <f>L18*(0.19*0.543+0.25*0.25)/(0.19+0.25)</f>
        <v>3.1376893939393941E-2</v>
      </c>
      <c r="W18" s="48">
        <f t="shared" si="5"/>
        <v>2.0001893939393941E-2</v>
      </c>
      <c r="X18" s="117">
        <f t="shared" si="0"/>
        <v>3.1376893939393941E-2</v>
      </c>
      <c r="Y18" s="117">
        <f t="shared" si="1"/>
        <v>0.15870370370370424</v>
      </c>
    </row>
    <row r="19" spans="1:25" x14ac:dyDescent="0.25">
      <c r="A19" s="5" t="str">
        <f>Plantilla!A18</f>
        <v>#9</v>
      </c>
      <c r="B19" s="264" t="str">
        <f>Plantilla!D18</f>
        <v>M. Bondarewski</v>
      </c>
      <c r="C19" s="5">
        <f>Plantilla!E18</f>
        <v>22</v>
      </c>
      <c r="D19" s="465">
        <f ca="1">Plantilla!F18</f>
        <v>36</v>
      </c>
      <c r="E19" s="49">
        <f>Plantilla!X18</f>
        <v>0</v>
      </c>
      <c r="F19" s="49">
        <f>Plantilla!Y18</f>
        <v>2</v>
      </c>
      <c r="G19" s="49">
        <f>Plantilla!Z18</f>
        <v>13</v>
      </c>
      <c r="H19" s="49">
        <f>Plantilla!AA18</f>
        <v>5</v>
      </c>
      <c r="I19" s="49">
        <f>Plantilla!AB18</f>
        <v>4</v>
      </c>
      <c r="J19" s="49">
        <f>Plantilla!AC18</f>
        <v>8</v>
      </c>
      <c r="K19" s="49">
        <f>Plantilla!AD18</f>
        <v>17</v>
      </c>
      <c r="L19" s="97">
        <f>1/12</f>
        <v>8.3333333333333329E-2</v>
      </c>
      <c r="M19" s="97">
        <f>1/45</f>
        <v>2.2222222222222223E-2</v>
      </c>
      <c r="N19" s="49"/>
      <c r="O19" s="48"/>
      <c r="P19" s="48"/>
      <c r="Q19" s="48"/>
      <c r="R19" s="48"/>
      <c r="S19" s="48">
        <f t="shared" si="2"/>
        <v>3.0263257575757572E-2</v>
      </c>
      <c r="T19" s="48">
        <f t="shared" si="3"/>
        <v>2.3587121212121212E-2</v>
      </c>
      <c r="U19" s="48">
        <f t="shared" si="4"/>
        <v>1.5907196969696967E-2</v>
      </c>
      <c r="V19" s="48">
        <f>L19*(0.19*0.543+0.25*0.324)/(0.19+0.25)</f>
        <v>3.4880681818181818E-2</v>
      </c>
      <c r="W19" s="48">
        <f t="shared" si="5"/>
        <v>2.0001893939393941E-2</v>
      </c>
      <c r="X19" s="117">
        <f t="shared" si="0"/>
        <v>3.4880681818181818E-2</v>
      </c>
      <c r="Y19" s="117">
        <f t="shared" si="1"/>
        <v>0.150555555555556</v>
      </c>
    </row>
    <row r="20" spans="1:25" x14ac:dyDescent="0.25">
      <c r="A20" s="5" t="str">
        <f>Plantilla!A19</f>
        <v>#12</v>
      </c>
      <c r="B20" s="264" t="str">
        <f>Plantilla!D19</f>
        <v>P. Tuderek</v>
      </c>
      <c r="C20" s="5">
        <f>Plantilla!E19</f>
        <v>22</v>
      </c>
      <c r="D20" s="465">
        <f ca="1">Plantilla!F19</f>
        <v>22</v>
      </c>
      <c r="E20" s="49">
        <f>Plantilla!X19</f>
        <v>0</v>
      </c>
      <c r="F20" s="49">
        <f>Plantilla!Y19</f>
        <v>6</v>
      </c>
      <c r="G20" s="49">
        <f>Plantilla!Z19</f>
        <v>12</v>
      </c>
      <c r="H20" s="49">
        <f>Plantilla!AA19</f>
        <v>2</v>
      </c>
      <c r="I20" s="49">
        <f>Plantilla!AB19</f>
        <v>3</v>
      </c>
      <c r="J20" s="49">
        <f>Plantilla!AC19</f>
        <v>6</v>
      </c>
      <c r="K20" s="49">
        <f>Plantilla!AD19</f>
        <v>17.25</v>
      </c>
      <c r="L20" s="97">
        <f>1/9.5</f>
        <v>0.10526315789473684</v>
      </c>
      <c r="M20" s="97">
        <f>1/80</f>
        <v>1.2500000000000001E-2</v>
      </c>
      <c r="N20" s="49"/>
      <c r="O20" s="48"/>
      <c r="P20" s="48"/>
      <c r="Q20" s="48"/>
      <c r="R20" s="48"/>
      <c r="S20" s="48">
        <f t="shared" si="2"/>
        <v>3.8227272727272721E-2</v>
      </c>
      <c r="T20" s="48">
        <f t="shared" si="3"/>
        <v>2.9794258373205738E-2</v>
      </c>
      <c r="U20" s="48">
        <f t="shared" si="4"/>
        <v>2.0093301435406694E-2</v>
      </c>
      <c r="V20" s="48">
        <f>L20*(0.19*0.543+0.25*0.25)/(0.19+0.25)</f>
        <v>3.9633971291866028E-2</v>
      </c>
      <c r="W20" s="48">
        <f t="shared" si="5"/>
        <v>2.5265550239234449E-2</v>
      </c>
      <c r="X20" s="117">
        <f t="shared" si="0"/>
        <v>3.9633971291866028E-2</v>
      </c>
      <c r="Y20" s="117">
        <f t="shared" si="1"/>
        <v>0.18161184210526571</v>
      </c>
    </row>
    <row r="21" spans="1:25" x14ac:dyDescent="0.25">
      <c r="A21" s="5" t="str">
        <f>Plantilla!A20</f>
        <v>#10</v>
      </c>
      <c r="B21" s="264" t="str">
        <f>Plantilla!D20</f>
        <v>R. Forsyth</v>
      </c>
      <c r="C21" s="5">
        <f>Plantilla!E20</f>
        <v>22</v>
      </c>
      <c r="D21" s="465">
        <f ca="1">Plantilla!F20</f>
        <v>77</v>
      </c>
      <c r="E21" s="49">
        <f>Plantilla!X20</f>
        <v>0</v>
      </c>
      <c r="F21" s="49">
        <f>Plantilla!Y20</f>
        <v>7</v>
      </c>
      <c r="G21" s="49">
        <f>Plantilla!Z20</f>
        <v>13</v>
      </c>
      <c r="H21" s="49">
        <f>Plantilla!AA20</f>
        <v>3</v>
      </c>
      <c r="I21" s="49">
        <f>Plantilla!AB20</f>
        <v>4</v>
      </c>
      <c r="J21" s="49">
        <f>Plantilla!AC20</f>
        <v>6</v>
      </c>
      <c r="K21" s="49">
        <f>Plantilla!AD20</f>
        <v>15</v>
      </c>
      <c r="L21" s="97">
        <f>1/10</f>
        <v>0.1</v>
      </c>
      <c r="M21" s="97">
        <f>1/27</f>
        <v>3.7037037037037035E-2</v>
      </c>
      <c r="N21" s="49"/>
      <c r="O21" s="48"/>
      <c r="P21" s="48"/>
      <c r="Q21" s="48"/>
      <c r="R21" s="48"/>
      <c r="S21" s="48">
        <f t="shared" si="2"/>
        <v>3.6315909090909093E-2</v>
      </c>
      <c r="T21" s="48">
        <f t="shared" si="3"/>
        <v>2.8304545454545454E-2</v>
      </c>
      <c r="U21" s="48">
        <f t="shared" si="4"/>
        <v>1.9088636363636363E-2</v>
      </c>
      <c r="V21" s="48">
        <f>L21*(0.19*0.543+0.25*0.25)/(0.19+0.25)</f>
        <v>3.7652272727272729E-2</v>
      </c>
      <c r="W21" s="48">
        <f t="shared" si="5"/>
        <v>2.400227272727273E-2</v>
      </c>
      <c r="X21" s="117">
        <f t="shared" si="0"/>
        <v>3.7652272727272729E-2</v>
      </c>
      <c r="Y21" s="117">
        <f t="shared" si="1"/>
        <v>0.18637037037036919</v>
      </c>
    </row>
    <row r="22" spans="1:25" x14ac:dyDescent="0.25">
      <c r="A22" s="5" t="str">
        <f>Plantilla!A22</f>
        <v>#11</v>
      </c>
      <c r="B22" s="264" t="str">
        <f>Plantilla!D22</f>
        <v>J-P. Kechele</v>
      </c>
      <c r="C22" s="5">
        <f>Plantilla!E22</f>
        <v>29</v>
      </c>
      <c r="D22" s="465">
        <f ca="1">Plantilla!F22</f>
        <v>110</v>
      </c>
      <c r="E22" s="49">
        <f>Plantilla!X22</f>
        <v>0</v>
      </c>
      <c r="F22" s="49">
        <f>Plantilla!Y22</f>
        <v>4</v>
      </c>
      <c r="G22" s="49">
        <f>Plantilla!Z22</f>
        <v>14</v>
      </c>
      <c r="H22" s="49">
        <f>Plantilla!AA22</f>
        <v>4</v>
      </c>
      <c r="I22" s="49">
        <f>Plantilla!AB22</f>
        <v>9</v>
      </c>
      <c r="J22" s="49">
        <f>Plantilla!AC22</f>
        <v>8</v>
      </c>
      <c r="K22" s="49">
        <f>Plantilla!AD22</f>
        <v>19.25</v>
      </c>
      <c r="L22" s="97"/>
      <c r="M22" s="97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7"/>
      <c r="Y22" s="117"/>
    </row>
    <row r="23" spans="1:25" x14ac:dyDescent="0.25">
      <c r="A23" s="5" t="str">
        <f>Plantilla!A23</f>
        <v>#29</v>
      </c>
      <c r="B23" s="264" t="str">
        <f>Plantilla!D23</f>
        <v>S. Zobbe</v>
      </c>
      <c r="C23" s="5">
        <f>Plantilla!E23</f>
        <v>36</v>
      </c>
      <c r="D23" s="465">
        <f ca="1">Plantilla!F23</f>
        <v>0</v>
      </c>
      <c r="E23" s="49">
        <f>Plantilla!X23</f>
        <v>0</v>
      </c>
      <c r="F23" s="49">
        <f>Plantilla!Y23</f>
        <v>7.95</v>
      </c>
      <c r="G23" s="49">
        <f>Plantilla!Z23</f>
        <v>11.95</v>
      </c>
      <c r="H23" s="49">
        <f>Plantilla!AA23</f>
        <v>11.95</v>
      </c>
      <c r="I23" s="49">
        <f>Plantilla!AB23</f>
        <v>9.9499999999999993</v>
      </c>
      <c r="J23" s="49">
        <f>Plantilla!AC23</f>
        <v>4.95</v>
      </c>
      <c r="K23" s="49">
        <f>Plantilla!AD23</f>
        <v>18</v>
      </c>
      <c r="L23" s="97"/>
      <c r="M23" s="97"/>
      <c r="N23" s="49"/>
      <c r="O23" s="48"/>
      <c r="P23" s="48"/>
      <c r="Q23" s="48"/>
      <c r="R23" s="48"/>
      <c r="S23" s="48"/>
      <c r="T23" s="48"/>
      <c r="U23" s="48"/>
      <c r="V23" s="48"/>
      <c r="W23" s="48"/>
      <c r="X23" s="117"/>
      <c r="Y23" s="117"/>
    </row>
    <row r="24" spans="1:25" x14ac:dyDescent="0.25">
      <c r="A24" s="5" t="str">
        <f>Plantilla!A24</f>
        <v>#28</v>
      </c>
      <c r="B24" s="264" t="str">
        <f>Plantilla!D24</f>
        <v>P .Trivadi</v>
      </c>
      <c r="C24" s="5">
        <f>Plantilla!E24</f>
        <v>35</v>
      </c>
      <c r="D24" s="465">
        <f ca="1">Plantilla!F24</f>
        <v>68</v>
      </c>
      <c r="E24" s="49">
        <f>Plantilla!X24</f>
        <v>0</v>
      </c>
      <c r="F24" s="49">
        <f>Plantilla!Y24</f>
        <v>3.95</v>
      </c>
      <c r="G24" s="49">
        <f>Plantilla!Z24</f>
        <v>5.95</v>
      </c>
      <c r="H24" s="49">
        <f>Plantilla!AA24</f>
        <v>4.95</v>
      </c>
      <c r="I24" s="49">
        <f>Plantilla!AB24</f>
        <v>9.9499999999999993</v>
      </c>
      <c r="J24" s="49">
        <f>Plantilla!AC24</f>
        <v>5.95</v>
      </c>
      <c r="K24" s="49">
        <f>Plantilla!AD24</f>
        <v>15</v>
      </c>
      <c r="O24"/>
      <c r="S24" s="48"/>
      <c r="T24" s="48"/>
      <c r="U24" s="48"/>
      <c r="V24" s="48"/>
      <c r="W24" s="48"/>
    </row>
    <row r="25" spans="1:25" x14ac:dyDescent="0.25">
      <c r="A25" s="5">
        <f>Plantilla!A25</f>
        <v>0</v>
      </c>
      <c r="B25" s="264">
        <f>Plantilla!D25</f>
        <v>0</v>
      </c>
      <c r="C25" s="5">
        <f>Plantilla!E25</f>
        <v>0</v>
      </c>
      <c r="D25" s="465">
        <f>Plantilla!F25</f>
        <v>0</v>
      </c>
      <c r="E25" s="49">
        <f>Plantilla!X25</f>
        <v>0</v>
      </c>
      <c r="F25" s="49">
        <f>Plantilla!Y25</f>
        <v>0</v>
      </c>
      <c r="G25" s="49">
        <f>Plantilla!Z25</f>
        <v>0</v>
      </c>
      <c r="H25" s="49">
        <f>Plantilla!AA25</f>
        <v>0</v>
      </c>
      <c r="I25" s="49">
        <f>Plantilla!AB25</f>
        <v>0</v>
      </c>
      <c r="J25" s="49">
        <f>Plantilla!AC25</f>
        <v>0</v>
      </c>
      <c r="K25" s="49">
        <f>Plantilla!AD25</f>
        <v>0</v>
      </c>
      <c r="O25"/>
      <c r="S25" s="48"/>
      <c r="T25" s="48"/>
      <c r="U25" s="48"/>
      <c r="V25" s="48"/>
      <c r="W25" s="48"/>
    </row>
    <row r="26" spans="1:25" x14ac:dyDescent="0.25">
      <c r="A26" s="5">
        <f>Plantilla!A26</f>
        <v>0</v>
      </c>
      <c r="B26" s="264">
        <f>Plantilla!D26</f>
        <v>0</v>
      </c>
      <c r="C26" s="5">
        <f>Plantilla!E26</f>
        <v>0</v>
      </c>
      <c r="D26" s="465">
        <f>Plantilla!F26</f>
        <v>0</v>
      </c>
      <c r="E26" s="49">
        <f>Plantilla!X26</f>
        <v>0</v>
      </c>
      <c r="F26" s="49">
        <f>Plantilla!Y26</f>
        <v>0</v>
      </c>
      <c r="G26" s="49">
        <f>Plantilla!Z26</f>
        <v>0</v>
      </c>
      <c r="H26" s="49">
        <f>Plantilla!AA26</f>
        <v>0</v>
      </c>
      <c r="I26" s="49">
        <f>Plantilla!AB26</f>
        <v>0</v>
      </c>
      <c r="J26" s="49">
        <f>Plantilla!AC26</f>
        <v>0</v>
      </c>
      <c r="K26" s="49">
        <f>Plantilla!AD26</f>
        <v>0</v>
      </c>
      <c r="O26"/>
      <c r="S26" s="48"/>
      <c r="T26" s="48"/>
      <c r="U26" s="48"/>
      <c r="V26" s="48"/>
      <c r="W26" s="48"/>
    </row>
    <row r="27" spans="1:25" x14ac:dyDescent="0.25">
      <c r="A27" s="5">
        <f>Plantilla!A27</f>
        <v>0</v>
      </c>
      <c r="B27" s="264">
        <f>Plantilla!D27</f>
        <v>0</v>
      </c>
      <c r="C27" s="5">
        <f>Plantilla!E27</f>
        <v>0</v>
      </c>
      <c r="D27" s="465">
        <f>Plantilla!F27</f>
        <v>0</v>
      </c>
      <c r="E27" s="49">
        <f>Plantilla!X27</f>
        <v>0</v>
      </c>
      <c r="F27" s="49">
        <f>Plantilla!Y27</f>
        <v>0</v>
      </c>
      <c r="G27" s="49">
        <f>Plantilla!Z27</f>
        <v>0</v>
      </c>
      <c r="H27" s="49">
        <f>Plantilla!AA27</f>
        <v>0</v>
      </c>
      <c r="I27" s="49">
        <f>Plantilla!AB27</f>
        <v>0</v>
      </c>
      <c r="J27" s="49">
        <f>Plantilla!AC27</f>
        <v>0</v>
      </c>
      <c r="K27" s="49">
        <f>Plantilla!AD27</f>
        <v>0</v>
      </c>
      <c r="O27"/>
      <c r="S27" s="48"/>
      <c r="T27" s="48"/>
      <c r="U27" s="48"/>
      <c r="V27" s="48"/>
      <c r="W27" s="48"/>
    </row>
  </sheetData>
  <conditionalFormatting sqref="L4:W23 S24:W27">
    <cfRule type="colorScale" priority="1">
      <colorScale>
        <cfvo type="min"/>
        <cfvo type="max"/>
        <color rgb="FFFFEF9C"/>
        <color rgb="FF63BE7B"/>
      </colorScale>
    </cfRule>
  </conditionalFormatting>
  <conditionalFormatting sqref="X4:X2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{22E096D1-1E42-5B4C-36C4-7A2EAE8ACE4C}</x14:id>
        </ext>
      </extLst>
    </cfRule>
  </conditionalFormatting>
  <conditionalFormatting sqref="E4:K27">
    <cfRule type="colorScale" priority="3">
      <colorScale>
        <cfvo type="min"/>
        <cfvo type="max"/>
        <color rgb="FFFCFCFF"/>
        <color rgb="FFF8696B"/>
      </colorScale>
    </cfRule>
  </conditionalFormatting>
  <conditionalFormatting sqref="Y4:Y2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{5DE23468-900E-898F-EF1C-B12AD4A53903}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E096D1-1E42-5B4C-36C4-7A2EAE8ACE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X4:X23</xm:sqref>
        </x14:conditionalFormatting>
        <x14:conditionalFormatting xmlns:xm="http://schemas.microsoft.com/office/excel/2006/main">
          <x14:cfRule type="dataBar" id="{5DE23468-900E-898F-EF1C-B12AD4A53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Y4:Y27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BK38"/>
  <sheetViews>
    <sheetView tabSelected="1" zoomScale="110" workbookViewId="0">
      <pane xSplit="9" ySplit="3" topLeftCell="J4" activePane="bottomRight" state="frozen"/>
      <selection pane="topRight"/>
      <selection pane="bottomLeft"/>
      <selection pane="bottomRight" activeCell="J8" sqref="J8"/>
    </sheetView>
  </sheetViews>
  <sheetFormatPr baseColWidth="10" defaultColWidth="11.42578125" defaultRowHeight="15" x14ac:dyDescent="0.25"/>
  <cols>
    <col min="1" max="1" width="4.7109375" customWidth="1"/>
    <col min="2" max="2" width="5.42578125" customWidth="1"/>
    <col min="3" max="3" width="5.5703125" style="59" customWidth="1"/>
    <col min="4" max="4" width="20.7109375" style="53" customWidth="1"/>
    <col min="5" max="5" width="5.5703125" customWidth="1"/>
    <col min="6" max="6" width="5" customWidth="1"/>
    <col min="7" max="7" width="4.5703125" style="58" customWidth="1"/>
    <col min="8" max="8" width="3.7109375" style="4" customWidth="1"/>
    <col min="9" max="9" width="4.85546875" customWidth="1"/>
    <col min="10" max="10" width="4.5703125" customWidth="1"/>
    <col min="11" max="11" width="4.7109375" style="58" customWidth="1"/>
    <col min="12" max="12" width="5.140625" customWidth="1"/>
    <col min="13" max="13" width="4.28515625" style="58" customWidth="1"/>
    <col min="14" max="14" width="5" style="58" customWidth="1"/>
    <col min="15" max="15" width="10.42578125" style="58" customWidth="1"/>
    <col min="16" max="16" width="5.5703125" style="58" customWidth="1"/>
    <col min="17" max="17" width="4.140625" style="58" customWidth="1"/>
    <col min="18" max="19" width="5.7109375" style="58" customWidth="1"/>
    <col min="20" max="20" width="12" customWidth="1"/>
    <col min="21" max="21" width="10.5703125" customWidth="1"/>
    <col min="22" max="22" width="11.140625" style="47" customWidth="1"/>
    <col min="23" max="23" width="7.5703125" style="47" customWidth="1"/>
    <col min="24" max="24" width="6.140625" style="47" customWidth="1"/>
    <col min="25" max="28" width="6.140625" customWidth="1"/>
    <col min="29" max="29" width="5.5703125" customWidth="1"/>
    <col min="30" max="30" width="6.140625" customWidth="1"/>
    <col min="31" max="31" width="9.5703125" style="47" customWidth="1"/>
    <col min="32" max="33" width="4.5703125" style="454" customWidth="1"/>
    <col min="34" max="34" width="6.5703125" style="454" customWidth="1"/>
    <col min="35" max="35" width="8.42578125" style="519" bestFit="1" customWidth="1"/>
    <col min="36" max="36" width="7.5703125" style="454" customWidth="1"/>
    <col min="37" max="39" width="6.5703125" style="454" customWidth="1"/>
    <col min="40" max="40" width="7" style="454" customWidth="1"/>
    <col min="41" max="41" width="4.140625" customWidth="1"/>
    <col min="42" max="42" width="4.28515625" customWidth="1"/>
    <col min="43" max="43" width="5.28515625" customWidth="1"/>
    <col min="44" max="58" width="7.5703125" customWidth="1"/>
    <col min="59" max="59" width="10" customWidth="1"/>
    <col min="60" max="60" width="11.28515625" customWidth="1"/>
    <col min="61" max="61" width="8.42578125" customWidth="1"/>
  </cols>
  <sheetData>
    <row r="1" spans="1:63" s="66" customFormat="1" x14ac:dyDescent="0.25">
      <c r="C1" s="211"/>
      <c r="D1" s="100">
        <f ca="1">TODAY()</f>
        <v>44039</v>
      </c>
      <c r="E1" s="475">
        <v>41471</v>
      </c>
      <c r="F1" s="475"/>
      <c r="G1" s="475"/>
      <c r="H1" s="67"/>
      <c r="I1" s="67"/>
      <c r="J1" s="67"/>
      <c r="K1" s="68"/>
      <c r="L1" s="67"/>
      <c r="M1" s="68"/>
      <c r="N1" s="68"/>
      <c r="O1" s="68"/>
      <c r="P1" s="68"/>
      <c r="Q1" s="211"/>
      <c r="R1" s="68"/>
      <c r="S1" s="68"/>
      <c r="T1" s="67"/>
      <c r="U1" s="67"/>
      <c r="V1" s="67"/>
      <c r="W1" s="67"/>
      <c r="X1" s="89"/>
      <c r="Y1" s="67"/>
      <c r="Z1" s="67"/>
      <c r="AA1" s="67"/>
      <c r="AB1" s="67"/>
      <c r="AC1" s="67"/>
      <c r="AD1" s="67"/>
      <c r="AE1" s="89"/>
      <c r="AF1" s="447"/>
      <c r="AG1" s="447"/>
      <c r="AH1" s="448"/>
      <c r="AI1" s="518"/>
      <c r="AJ1" s="449"/>
      <c r="AK1" s="448"/>
      <c r="AL1" s="448"/>
      <c r="AM1" s="448"/>
      <c r="AN1" s="448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</row>
    <row r="2" spans="1:63" s="3" customFormat="1" x14ac:dyDescent="0.25">
      <c r="A2" s="3">
        <v>16</v>
      </c>
      <c r="B2" s="73"/>
      <c r="C2" s="248"/>
      <c r="D2" s="249"/>
      <c r="E2" s="211"/>
      <c r="F2" s="211"/>
      <c r="I2" s="250">
        <f>AVERAGE(I4:I24)</f>
        <v>7.8428571428571452</v>
      </c>
      <c r="J2" s="211"/>
      <c r="K2" s="211"/>
      <c r="M2" s="250">
        <f>AVERAGE(M4:M24)</f>
        <v>5.1714285714285717</v>
      </c>
      <c r="N2" s="211"/>
      <c r="O2" s="211"/>
      <c r="P2" s="211"/>
      <c r="Q2" s="250">
        <f>AVERAGE(Q4:Q24)</f>
        <v>5.2380952380952381</v>
      </c>
      <c r="R2" s="251">
        <f>AVERAGE(R4:R24)</f>
        <v>0.85046144723127859</v>
      </c>
      <c r="S2" s="251">
        <f>AVERAGE(S4:S24)</f>
        <v>0.91672862059375015</v>
      </c>
      <c r="T2" s="252">
        <f>AVERAGE(T4:T24)</f>
        <v>36905.714285714283</v>
      </c>
      <c r="U2" s="252">
        <f>AVERAGE(U4:U24)</f>
        <v>-211.42857142857142</v>
      </c>
      <c r="V2" s="252">
        <f>AVERAGE(V4:V24)</f>
        <v>10630.761904761905</v>
      </c>
      <c r="W2" s="76"/>
      <c r="X2" s="253">
        <f>(X4+X5)/2</f>
        <v>14.975</v>
      </c>
      <c r="Y2" s="253">
        <f>AVERAGE(Y4:Y21)</f>
        <v>8.0972222222222214</v>
      </c>
      <c r="Z2" s="253">
        <f>AVERAGE(Z15:Z20)</f>
        <v>12.666666666666666</v>
      </c>
      <c r="AA2" s="253">
        <f>AVERAGE(AA13:AA14)</f>
        <v>1</v>
      </c>
      <c r="AB2" s="253">
        <f>AVERAGE(AB5:AB24)</f>
        <v>5.2850000000000001</v>
      </c>
      <c r="AC2" s="253">
        <f>AVERAGE(AC22:AC24)</f>
        <v>6.3</v>
      </c>
      <c r="AD2" s="253">
        <f>AVERAGE(AD4:AD24)</f>
        <v>16.160317460317462</v>
      </c>
      <c r="AE2" s="76"/>
      <c r="AF2" s="450"/>
      <c r="AG2" s="450"/>
      <c r="AH2" s="451"/>
      <c r="AI2" s="450"/>
      <c r="AJ2" s="451"/>
      <c r="AK2" s="451"/>
      <c r="AL2" s="451"/>
      <c r="AM2" s="451"/>
      <c r="AN2" s="451"/>
    </row>
    <row r="3" spans="1:63" x14ac:dyDescent="0.25">
      <c r="A3" s="81" t="s">
        <v>84</v>
      </c>
      <c r="B3" s="81" t="s">
        <v>85</v>
      </c>
      <c r="C3" s="82" t="s">
        <v>86</v>
      </c>
      <c r="D3" s="83" t="s">
        <v>87</v>
      </c>
      <c r="E3" s="81" t="s">
        <v>88</v>
      </c>
      <c r="F3" s="81" t="s">
        <v>89</v>
      </c>
      <c r="G3" s="81" t="s">
        <v>90</v>
      </c>
      <c r="H3" s="81" t="s">
        <v>91</v>
      </c>
      <c r="I3" s="81" t="s">
        <v>92</v>
      </c>
      <c r="J3" s="81" t="s">
        <v>93</v>
      </c>
      <c r="K3" s="84" t="s">
        <v>94</v>
      </c>
      <c r="L3" s="84" t="s">
        <v>95</v>
      </c>
      <c r="M3" s="81" t="s">
        <v>96</v>
      </c>
      <c r="N3" s="81" t="s">
        <v>97</v>
      </c>
      <c r="O3" s="81" t="s">
        <v>98</v>
      </c>
      <c r="P3" s="81" t="s">
        <v>99</v>
      </c>
      <c r="Q3" s="81" t="s">
        <v>100</v>
      </c>
      <c r="R3" s="147" t="s">
        <v>101</v>
      </c>
      <c r="S3" s="147" t="s">
        <v>102</v>
      </c>
      <c r="T3" s="81" t="s">
        <v>103</v>
      </c>
      <c r="U3" s="81" t="s">
        <v>104</v>
      </c>
      <c r="V3" s="81" t="s">
        <v>105</v>
      </c>
      <c r="W3" s="81" t="s">
        <v>106</v>
      </c>
      <c r="X3" s="81" t="s">
        <v>107</v>
      </c>
      <c r="Y3" s="81" t="s">
        <v>108</v>
      </c>
      <c r="Z3" s="81" t="s">
        <v>109</v>
      </c>
      <c r="AA3" s="81" t="s">
        <v>110</v>
      </c>
      <c r="AB3" s="81" t="s">
        <v>111</v>
      </c>
      <c r="AC3" s="81" t="s">
        <v>112</v>
      </c>
      <c r="AD3" s="81" t="s">
        <v>90</v>
      </c>
      <c r="AE3" s="81" t="s">
        <v>113</v>
      </c>
      <c r="AF3" s="99" t="s">
        <v>114</v>
      </c>
      <c r="AG3" s="99" t="s">
        <v>115</v>
      </c>
      <c r="AH3" s="99" t="s">
        <v>116</v>
      </c>
      <c r="AI3" s="99" t="s">
        <v>117</v>
      </c>
      <c r="AJ3" s="99" t="s">
        <v>118</v>
      </c>
      <c r="AK3" s="99" t="s">
        <v>119</v>
      </c>
      <c r="AL3" s="99" t="s">
        <v>120</v>
      </c>
      <c r="AM3" s="99" t="s">
        <v>121</v>
      </c>
      <c r="AN3" s="99" t="s">
        <v>122</v>
      </c>
      <c r="AO3" s="81" t="s">
        <v>123</v>
      </c>
      <c r="AP3" s="81" t="s">
        <v>124</v>
      </c>
      <c r="AQ3" s="81" t="s">
        <v>125</v>
      </c>
      <c r="AR3" s="124" t="s">
        <v>126</v>
      </c>
      <c r="AS3" s="124" t="s">
        <v>127</v>
      </c>
      <c r="AT3" s="124" t="s">
        <v>128</v>
      </c>
      <c r="AU3" s="124" t="s">
        <v>129</v>
      </c>
      <c r="AV3" s="124" t="s">
        <v>130</v>
      </c>
      <c r="AW3" s="124" t="s">
        <v>131</v>
      </c>
      <c r="AX3" s="124" t="s">
        <v>132</v>
      </c>
      <c r="AY3" s="124" t="s">
        <v>133</v>
      </c>
      <c r="AZ3" s="124" t="s">
        <v>134</v>
      </c>
      <c r="BA3" s="124" t="s">
        <v>135</v>
      </c>
      <c r="BB3" s="124" t="s">
        <v>136</v>
      </c>
      <c r="BC3" s="124" t="s">
        <v>137</v>
      </c>
      <c r="BD3" s="124" t="s">
        <v>138</v>
      </c>
      <c r="BE3" s="124" t="s">
        <v>139</v>
      </c>
      <c r="BF3" s="124" t="s">
        <v>140</v>
      </c>
      <c r="BG3" s="124" t="s">
        <v>141</v>
      </c>
      <c r="BH3" s="242" t="s">
        <v>142</v>
      </c>
    </row>
    <row r="4" spans="1:63" x14ac:dyDescent="0.25">
      <c r="A4" s="5" t="s">
        <v>143</v>
      </c>
      <c r="B4" s="5" t="s">
        <v>14</v>
      </c>
      <c r="C4" s="112">
        <f t="shared" ref="C4:C24" ca="1" si="0">((34*112)-(E4*112)-(F4))/112</f>
        <v>-4.5803571428571432</v>
      </c>
      <c r="D4" s="470" t="s">
        <v>144</v>
      </c>
      <c r="E4" s="55">
        <v>38</v>
      </c>
      <c r="F4" s="56">
        <f ca="1">-42406+$D$1-112-112-112-112-112-112-112-112-112-112-112-112-112-112</f>
        <v>65</v>
      </c>
      <c r="G4" s="71"/>
      <c r="H4" s="237">
        <v>6</v>
      </c>
      <c r="I4" s="57">
        <v>25.5</v>
      </c>
      <c r="J4" s="144">
        <f t="shared" ref="J4:J24" si="1">LOG(I4+1)*4/3</f>
        <v>1.8976611652490771</v>
      </c>
      <c r="K4" s="85">
        <f t="shared" ref="K4:K24" si="2">(H4)*(H4)*(I4)</f>
        <v>918</v>
      </c>
      <c r="L4" s="85">
        <f t="shared" ref="L4:L24" si="3">(H4+1)*(H4+1)*I4</f>
        <v>1249.5</v>
      </c>
      <c r="M4" s="79">
        <v>2.4</v>
      </c>
      <c r="N4" s="141">
        <f t="shared" ref="N4:N24" si="4">M4*10+19</f>
        <v>43</v>
      </c>
      <c r="O4" s="235">
        <v>42468</v>
      </c>
      <c r="P4" s="236">
        <f ca="1">IF((TODAY()-O4)&gt;335,1,((TODAY()-O4)^0.64)/(336^0.64))</f>
        <v>1</v>
      </c>
      <c r="Q4" s="141">
        <v>7</v>
      </c>
      <c r="R4" s="157">
        <f t="shared" ref="R4:R24" si="5">(Q4/7)^0.5</f>
        <v>1</v>
      </c>
      <c r="S4" s="157">
        <f t="shared" ref="S4:S24" si="6">IF(Q4=7,1,((Q4+0.99)/7)^0.5)</f>
        <v>1</v>
      </c>
      <c r="T4" s="94">
        <v>12250</v>
      </c>
      <c r="U4" s="210">
        <f t="shared" ref="U4:U24" si="7">T4-BG4</f>
        <v>0</v>
      </c>
      <c r="V4" s="94">
        <v>3228</v>
      </c>
      <c r="W4" s="92">
        <f t="shared" ref="W4:W25" si="8">T4/V4</f>
        <v>3.7949194547707559</v>
      </c>
      <c r="X4" s="143">
        <v>14.95</v>
      </c>
      <c r="Y4" s="144">
        <v>8.9499999999999993</v>
      </c>
      <c r="Z4" s="143">
        <v>0.95</v>
      </c>
      <c r="AA4" s="144">
        <v>0</v>
      </c>
      <c r="AB4" s="143">
        <v>0</v>
      </c>
      <c r="AC4" s="144">
        <v>0</v>
      </c>
      <c r="AD4" s="143">
        <v>17.95</v>
      </c>
      <c r="AE4" s="240">
        <v>931</v>
      </c>
      <c r="AF4" s="452">
        <f t="shared" ref="AF4:AF24" ca="1" si="9">(Z4+P4+J4)*(Q4/7)^0.5</f>
        <v>3.8476611652490771</v>
      </c>
      <c r="AG4" s="452">
        <f t="shared" ref="AG4:AG24" ca="1" si="10">(Z4+P4+J4)*(IF(Q4=7,(Q4/7)^0.5,((Q4+1)/7)^0.5))</f>
        <v>3.8476611652490771</v>
      </c>
      <c r="AH4" s="92">
        <f t="shared" ref="AH4:AH24" ca="1" si="11">(((Y4+P4+J4)+(AB4+P4+J4)*2)/8)*(Q4/7)^0.5</f>
        <v>2.2053729369684039</v>
      </c>
      <c r="AI4" s="91">
        <f t="shared" ref="AI4:AI24" ca="1" si="12">(1.66*(AC4+J4+P4)+0.55*(AD4+J4+P4)-7.6)*(Q4/7)^0.5</f>
        <v>8.6763311752004615</v>
      </c>
      <c r="AJ4" s="92">
        <f t="shared" ref="AJ4:AJ24" ca="1" si="13">((AD4+J4+P4)*0.7+(AC4+J4+P4)*0.3)*(Q4/7)^0.5</f>
        <v>15.462661165249076</v>
      </c>
      <c r="AK4" s="92">
        <f t="shared" ref="AK4:AK24" ca="1" si="14">(0.5*(AC4+P4+J4)+0.3*(AD4+P4+J4))/10</f>
        <v>0.77031289321992613</v>
      </c>
      <c r="AL4" s="92">
        <f t="shared" ref="AL4:AL24" ca="1" si="15">(0.4*(Y4+P4+J4)+0.3*(AD4+P4+J4))/10</f>
        <v>1.0993362815674352</v>
      </c>
      <c r="AM4" s="453">
        <f t="shared" ref="AM4:AM24" ca="1" si="16">(AD4+P4+(LOG(I4)*4/3))*(Q4/7)^0.5</f>
        <v>20.825386907245274</v>
      </c>
      <c r="AN4" s="453">
        <f t="shared" ref="AN4:AN24" ca="1" si="17">(AD4+P4+(LOG(I4)*4/3))*(IF(Q4=7,(Q4/7)^0.5,((Q4+1)/7)^0.5))</f>
        <v>20.825386907245274</v>
      </c>
      <c r="AO4" s="141">
        <v>2</v>
      </c>
      <c r="AP4" s="141">
        <v>2</v>
      </c>
      <c r="AQ4" s="157">
        <f t="shared" ref="AQ4:AQ24" si="18">IF(AO4=4,IF(AP4=0,0.137+0.0697,0.137+0.02),IF(AO4=3,IF(AP4=0,0.0958+0.0697,0.0958+0.02),IF(AO4=2,IF(AP4=0,0.0415+0.0697,0.0415+0.02),IF(AO4=1,IF(AP4=0,0.0294+0.0697,0.0294+0.02),IF(AO4=0,IF(AP4=0,0.0063+0.0697,0.0063+0.02))))))</f>
        <v>6.1499999999999999E-2</v>
      </c>
      <c r="AR4" s="241"/>
      <c r="AS4" s="241"/>
      <c r="AT4" s="241"/>
      <c r="AU4" s="241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94">
        <v>12250</v>
      </c>
      <c r="BH4" s="243"/>
      <c r="BJ4" s="113"/>
      <c r="BK4" s="115"/>
    </row>
    <row r="5" spans="1:63" x14ac:dyDescent="0.25">
      <c r="A5" s="5" t="s">
        <v>145</v>
      </c>
      <c r="B5" s="5" t="s">
        <v>14</v>
      </c>
      <c r="C5" s="112">
        <f t="shared" ca="1" si="0"/>
        <v>11.071428571428571</v>
      </c>
      <c r="D5" s="467" t="s">
        <v>31</v>
      </c>
      <c r="E5" s="55">
        <v>22</v>
      </c>
      <c r="F5" s="56">
        <f ca="1">82-44017+$D$1</f>
        <v>104</v>
      </c>
      <c r="G5" s="71" t="s">
        <v>146</v>
      </c>
      <c r="H5" s="111">
        <v>0</v>
      </c>
      <c r="I5" s="57">
        <v>3.5</v>
      </c>
      <c r="J5" s="144">
        <f t="shared" si="1"/>
        <v>0.87095001836712493</v>
      </c>
      <c r="K5" s="85">
        <f t="shared" si="2"/>
        <v>0</v>
      </c>
      <c r="L5" s="85">
        <f t="shared" si="3"/>
        <v>3.5</v>
      </c>
      <c r="M5" s="79">
        <v>7</v>
      </c>
      <c r="N5" s="141">
        <f t="shared" si="4"/>
        <v>89</v>
      </c>
      <c r="O5" s="466">
        <v>43878</v>
      </c>
      <c r="P5" s="236">
        <f ca="1">IF((TODAY()-O5)&gt;335,1,((TODAY()-O5)^0.64)/(336^0.64))</f>
        <v>0.62446977532493753</v>
      </c>
      <c r="Q5" s="141">
        <v>6</v>
      </c>
      <c r="R5" s="157">
        <f t="shared" si="5"/>
        <v>0.92582009977255142</v>
      </c>
      <c r="S5" s="157">
        <f t="shared" si="6"/>
        <v>0.99928545900129484</v>
      </c>
      <c r="T5" s="94">
        <v>69380</v>
      </c>
      <c r="U5" s="210">
        <f t="shared" si="7"/>
        <v>-570</v>
      </c>
      <c r="V5" s="94">
        <v>30492</v>
      </c>
      <c r="W5" s="92">
        <f t="shared" si="8"/>
        <v>2.2753509117145483</v>
      </c>
      <c r="X5" s="143">
        <v>15</v>
      </c>
      <c r="Y5" s="144">
        <v>5</v>
      </c>
      <c r="Z5" s="143">
        <v>2</v>
      </c>
      <c r="AA5" s="144">
        <v>1</v>
      </c>
      <c r="AB5" s="143">
        <v>5</v>
      </c>
      <c r="AC5" s="144">
        <v>3</v>
      </c>
      <c r="AD5" s="143">
        <v>19.25</v>
      </c>
      <c r="AE5" s="240">
        <v>1149</v>
      </c>
      <c r="AF5" s="452">
        <f t="shared" ca="1" si="9"/>
        <v>3.2361299021429364</v>
      </c>
      <c r="AG5" s="452">
        <f t="shared" ca="1" si="10"/>
        <v>3.4954197936920623</v>
      </c>
      <c r="AH5" s="92">
        <f t="shared" ca="1" si="11"/>
        <v>2.2550963255477217</v>
      </c>
      <c r="AI5" s="91">
        <f t="shared" ca="1" si="12"/>
        <v>10.436193887679014</v>
      </c>
      <c r="AJ5" s="92">
        <f t="shared" ca="1" si="13"/>
        <v>14.693153636828258</v>
      </c>
      <c r="AK5" s="92">
        <f t="shared" ca="1" si="14"/>
        <v>0.84713358349536494</v>
      </c>
      <c r="AL5" s="92">
        <f t="shared" ca="1" si="15"/>
        <v>0.88217938555844433</v>
      </c>
      <c r="AM5" s="453">
        <f t="shared" ca="1" si="16"/>
        <v>19.071795765122463</v>
      </c>
      <c r="AN5" s="453">
        <f t="shared" ca="1" si="17"/>
        <v>20.599893834458637</v>
      </c>
      <c r="AO5" s="141">
        <v>4</v>
      </c>
      <c r="AP5" s="141">
        <v>3</v>
      </c>
      <c r="AQ5" s="157">
        <f t="shared" si="18"/>
        <v>0.157</v>
      </c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94">
        <v>69950</v>
      </c>
      <c r="BH5" s="243"/>
      <c r="BJ5" s="113"/>
      <c r="BK5" s="115"/>
    </row>
    <row r="6" spans="1:63" x14ac:dyDescent="0.25">
      <c r="A6" s="86" t="s">
        <v>147</v>
      </c>
      <c r="B6" s="5" t="s">
        <v>37</v>
      </c>
      <c r="C6" s="112">
        <f t="shared" ca="1" si="0"/>
        <v>-5.6785714285714288</v>
      </c>
      <c r="D6" s="470" t="s">
        <v>148</v>
      </c>
      <c r="E6" s="55">
        <v>39</v>
      </c>
      <c r="F6" s="56">
        <f ca="1">7-44000+$D$1+30</f>
        <v>76</v>
      </c>
      <c r="G6" s="71"/>
      <c r="H6" s="111">
        <v>4</v>
      </c>
      <c r="I6" s="57">
        <v>19.100000000000001</v>
      </c>
      <c r="J6" s="144">
        <f t="shared" si="1"/>
        <v>1.7375947432273184</v>
      </c>
      <c r="K6" s="85">
        <f t="shared" si="2"/>
        <v>305.60000000000002</v>
      </c>
      <c r="L6" s="85">
        <f t="shared" si="3"/>
        <v>477.50000000000006</v>
      </c>
      <c r="M6" s="79">
        <v>1.4</v>
      </c>
      <c r="N6" s="141">
        <f t="shared" si="4"/>
        <v>33</v>
      </c>
      <c r="O6" s="141" t="s">
        <v>149</v>
      </c>
      <c r="P6" s="236">
        <v>1.5</v>
      </c>
      <c r="Q6" s="141">
        <v>2</v>
      </c>
      <c r="R6" s="157">
        <f t="shared" si="5"/>
        <v>0.53452248382484879</v>
      </c>
      <c r="S6" s="157">
        <f t="shared" si="6"/>
        <v>0.65356167049702141</v>
      </c>
      <c r="T6" s="94">
        <v>360</v>
      </c>
      <c r="U6" s="210">
        <f t="shared" si="7"/>
        <v>0</v>
      </c>
      <c r="V6" s="94">
        <v>460</v>
      </c>
      <c r="W6" s="92">
        <f t="shared" si="8"/>
        <v>0.78260869565217395</v>
      </c>
      <c r="X6" s="143">
        <v>0</v>
      </c>
      <c r="Y6" s="144">
        <v>8.9499999999999975</v>
      </c>
      <c r="Z6" s="143">
        <v>7.95</v>
      </c>
      <c r="AA6" s="144">
        <v>4.95</v>
      </c>
      <c r="AB6" s="143">
        <v>3.95</v>
      </c>
      <c r="AC6" s="144">
        <v>0</v>
      </c>
      <c r="AD6" s="143">
        <v>15</v>
      </c>
      <c r="AE6" s="240">
        <v>725</v>
      </c>
      <c r="AF6" s="452">
        <f t="shared" si="9"/>
        <v>5.9800209301756881</v>
      </c>
      <c r="AG6" s="452">
        <f t="shared" si="10"/>
        <v>7.3239999650470322</v>
      </c>
      <c r="AH6" s="92">
        <f t="shared" si="11"/>
        <v>1.7748006754691399</v>
      </c>
      <c r="AI6" s="91">
        <f t="shared" si="12"/>
        <v>4.1719930906137419</v>
      </c>
      <c r="AJ6" s="92">
        <f t="shared" si="13"/>
        <v>7.3430532639290513</v>
      </c>
      <c r="AK6" s="92">
        <f t="shared" si="14"/>
        <v>0.70900757945818549</v>
      </c>
      <c r="AL6" s="92">
        <f t="shared" si="15"/>
        <v>1.0346316320259121</v>
      </c>
      <c r="AM6" s="453">
        <f t="shared" si="16"/>
        <v>9.7326091662083574</v>
      </c>
      <c r="AN6" s="453">
        <f t="shared" si="17"/>
        <v>11.919963161572454</v>
      </c>
      <c r="AO6" s="141">
        <v>2</v>
      </c>
      <c r="AP6" s="141">
        <v>3</v>
      </c>
      <c r="AQ6" s="157">
        <f t="shared" si="18"/>
        <v>6.1499999999999999E-2</v>
      </c>
      <c r="AR6" s="241"/>
      <c r="AS6" s="241"/>
      <c r="AT6" s="241"/>
      <c r="AU6" s="241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94">
        <v>360</v>
      </c>
      <c r="BH6" s="243"/>
      <c r="BJ6" s="113"/>
      <c r="BK6" s="115"/>
    </row>
    <row r="7" spans="1:63" s="1" customFormat="1" x14ac:dyDescent="0.25">
      <c r="A7" s="86" t="s">
        <v>150</v>
      </c>
      <c r="B7" s="5" t="s">
        <v>37</v>
      </c>
      <c r="C7" s="112">
        <f t="shared" ca="1" si="0"/>
        <v>-1.75</v>
      </c>
      <c r="D7" s="470" t="s">
        <v>151</v>
      </c>
      <c r="E7" s="55">
        <v>35</v>
      </c>
      <c r="F7" s="56">
        <f ca="1">75-41471+$D$1-24-112-10-112-112+6-112-112-112+45-112-112-112-112-112-112-112-112-112-112-112-112-112-112-112-112-112</f>
        <v>84</v>
      </c>
      <c r="G7" s="71"/>
      <c r="H7" s="114">
        <v>4</v>
      </c>
      <c r="I7" s="57">
        <v>7.1</v>
      </c>
      <c r="J7" s="144">
        <f t="shared" si="1"/>
        <v>1.2113133585048663</v>
      </c>
      <c r="K7" s="85">
        <f t="shared" si="2"/>
        <v>113.6</v>
      </c>
      <c r="L7" s="85">
        <f t="shared" si="3"/>
        <v>177.5</v>
      </c>
      <c r="M7" s="79">
        <v>2.4</v>
      </c>
      <c r="N7" s="141">
        <f t="shared" si="4"/>
        <v>43</v>
      </c>
      <c r="O7" s="141" t="s">
        <v>149</v>
      </c>
      <c r="P7" s="236">
        <v>1.5</v>
      </c>
      <c r="Q7" s="141">
        <v>1</v>
      </c>
      <c r="R7" s="157">
        <f t="shared" si="5"/>
        <v>0.3779644730092272</v>
      </c>
      <c r="S7" s="157">
        <f t="shared" si="6"/>
        <v>0.53318450304347209</v>
      </c>
      <c r="T7" s="94">
        <v>790</v>
      </c>
      <c r="U7" s="210">
        <f t="shared" si="7"/>
        <v>-50</v>
      </c>
      <c r="V7" s="94">
        <v>740</v>
      </c>
      <c r="W7" s="92">
        <f t="shared" si="8"/>
        <v>1.0675675675675675</v>
      </c>
      <c r="X7" s="143">
        <v>0</v>
      </c>
      <c r="Y7" s="144">
        <v>8.9499999999999975</v>
      </c>
      <c r="Z7" s="143">
        <v>7.95</v>
      </c>
      <c r="AA7" s="144">
        <v>4.95</v>
      </c>
      <c r="AB7" s="143">
        <v>7.95</v>
      </c>
      <c r="AC7" s="144">
        <v>0.95</v>
      </c>
      <c r="AD7" s="143">
        <v>14</v>
      </c>
      <c r="AE7" s="240">
        <v>829</v>
      </c>
      <c r="AF7" s="452">
        <f t="shared" si="9"/>
        <v>4.0295976851335258</v>
      </c>
      <c r="AG7" s="452">
        <f t="shared" si="10"/>
        <v>5.6987116972230618</v>
      </c>
      <c r="AH7" s="92">
        <f t="shared" si="11"/>
        <v>1.5583446910512255</v>
      </c>
      <c r="AI7" s="91">
        <f t="shared" si="12"/>
        <v>2.8986104968459503</v>
      </c>
      <c r="AJ7" s="92">
        <f t="shared" si="13"/>
        <v>4.8365518350082262</v>
      </c>
      <c r="AK7" s="92">
        <f t="shared" si="14"/>
        <v>0.68440506868038931</v>
      </c>
      <c r="AL7" s="92">
        <f t="shared" si="15"/>
        <v>0.96779193509534056</v>
      </c>
      <c r="AM7" s="453">
        <f t="shared" si="16"/>
        <v>6.2874432158674347</v>
      </c>
      <c r="AN7" s="453">
        <f t="shared" si="17"/>
        <v>8.8917874685304348</v>
      </c>
      <c r="AO7" s="141">
        <v>3</v>
      </c>
      <c r="AP7" s="141">
        <v>2</v>
      </c>
      <c r="AQ7" s="157">
        <f t="shared" si="18"/>
        <v>0.1158</v>
      </c>
      <c r="AR7" s="241"/>
      <c r="AS7" s="241"/>
      <c r="AT7" s="241"/>
      <c r="AU7" s="241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94">
        <v>840</v>
      </c>
      <c r="BH7" s="243"/>
      <c r="BJ7" s="113"/>
      <c r="BK7" s="115"/>
    </row>
    <row r="8" spans="1:63" s="1" customFormat="1" x14ac:dyDescent="0.25">
      <c r="A8" s="5" t="s">
        <v>152</v>
      </c>
      <c r="B8" s="5" t="s">
        <v>37</v>
      </c>
      <c r="C8" s="112">
        <f t="shared" ca="1" si="0"/>
        <v>-5.3392857142857144</v>
      </c>
      <c r="D8" s="470" t="s">
        <v>153</v>
      </c>
      <c r="E8" s="55">
        <v>39</v>
      </c>
      <c r="F8" s="56">
        <f ca="1">46-41471+$D$1-112-112-112-112-112-112-112-112-112-112-112-112-112-112-112-112-112-112-112-112-112-112-112</f>
        <v>38</v>
      </c>
      <c r="G8" s="71" t="s">
        <v>146</v>
      </c>
      <c r="H8" s="111">
        <v>0</v>
      </c>
      <c r="I8" s="57">
        <v>19.100000000000001</v>
      </c>
      <c r="J8" s="144">
        <f t="shared" si="1"/>
        <v>1.7375947432273184</v>
      </c>
      <c r="K8" s="85">
        <f t="shared" si="2"/>
        <v>0</v>
      </c>
      <c r="L8" s="85">
        <f t="shared" si="3"/>
        <v>19.100000000000001</v>
      </c>
      <c r="M8" s="79">
        <v>1.8</v>
      </c>
      <c r="N8" s="141">
        <f t="shared" si="4"/>
        <v>37</v>
      </c>
      <c r="O8" s="141" t="s">
        <v>149</v>
      </c>
      <c r="P8" s="236">
        <v>1.5</v>
      </c>
      <c r="Q8" s="141">
        <v>4</v>
      </c>
      <c r="R8" s="157">
        <f t="shared" si="5"/>
        <v>0.7559289460184544</v>
      </c>
      <c r="S8" s="157">
        <f t="shared" si="6"/>
        <v>0.84430867747355465</v>
      </c>
      <c r="T8" s="94">
        <v>1380</v>
      </c>
      <c r="U8" s="210">
        <f t="shared" si="7"/>
        <v>-20</v>
      </c>
      <c r="V8" s="94">
        <v>460</v>
      </c>
      <c r="W8" s="92">
        <f t="shared" si="8"/>
        <v>3</v>
      </c>
      <c r="X8" s="143">
        <v>0</v>
      </c>
      <c r="Y8" s="144">
        <v>8.9499999999999975</v>
      </c>
      <c r="Z8" s="143">
        <v>8.9499999999999975</v>
      </c>
      <c r="AA8" s="144">
        <v>8.9499999999999975</v>
      </c>
      <c r="AB8" s="143">
        <v>6.95</v>
      </c>
      <c r="AC8" s="144">
        <v>0.95</v>
      </c>
      <c r="AD8" s="143">
        <v>16</v>
      </c>
      <c r="AE8" s="240">
        <v>983</v>
      </c>
      <c r="AF8" s="452">
        <f t="shared" si="9"/>
        <v>9.2129556487478794</v>
      </c>
      <c r="AG8" s="452">
        <f t="shared" si="10"/>
        <v>10.300397552145467</v>
      </c>
      <c r="AH8" s="92">
        <f t="shared" si="11"/>
        <v>3.0768938952712284</v>
      </c>
      <c r="AI8" s="91">
        <f t="shared" si="12"/>
        <v>7.5079500790540497</v>
      </c>
      <c r="AJ8" s="92">
        <f t="shared" si="13"/>
        <v>11.129235526904663</v>
      </c>
      <c r="AK8" s="92">
        <f t="shared" si="14"/>
        <v>0.7865075794581855</v>
      </c>
      <c r="AL8" s="92">
        <f t="shared" si="15"/>
        <v>1.0646316320259122</v>
      </c>
      <c r="AM8" s="453">
        <f t="shared" si="16"/>
        <v>14.519916826147012</v>
      </c>
      <c r="AN8" s="453">
        <f t="shared" si="17"/>
        <v>16.23376052545386</v>
      </c>
      <c r="AO8" s="141">
        <v>1</v>
      </c>
      <c r="AP8" s="141">
        <v>2</v>
      </c>
      <c r="AQ8" s="157">
        <f t="shared" si="18"/>
        <v>4.9399999999999999E-2</v>
      </c>
      <c r="AR8" s="241"/>
      <c r="AS8" s="241"/>
      <c r="AT8" s="241"/>
      <c r="AU8" s="241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94">
        <v>1400</v>
      </c>
      <c r="BH8" s="243"/>
      <c r="BJ8" s="113"/>
      <c r="BK8" s="115"/>
    </row>
    <row r="9" spans="1:63" s="66" customFormat="1" x14ac:dyDescent="0.25">
      <c r="A9" s="5" t="s">
        <v>157</v>
      </c>
      <c r="B9" s="5" t="s">
        <v>37</v>
      </c>
      <c r="C9" s="112">
        <f t="shared" ca="1" si="0"/>
        <v>4.8303571428571432</v>
      </c>
      <c r="D9" s="470" t="s">
        <v>158</v>
      </c>
      <c r="E9" s="55">
        <v>29</v>
      </c>
      <c r="F9" s="56">
        <f ca="1">-43570+$D$1-106-112-112-120</f>
        <v>19</v>
      </c>
      <c r="G9" s="71" t="s">
        <v>159</v>
      </c>
      <c r="H9" s="111">
        <v>3</v>
      </c>
      <c r="I9" s="57">
        <v>5.8</v>
      </c>
      <c r="J9" s="144">
        <f t="shared" si="1"/>
        <v>1.110011883608315</v>
      </c>
      <c r="K9" s="85">
        <f t="shared" si="2"/>
        <v>52.199999999999996</v>
      </c>
      <c r="L9" s="85">
        <f t="shared" si="3"/>
        <v>92.8</v>
      </c>
      <c r="M9" s="79">
        <v>6</v>
      </c>
      <c r="N9" s="141">
        <f t="shared" si="4"/>
        <v>79</v>
      </c>
      <c r="O9" s="235">
        <v>43982</v>
      </c>
      <c r="P9" s="236">
        <f t="shared" ref="P9:P22" ca="1" si="19">IF((TODAY()-O9)&gt;335,1,((TODAY()-O9)^0.64)/(336^0.64))</f>
        <v>0.32129411444772915</v>
      </c>
      <c r="Q9" s="141">
        <v>5</v>
      </c>
      <c r="R9" s="157">
        <f t="shared" si="5"/>
        <v>0.84515425472851657</v>
      </c>
      <c r="S9" s="157">
        <f t="shared" si="6"/>
        <v>0.92504826128926143</v>
      </c>
      <c r="T9" s="94">
        <v>39280</v>
      </c>
      <c r="U9" s="210">
        <f t="shared" si="7"/>
        <v>-430</v>
      </c>
      <c r="V9" s="94">
        <v>14712</v>
      </c>
      <c r="W9" s="92">
        <f t="shared" si="8"/>
        <v>2.6699293094072867</v>
      </c>
      <c r="X9" s="143">
        <v>0</v>
      </c>
      <c r="Y9" s="144">
        <v>13</v>
      </c>
      <c r="Z9" s="143">
        <v>6</v>
      </c>
      <c r="AA9" s="144">
        <v>2</v>
      </c>
      <c r="AB9" s="143">
        <v>1</v>
      </c>
      <c r="AC9" s="144">
        <v>7</v>
      </c>
      <c r="AD9" s="143">
        <f>15+1/3</f>
        <v>15.333333333333334</v>
      </c>
      <c r="AE9" s="240">
        <v>1230</v>
      </c>
      <c r="AF9" s="452">
        <f t="shared" ca="1" si="9"/>
        <v>6.2805998824466114</v>
      </c>
      <c r="AG9" s="452">
        <f t="shared" ca="1" si="10"/>
        <v>6.8800524605606075</v>
      </c>
      <c r="AH9" s="92">
        <f t="shared" ca="1" si="11"/>
        <v>2.0382921103942855</v>
      </c>
      <c r="AI9" s="91">
        <f t="shared" ca="1" si="12"/>
        <v>13.198367974726008</v>
      </c>
      <c r="AJ9" s="92">
        <f t="shared" ca="1" si="13"/>
        <v>12.055820623091472</v>
      </c>
      <c r="AK9" s="92">
        <f t="shared" ca="1" si="14"/>
        <v>0.92450447984448358</v>
      </c>
      <c r="AL9" s="92">
        <f t="shared" ca="1" si="15"/>
        <v>1.0801914198639231</v>
      </c>
      <c r="AM9" s="453">
        <f t="shared" ca="1" si="16"/>
        <v>14.090860882933411</v>
      </c>
      <c r="AN9" s="453">
        <f t="shared" ca="1" si="17"/>
        <v>15.435764720499582</v>
      </c>
      <c r="AO9" s="141">
        <v>1</v>
      </c>
      <c r="AP9" s="141">
        <v>2</v>
      </c>
      <c r="AQ9" s="157">
        <f t="shared" si="18"/>
        <v>4.9399999999999999E-2</v>
      </c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94">
        <v>39710</v>
      </c>
      <c r="BH9" s="243">
        <v>1900</v>
      </c>
      <c r="BI9" s="456"/>
      <c r="BJ9" s="113"/>
      <c r="BK9" s="142"/>
    </row>
    <row r="10" spans="1:63" x14ac:dyDescent="0.25">
      <c r="A10" s="5" t="s">
        <v>157</v>
      </c>
      <c r="B10" s="5" t="s">
        <v>37</v>
      </c>
      <c r="C10" s="112">
        <f t="shared" ca="1" si="0"/>
        <v>11.8125</v>
      </c>
      <c r="D10" s="467" t="s">
        <v>160</v>
      </c>
      <c r="E10" s="55">
        <v>22</v>
      </c>
      <c r="F10" s="56">
        <f ca="1">84-41471+$D$1-2631</f>
        <v>21</v>
      </c>
      <c r="G10" s="71" t="s">
        <v>146</v>
      </c>
      <c r="H10" s="114">
        <v>2</v>
      </c>
      <c r="I10" s="57">
        <v>4.7</v>
      </c>
      <c r="J10" s="144">
        <f t="shared" si="1"/>
        <v>1.0078331408966552</v>
      </c>
      <c r="K10" s="85">
        <f t="shared" si="2"/>
        <v>18.8</v>
      </c>
      <c r="L10" s="85">
        <f t="shared" si="3"/>
        <v>42.300000000000004</v>
      </c>
      <c r="M10" s="79">
        <v>6.6</v>
      </c>
      <c r="N10" s="141">
        <f t="shared" si="4"/>
        <v>85</v>
      </c>
      <c r="O10" s="466">
        <v>43884</v>
      </c>
      <c r="P10" s="236">
        <f t="shared" ca="1" si="19"/>
        <v>0.60947395205809318</v>
      </c>
      <c r="Q10" s="141">
        <v>5</v>
      </c>
      <c r="R10" s="157">
        <f t="shared" si="5"/>
        <v>0.84515425472851657</v>
      </c>
      <c r="S10" s="157">
        <f t="shared" si="6"/>
        <v>0.92504826128926143</v>
      </c>
      <c r="T10" s="94">
        <v>42540</v>
      </c>
      <c r="U10" s="210">
        <f t="shared" si="7"/>
        <v>30</v>
      </c>
      <c r="V10" s="94">
        <v>9276</v>
      </c>
      <c r="W10" s="92">
        <f t="shared" si="8"/>
        <v>4.5860284605433375</v>
      </c>
      <c r="X10" s="143">
        <v>0</v>
      </c>
      <c r="Y10" s="144">
        <v>12</v>
      </c>
      <c r="Z10" s="143">
        <v>7</v>
      </c>
      <c r="AA10" s="144">
        <v>1</v>
      </c>
      <c r="AB10" s="143">
        <v>3</v>
      </c>
      <c r="AC10" s="144">
        <v>6</v>
      </c>
      <c r="AD10" s="143">
        <f>15+1/3</f>
        <v>15.333333333333334</v>
      </c>
      <c r="AE10" s="240">
        <v>1144</v>
      </c>
      <c r="AF10" s="452">
        <f t="shared" ca="1" si="9"/>
        <v>7.2829537539129303</v>
      </c>
      <c r="AG10" s="452">
        <f t="shared" ca="1" si="10"/>
        <v>7.9780761125700801</v>
      </c>
      <c r="AH10" s="92">
        <f t="shared" ca="1" si="11"/>
        <v>2.4141748121941551</v>
      </c>
      <c r="AI10" s="91">
        <f t="shared" ca="1" si="12"/>
        <v>12.142823064867216</v>
      </c>
      <c r="AJ10" s="92">
        <f t="shared" ca="1" si="13"/>
        <v>11.959473963410721</v>
      </c>
      <c r="AK10" s="92">
        <f t="shared" ca="1" si="14"/>
        <v>0.88938456743637995</v>
      </c>
      <c r="AL10" s="92">
        <f t="shared" ca="1" si="15"/>
        <v>1.0532114965068324</v>
      </c>
      <c r="AM10" s="453">
        <f t="shared" ca="1" si="16"/>
        <v>14.231499895203083</v>
      </c>
      <c r="AN10" s="453">
        <f t="shared" ca="1" si="17"/>
        <v>15.58982703947027</v>
      </c>
      <c r="AO10" s="141">
        <v>2</v>
      </c>
      <c r="AP10" s="141">
        <v>3</v>
      </c>
      <c r="AQ10" s="157">
        <f t="shared" si="18"/>
        <v>6.1499999999999999E-2</v>
      </c>
      <c r="AR10" s="244">
        <v>56</v>
      </c>
      <c r="AS10" s="244">
        <v>16</v>
      </c>
      <c r="AT10" s="244">
        <v>12</v>
      </c>
      <c r="AU10" s="244">
        <v>18</v>
      </c>
      <c r="AV10" s="244">
        <f t="shared" ref="AV10:AV20" si="20">AR10*1+AS10*0.066</f>
        <v>57.055999999999997</v>
      </c>
      <c r="AW10" s="244">
        <f t="shared" ref="AW10:AW20" si="21">AR10*0.919+AS10*0.167</f>
        <v>54.135999999999996</v>
      </c>
      <c r="AX10" s="244">
        <f t="shared" ref="AX10:AX20" si="22">AR10*1+AS10*0.236</f>
        <v>59.775999999999996</v>
      </c>
      <c r="AY10" s="244">
        <f t="shared" ref="AY10:AY20" si="23">AR10*0.75+AS10*0.165</f>
        <v>44.64</v>
      </c>
      <c r="AZ10" s="244">
        <f t="shared" ref="AZ10:AZ20" si="24">AR10*0.73+AS10*0.38</f>
        <v>46.959999999999994</v>
      </c>
      <c r="BA10" s="244">
        <f t="shared" ref="BA10:BA20" si="25">AR10*0.45+AS10*1</f>
        <v>41.2</v>
      </c>
      <c r="BB10" s="244">
        <f t="shared" ref="BB10:BB20" si="26">AR10*0.65+AS10*0.95</f>
        <v>51.599999999999994</v>
      </c>
      <c r="BC10" s="244">
        <f t="shared" ref="BC10:BC20" si="27">AR10*0.3+AS10*0.53</f>
        <v>25.28</v>
      </c>
      <c r="BD10" s="244">
        <f t="shared" ref="BD10:BD20" si="28">AR10*0.4+AS10*0.44</f>
        <v>29.44</v>
      </c>
      <c r="BE10" s="244">
        <f t="shared" ref="BE10:BE20" si="29">AR10*0.25+AS10*0.73</f>
        <v>25.68</v>
      </c>
      <c r="BF10" s="244">
        <f t="shared" ref="BF10:BF20" si="30">AS10*0.46</f>
        <v>7.36</v>
      </c>
      <c r="BG10" s="94">
        <v>42510</v>
      </c>
      <c r="BH10" s="243"/>
      <c r="BI10" s="456">
        <f t="shared" ref="BI10:BI22" si="31">AU10+AT10+AS10+AR10</f>
        <v>102</v>
      </c>
      <c r="BJ10" s="113"/>
      <c r="BK10" s="115"/>
    </row>
    <row r="11" spans="1:63" s="66" customFormat="1" x14ac:dyDescent="0.25">
      <c r="A11" s="5" t="s">
        <v>161</v>
      </c>
      <c r="B11" s="5" t="s">
        <v>37</v>
      </c>
      <c r="C11" s="112">
        <f t="shared" ca="1" si="0"/>
        <v>11.607142857142858</v>
      </c>
      <c r="D11" s="467" t="s">
        <v>162</v>
      </c>
      <c r="E11" s="55">
        <v>22</v>
      </c>
      <c r="F11" s="56">
        <f ca="1">-43570+$D$1-89-112-112-112</f>
        <v>44</v>
      </c>
      <c r="G11" s="71" t="s">
        <v>163</v>
      </c>
      <c r="H11" s="111">
        <v>2</v>
      </c>
      <c r="I11" s="57">
        <v>4.7</v>
      </c>
      <c r="J11" s="144">
        <f t="shared" si="1"/>
        <v>1.0078331408966552</v>
      </c>
      <c r="K11" s="85">
        <f t="shared" si="2"/>
        <v>18.8</v>
      </c>
      <c r="L11" s="85">
        <f t="shared" si="3"/>
        <v>42.300000000000004</v>
      </c>
      <c r="M11" s="79">
        <v>6.7</v>
      </c>
      <c r="N11" s="141">
        <f t="shared" si="4"/>
        <v>86</v>
      </c>
      <c r="O11" s="235">
        <v>43739</v>
      </c>
      <c r="P11" s="236">
        <f t="shared" ca="1" si="19"/>
        <v>0.93003751159816417</v>
      </c>
      <c r="Q11" s="141">
        <v>6</v>
      </c>
      <c r="R11" s="157">
        <f t="shared" si="5"/>
        <v>0.92582009977255142</v>
      </c>
      <c r="S11" s="157">
        <f t="shared" si="6"/>
        <v>0.99928545900129484</v>
      </c>
      <c r="T11" s="94">
        <v>41120</v>
      </c>
      <c r="U11" s="210">
        <f t="shared" si="7"/>
        <v>3080</v>
      </c>
      <c r="V11" s="94">
        <v>9564</v>
      </c>
      <c r="W11" s="92">
        <f t="shared" si="8"/>
        <v>4.2994562944374737</v>
      </c>
      <c r="X11" s="143">
        <v>0</v>
      </c>
      <c r="Y11" s="144">
        <v>12</v>
      </c>
      <c r="Z11" s="143">
        <v>7</v>
      </c>
      <c r="AA11" s="144">
        <v>3</v>
      </c>
      <c r="AB11" s="143">
        <v>3</v>
      </c>
      <c r="AC11" s="144">
        <v>5</v>
      </c>
      <c r="AD11" s="143">
        <f>14+1/3</f>
        <v>14.333333333333334</v>
      </c>
      <c r="AE11" s="240">
        <v>1114</v>
      </c>
      <c r="AF11" s="452">
        <f t="shared" ca="1" si="9"/>
        <v>8.274860299246912</v>
      </c>
      <c r="AG11" s="452">
        <f t="shared" ca="1" si="10"/>
        <v>8.9378706524948193</v>
      </c>
      <c r="AH11" s="92">
        <f t="shared" ca="1" si="11"/>
        <v>2.7558900748028856</v>
      </c>
      <c r="AI11" s="91">
        <f t="shared" ca="1" si="12"/>
        <v>11.91162684090204</v>
      </c>
      <c r="AJ11" s="92">
        <f t="shared" ca="1" si="13"/>
        <v>12.471911418215814</v>
      </c>
      <c r="AK11" s="92">
        <f t="shared" ca="1" si="14"/>
        <v>0.83502965219958547</v>
      </c>
      <c r="AL11" s="92">
        <f t="shared" ca="1" si="15"/>
        <v>1.0456509456746372</v>
      </c>
      <c r="AM11" s="453">
        <f t="shared" ca="1" si="16"/>
        <v>14.96079112637455</v>
      </c>
      <c r="AN11" s="453">
        <f t="shared" ca="1" si="17"/>
        <v>16.159501322179121</v>
      </c>
      <c r="AO11" s="141">
        <v>2</v>
      </c>
      <c r="AP11" s="141">
        <v>2</v>
      </c>
      <c r="AQ11" s="157">
        <f t="shared" si="18"/>
        <v>6.1499999999999999E-2</v>
      </c>
      <c r="AR11" s="244">
        <v>56</v>
      </c>
      <c r="AS11" s="244">
        <v>17</v>
      </c>
      <c r="AT11" s="244">
        <v>8</v>
      </c>
      <c r="AU11" s="244">
        <v>16</v>
      </c>
      <c r="AV11" s="244">
        <f t="shared" si="20"/>
        <v>57.122</v>
      </c>
      <c r="AW11" s="244">
        <f t="shared" si="21"/>
        <v>54.302999999999997</v>
      </c>
      <c r="AX11" s="244">
        <f t="shared" si="22"/>
        <v>60.012</v>
      </c>
      <c r="AY11" s="244">
        <f t="shared" si="23"/>
        <v>44.805</v>
      </c>
      <c r="AZ11" s="244">
        <f t="shared" si="24"/>
        <v>47.339999999999996</v>
      </c>
      <c r="BA11" s="244">
        <f t="shared" si="25"/>
        <v>42.2</v>
      </c>
      <c r="BB11" s="244">
        <f t="shared" si="26"/>
        <v>52.55</v>
      </c>
      <c r="BC11" s="244">
        <f t="shared" si="27"/>
        <v>25.810000000000002</v>
      </c>
      <c r="BD11" s="244">
        <f t="shared" si="28"/>
        <v>29.880000000000003</v>
      </c>
      <c r="BE11" s="244">
        <f t="shared" si="29"/>
        <v>26.41</v>
      </c>
      <c r="BF11" s="244">
        <f t="shared" si="30"/>
        <v>7.82</v>
      </c>
      <c r="BG11" s="94">
        <v>38040</v>
      </c>
      <c r="BH11" s="243">
        <v>2040</v>
      </c>
      <c r="BI11" s="456">
        <f t="shared" si="31"/>
        <v>97</v>
      </c>
      <c r="BJ11" s="113"/>
      <c r="BK11" s="115"/>
    </row>
    <row r="12" spans="1:63" s="66" customFormat="1" x14ac:dyDescent="0.25">
      <c r="A12" s="5" t="s">
        <v>164</v>
      </c>
      <c r="B12" s="5" t="s">
        <v>37</v>
      </c>
      <c r="C12" s="112">
        <f t="shared" ca="1" si="0"/>
        <v>11.705357142857142</v>
      </c>
      <c r="D12" s="467" t="s">
        <v>165</v>
      </c>
      <c r="E12" s="55">
        <v>22</v>
      </c>
      <c r="F12" s="56">
        <f ca="1">-43670+$D$1-112-112-112</f>
        <v>33</v>
      </c>
      <c r="G12" s="71"/>
      <c r="H12" s="111">
        <v>3</v>
      </c>
      <c r="I12" s="57">
        <v>3.7</v>
      </c>
      <c r="J12" s="144">
        <f t="shared" si="1"/>
        <v>0.8961304772476234</v>
      </c>
      <c r="K12" s="85">
        <f t="shared" si="2"/>
        <v>33.300000000000004</v>
      </c>
      <c r="L12" s="85">
        <f t="shared" si="3"/>
        <v>59.2</v>
      </c>
      <c r="M12" s="79">
        <v>6.5</v>
      </c>
      <c r="N12" s="141">
        <f t="shared" si="4"/>
        <v>84</v>
      </c>
      <c r="O12" s="235">
        <v>43756</v>
      </c>
      <c r="P12" s="236">
        <f t="shared" ca="1" si="19"/>
        <v>0.89595496648943951</v>
      </c>
      <c r="Q12" s="141">
        <v>7</v>
      </c>
      <c r="R12" s="157">
        <f t="shared" si="5"/>
        <v>1</v>
      </c>
      <c r="S12" s="157">
        <f t="shared" si="6"/>
        <v>1</v>
      </c>
      <c r="T12" s="94">
        <v>49150</v>
      </c>
      <c r="U12" s="210">
        <f t="shared" si="7"/>
        <v>1320</v>
      </c>
      <c r="V12" s="94">
        <v>9450</v>
      </c>
      <c r="W12" s="92">
        <f t="shared" si="8"/>
        <v>5.2010582010582009</v>
      </c>
      <c r="X12" s="143">
        <v>0</v>
      </c>
      <c r="Y12" s="144">
        <v>12</v>
      </c>
      <c r="Z12" s="143">
        <v>5</v>
      </c>
      <c r="AA12" s="144">
        <v>3</v>
      </c>
      <c r="AB12" s="143">
        <v>5</v>
      </c>
      <c r="AC12" s="144">
        <v>6</v>
      </c>
      <c r="AD12" s="143">
        <v>16</v>
      </c>
      <c r="AE12" s="240">
        <v>1176</v>
      </c>
      <c r="AF12" s="452">
        <f t="shared" ca="1" si="9"/>
        <v>6.7920854437370624</v>
      </c>
      <c r="AG12" s="452">
        <f t="shared" ca="1" si="10"/>
        <v>6.7920854437370624</v>
      </c>
      <c r="AH12" s="92">
        <f t="shared" ca="1" si="11"/>
        <v>3.4220320414013985</v>
      </c>
      <c r="AI12" s="91">
        <f t="shared" ca="1" si="12"/>
        <v>15.120508830658908</v>
      </c>
      <c r="AJ12" s="92">
        <f t="shared" ca="1" si="13"/>
        <v>14.792085443737063</v>
      </c>
      <c r="AK12" s="92">
        <f t="shared" ca="1" si="14"/>
        <v>0.92336683549896503</v>
      </c>
      <c r="AL12" s="92">
        <f t="shared" ca="1" si="15"/>
        <v>1.0854459810615944</v>
      </c>
      <c r="AM12" s="453">
        <f t="shared" ca="1" si="16"/>
        <v>17.653557265245436</v>
      </c>
      <c r="AN12" s="453">
        <f t="shared" ca="1" si="17"/>
        <v>17.653557265245436</v>
      </c>
      <c r="AO12" s="141">
        <v>3</v>
      </c>
      <c r="AP12" s="141">
        <v>1</v>
      </c>
      <c r="AQ12" s="157">
        <f t="shared" si="18"/>
        <v>0.1158</v>
      </c>
      <c r="AR12" s="244">
        <v>56</v>
      </c>
      <c r="AS12" s="244">
        <v>11</v>
      </c>
      <c r="AT12" s="244">
        <v>12</v>
      </c>
      <c r="AU12" s="244">
        <v>20</v>
      </c>
      <c r="AV12" s="244">
        <f t="shared" si="20"/>
        <v>56.725999999999999</v>
      </c>
      <c r="AW12" s="244">
        <f t="shared" si="21"/>
        <v>53.301000000000002</v>
      </c>
      <c r="AX12" s="244">
        <f t="shared" si="22"/>
        <v>58.596000000000004</v>
      </c>
      <c r="AY12" s="244">
        <f t="shared" si="23"/>
        <v>43.814999999999998</v>
      </c>
      <c r="AZ12" s="244">
        <f t="shared" si="24"/>
        <v>45.059999999999995</v>
      </c>
      <c r="BA12" s="244">
        <f t="shared" si="25"/>
        <v>36.200000000000003</v>
      </c>
      <c r="BB12" s="244">
        <f t="shared" si="26"/>
        <v>46.849999999999994</v>
      </c>
      <c r="BC12" s="244">
        <f t="shared" si="27"/>
        <v>22.630000000000003</v>
      </c>
      <c r="BD12" s="244">
        <f t="shared" si="28"/>
        <v>27.240000000000002</v>
      </c>
      <c r="BE12" s="244">
        <f t="shared" si="29"/>
        <v>22.03</v>
      </c>
      <c r="BF12" s="244">
        <f t="shared" si="30"/>
        <v>5.0600000000000005</v>
      </c>
      <c r="BG12" s="94">
        <v>47830</v>
      </c>
      <c r="BH12" s="243">
        <v>2121</v>
      </c>
      <c r="BI12" s="456">
        <f t="shared" si="31"/>
        <v>99</v>
      </c>
      <c r="BJ12" s="113"/>
      <c r="BK12" s="115"/>
    </row>
    <row r="13" spans="1:63" s="66" customFormat="1" x14ac:dyDescent="0.25">
      <c r="A13" s="5" t="s">
        <v>166</v>
      </c>
      <c r="B13" s="5" t="s">
        <v>37</v>
      </c>
      <c r="C13" s="112">
        <f t="shared" ca="1" si="0"/>
        <v>11.205357142857142</v>
      </c>
      <c r="D13" s="467" t="s">
        <v>167</v>
      </c>
      <c r="E13" s="55">
        <v>22</v>
      </c>
      <c r="F13" s="56">
        <f ca="1">-43571+$D$1+15-112-112-112-58</f>
        <v>89</v>
      </c>
      <c r="G13" s="71"/>
      <c r="H13" s="111">
        <v>3</v>
      </c>
      <c r="I13" s="57">
        <v>2.5</v>
      </c>
      <c r="J13" s="144">
        <f t="shared" si="1"/>
        <v>0.72542405913370089</v>
      </c>
      <c r="K13" s="85">
        <f t="shared" si="2"/>
        <v>22.5</v>
      </c>
      <c r="L13" s="85">
        <f t="shared" si="3"/>
        <v>40</v>
      </c>
      <c r="M13" s="79">
        <v>6.6</v>
      </c>
      <c r="N13" s="141">
        <f t="shared" si="4"/>
        <v>85</v>
      </c>
      <c r="O13" s="235">
        <v>43920</v>
      </c>
      <c r="P13" s="236">
        <f t="shared" ca="1" si="19"/>
        <v>0.51462741468122808</v>
      </c>
      <c r="Q13" s="141">
        <v>6</v>
      </c>
      <c r="R13" s="157">
        <f t="shared" si="5"/>
        <v>0.92582009977255142</v>
      </c>
      <c r="S13" s="157">
        <f t="shared" si="6"/>
        <v>0.99928545900129484</v>
      </c>
      <c r="T13" s="94">
        <v>26870</v>
      </c>
      <c r="U13" s="210">
        <f t="shared" si="7"/>
        <v>800</v>
      </c>
      <c r="V13" s="94">
        <v>5724</v>
      </c>
      <c r="W13" s="92">
        <f t="shared" si="8"/>
        <v>4.6942697414395527</v>
      </c>
      <c r="X13" s="143">
        <v>0</v>
      </c>
      <c r="Y13" s="144">
        <v>11</v>
      </c>
      <c r="Z13" s="143">
        <v>4</v>
      </c>
      <c r="AA13" s="144">
        <v>1</v>
      </c>
      <c r="AB13" s="143">
        <v>5</v>
      </c>
      <c r="AC13" s="144">
        <v>6</v>
      </c>
      <c r="AD13" s="143">
        <f>17+1/3</f>
        <v>17.333333333333332</v>
      </c>
      <c r="AE13" s="240">
        <v>1052</v>
      </c>
      <c r="AF13" s="452">
        <f t="shared" ca="1" si="9"/>
        <v>4.8513449783006424</v>
      </c>
      <c r="AG13" s="452">
        <f t="shared" ca="1" si="10"/>
        <v>5.2400514738149289</v>
      </c>
      <c r="AH13" s="92">
        <f t="shared" ca="1" si="11"/>
        <v>2.8608019791068617</v>
      </c>
      <c r="AI13" s="91">
        <f t="shared" ca="1" si="12"/>
        <v>13.548309773349942</v>
      </c>
      <c r="AJ13" s="92">
        <f t="shared" ca="1" si="13"/>
        <v>14.047824636041318</v>
      </c>
      <c r="AK13" s="92">
        <f t="shared" ca="1" si="14"/>
        <v>0.9192041179051943</v>
      </c>
      <c r="AL13" s="92">
        <f t="shared" ca="1" si="15"/>
        <v>1.0468036031670451</v>
      </c>
      <c r="AM13" s="453">
        <f t="shared" ca="1" si="16"/>
        <v>17.015228611839735</v>
      </c>
      <c r="AN13" s="453">
        <f t="shared" ca="1" si="17"/>
        <v>18.378547426243944</v>
      </c>
      <c r="AO13" s="141">
        <v>1</v>
      </c>
      <c r="AP13" s="141">
        <v>2</v>
      </c>
      <c r="AQ13" s="157">
        <f t="shared" si="18"/>
        <v>4.9399999999999999E-2</v>
      </c>
      <c r="AR13" s="244">
        <v>46</v>
      </c>
      <c r="AS13" s="244">
        <v>6</v>
      </c>
      <c r="AT13" s="244">
        <v>12</v>
      </c>
      <c r="AU13" s="244">
        <v>26</v>
      </c>
      <c r="AV13" s="244">
        <f t="shared" si="20"/>
        <v>46.396000000000001</v>
      </c>
      <c r="AW13" s="244">
        <f t="shared" si="21"/>
        <v>43.276000000000003</v>
      </c>
      <c r="AX13" s="244">
        <f t="shared" si="22"/>
        <v>47.415999999999997</v>
      </c>
      <c r="AY13" s="244">
        <f t="shared" si="23"/>
        <v>35.49</v>
      </c>
      <c r="AZ13" s="244">
        <f t="shared" si="24"/>
        <v>35.86</v>
      </c>
      <c r="BA13" s="244">
        <f t="shared" si="25"/>
        <v>26.7</v>
      </c>
      <c r="BB13" s="244">
        <f t="shared" si="26"/>
        <v>35.6</v>
      </c>
      <c r="BC13" s="244">
        <f t="shared" si="27"/>
        <v>16.98</v>
      </c>
      <c r="BD13" s="244">
        <f t="shared" si="28"/>
        <v>21.040000000000003</v>
      </c>
      <c r="BE13" s="244">
        <f t="shared" si="29"/>
        <v>15.879999999999999</v>
      </c>
      <c r="BF13" s="244">
        <f t="shared" si="30"/>
        <v>2.7600000000000002</v>
      </c>
      <c r="BG13" s="94">
        <v>26070</v>
      </c>
      <c r="BH13" s="243">
        <v>2017</v>
      </c>
      <c r="BI13" s="456">
        <f t="shared" si="31"/>
        <v>90</v>
      </c>
      <c r="BJ13" s="113"/>
      <c r="BK13" s="115"/>
    </row>
    <row r="14" spans="1:63" s="66" customFormat="1" x14ac:dyDescent="0.25">
      <c r="A14" s="5" t="s">
        <v>168</v>
      </c>
      <c r="B14" s="5" t="s">
        <v>37</v>
      </c>
      <c r="C14" s="112">
        <f t="shared" ca="1" si="0"/>
        <v>12.357142857142858</v>
      </c>
      <c r="D14" s="467" t="s">
        <v>169</v>
      </c>
      <c r="E14" s="55">
        <v>21</v>
      </c>
      <c r="F14" s="56">
        <f ca="1">-43657+$D$1-32-278</f>
        <v>72</v>
      </c>
      <c r="G14" s="71" t="s">
        <v>146</v>
      </c>
      <c r="H14" s="111">
        <v>3</v>
      </c>
      <c r="I14" s="57">
        <v>3.9</v>
      </c>
      <c r="J14" s="144">
        <f t="shared" si="1"/>
        <v>0.92026144003801835</v>
      </c>
      <c r="K14" s="85">
        <f t="shared" si="2"/>
        <v>35.1</v>
      </c>
      <c r="L14" s="85">
        <f t="shared" si="3"/>
        <v>62.4</v>
      </c>
      <c r="M14" s="79">
        <v>6.8</v>
      </c>
      <c r="N14" s="141">
        <f t="shared" si="4"/>
        <v>87</v>
      </c>
      <c r="O14" s="235">
        <v>43898</v>
      </c>
      <c r="P14" s="236">
        <f t="shared" ca="1" si="19"/>
        <v>0.57364484417316941</v>
      </c>
      <c r="Q14" s="141">
        <v>6</v>
      </c>
      <c r="R14" s="157">
        <f t="shared" si="5"/>
        <v>0.92582009977255142</v>
      </c>
      <c r="S14" s="157">
        <f t="shared" si="6"/>
        <v>0.99928545900129484</v>
      </c>
      <c r="T14" s="94">
        <v>31270</v>
      </c>
      <c r="U14" s="210">
        <f t="shared" si="7"/>
        <v>1360</v>
      </c>
      <c r="V14" s="94">
        <v>5628</v>
      </c>
      <c r="W14" s="92">
        <f t="shared" si="8"/>
        <v>5.5561478322672349</v>
      </c>
      <c r="X14" s="143">
        <v>0</v>
      </c>
      <c r="Y14" s="144">
        <v>11</v>
      </c>
      <c r="Z14" s="143">
        <v>7</v>
      </c>
      <c r="AA14" s="144">
        <v>1</v>
      </c>
      <c r="AB14" s="143">
        <v>6</v>
      </c>
      <c r="AC14" s="144">
        <v>5</v>
      </c>
      <c r="AD14" s="143">
        <f>15+1/3</f>
        <v>15.333333333333334</v>
      </c>
      <c r="AE14" s="240">
        <v>1097</v>
      </c>
      <c r="AF14" s="452">
        <f t="shared" ca="1" si="9"/>
        <v>7.8638291635071029</v>
      </c>
      <c r="AG14" s="452">
        <f t="shared" ca="1" si="10"/>
        <v>8.493906284211187</v>
      </c>
      <c r="AH14" s="92">
        <f t="shared" ca="1" si="11"/>
        <v>3.1803909612583015</v>
      </c>
      <c r="AI14" s="91">
        <f t="shared" ca="1" si="12"/>
        <v>11.512449085791967</v>
      </c>
      <c r="AJ14" s="92">
        <f t="shared" ca="1" si="13"/>
        <v>12.708954352316788</v>
      </c>
      <c r="AK14" s="92">
        <f t="shared" ca="1" si="14"/>
        <v>0.82951250273689503</v>
      </c>
      <c r="AL14" s="92">
        <f t="shared" ca="1" si="15"/>
        <v>1.0045734398947832</v>
      </c>
      <c r="AM14" s="453">
        <f t="shared" ca="1" si="16"/>
        <v>15.456626114644598</v>
      </c>
      <c r="AN14" s="453">
        <f t="shared" ca="1" si="17"/>
        <v>16.695064320208502</v>
      </c>
      <c r="AO14" s="141">
        <v>3</v>
      </c>
      <c r="AP14" s="141">
        <v>3</v>
      </c>
      <c r="AQ14" s="157">
        <f t="shared" si="18"/>
        <v>0.1158</v>
      </c>
      <c r="AR14" s="244">
        <v>46</v>
      </c>
      <c r="AS14" s="244">
        <v>16</v>
      </c>
      <c r="AT14" s="244">
        <v>8</v>
      </c>
      <c r="AU14" s="244">
        <v>19</v>
      </c>
      <c r="AV14" s="244">
        <f t="shared" si="20"/>
        <v>47.055999999999997</v>
      </c>
      <c r="AW14" s="244">
        <f t="shared" si="21"/>
        <v>44.945999999999998</v>
      </c>
      <c r="AX14" s="244">
        <f t="shared" si="22"/>
        <v>49.775999999999996</v>
      </c>
      <c r="AY14" s="244">
        <f t="shared" si="23"/>
        <v>37.14</v>
      </c>
      <c r="AZ14" s="244">
        <f t="shared" si="24"/>
        <v>39.659999999999997</v>
      </c>
      <c r="BA14" s="244">
        <f t="shared" si="25"/>
        <v>36.700000000000003</v>
      </c>
      <c r="BB14" s="244">
        <f t="shared" si="26"/>
        <v>45.1</v>
      </c>
      <c r="BC14" s="244">
        <f t="shared" si="27"/>
        <v>22.28</v>
      </c>
      <c r="BD14" s="244">
        <f t="shared" si="28"/>
        <v>25.44</v>
      </c>
      <c r="BE14" s="244">
        <f t="shared" si="29"/>
        <v>23.18</v>
      </c>
      <c r="BF14" s="244">
        <f t="shared" si="30"/>
        <v>7.36</v>
      </c>
      <c r="BG14" s="94">
        <v>29910</v>
      </c>
      <c r="BH14" s="243">
        <v>5093</v>
      </c>
      <c r="BI14" s="456">
        <f t="shared" si="31"/>
        <v>89</v>
      </c>
      <c r="BJ14" s="113"/>
      <c r="BK14" s="115"/>
    </row>
    <row r="15" spans="1:63" s="66" customFormat="1" x14ac:dyDescent="0.25">
      <c r="A15" s="5" t="s">
        <v>170</v>
      </c>
      <c r="B15" s="5" t="s">
        <v>28</v>
      </c>
      <c r="C15" s="112">
        <f t="shared" ca="1" si="0"/>
        <v>11.821428571428571</v>
      </c>
      <c r="D15" s="467" t="s">
        <v>171</v>
      </c>
      <c r="E15" s="55">
        <v>22</v>
      </c>
      <c r="F15" s="56">
        <f ca="1">-43571+$D$1-112-112-112-112</f>
        <v>20</v>
      </c>
      <c r="G15" s="71" t="s">
        <v>159</v>
      </c>
      <c r="H15" s="111">
        <v>4</v>
      </c>
      <c r="I15" s="57">
        <v>2.6</v>
      </c>
      <c r="J15" s="144">
        <f t="shared" si="1"/>
        <v>0.74173666768971636</v>
      </c>
      <c r="K15" s="85">
        <f t="shared" si="2"/>
        <v>41.6</v>
      </c>
      <c r="L15" s="85">
        <f t="shared" si="3"/>
        <v>65</v>
      </c>
      <c r="M15" s="79">
        <v>6.6</v>
      </c>
      <c r="N15" s="141">
        <f t="shared" si="4"/>
        <v>85</v>
      </c>
      <c r="O15" s="235">
        <v>43626</v>
      </c>
      <c r="P15" s="236">
        <f t="shared" ca="1" si="19"/>
        <v>1</v>
      </c>
      <c r="Q15" s="141">
        <v>7</v>
      </c>
      <c r="R15" s="157">
        <f t="shared" si="5"/>
        <v>1</v>
      </c>
      <c r="S15" s="157">
        <f t="shared" si="6"/>
        <v>1</v>
      </c>
      <c r="T15" s="94">
        <v>57850</v>
      </c>
      <c r="U15" s="210">
        <f t="shared" si="7"/>
        <v>200</v>
      </c>
      <c r="V15" s="94">
        <v>19500</v>
      </c>
      <c r="W15" s="92">
        <f t="shared" si="8"/>
        <v>2.9666666666666668</v>
      </c>
      <c r="X15" s="143">
        <v>0</v>
      </c>
      <c r="Y15" s="144">
        <v>4</v>
      </c>
      <c r="Z15" s="143">
        <v>13</v>
      </c>
      <c r="AA15" s="144">
        <v>3</v>
      </c>
      <c r="AB15" s="143">
        <v>4</v>
      </c>
      <c r="AC15" s="144">
        <v>7</v>
      </c>
      <c r="AD15" s="143">
        <f>16+1/3</f>
        <v>16.333333333333332</v>
      </c>
      <c r="AE15" s="240">
        <v>1176</v>
      </c>
      <c r="AF15" s="452">
        <f t="shared" ca="1" si="9"/>
        <v>14.741736667689716</v>
      </c>
      <c r="AG15" s="452">
        <f t="shared" ca="1" si="10"/>
        <v>14.741736667689716</v>
      </c>
      <c r="AH15" s="92">
        <f t="shared" ca="1" si="11"/>
        <v>2.1531512503836439</v>
      </c>
      <c r="AI15" s="91">
        <f t="shared" ca="1" si="12"/>
        <v>16.852571368927606</v>
      </c>
      <c r="AJ15" s="92">
        <f t="shared" ca="1" si="13"/>
        <v>15.27507000102305</v>
      </c>
      <c r="AK15" s="92">
        <f t="shared" ca="1" si="14"/>
        <v>0.97933893341517719</v>
      </c>
      <c r="AL15" s="92">
        <f t="shared" ca="1" si="15"/>
        <v>0.77192156673828016</v>
      </c>
      <c r="AM15" s="453">
        <f t="shared" ca="1" si="16"/>
        <v>17.886631130627755</v>
      </c>
      <c r="AN15" s="453">
        <f t="shared" ca="1" si="17"/>
        <v>17.886631130627755</v>
      </c>
      <c r="AO15" s="141">
        <v>4</v>
      </c>
      <c r="AP15" s="141">
        <v>3</v>
      </c>
      <c r="AQ15" s="157">
        <f t="shared" si="18"/>
        <v>0.157</v>
      </c>
      <c r="AR15" s="244">
        <v>6</v>
      </c>
      <c r="AS15" s="244">
        <v>60</v>
      </c>
      <c r="AT15" s="244">
        <v>16</v>
      </c>
      <c r="AU15" s="244">
        <v>23</v>
      </c>
      <c r="AV15" s="244">
        <f t="shared" si="20"/>
        <v>9.9600000000000009</v>
      </c>
      <c r="AW15" s="244">
        <f t="shared" si="21"/>
        <v>15.534000000000002</v>
      </c>
      <c r="AX15" s="244">
        <f t="shared" si="22"/>
        <v>20.16</v>
      </c>
      <c r="AY15" s="244">
        <f t="shared" si="23"/>
        <v>14.4</v>
      </c>
      <c r="AZ15" s="244">
        <f t="shared" si="24"/>
        <v>27.18</v>
      </c>
      <c r="BA15" s="244">
        <f t="shared" si="25"/>
        <v>62.7</v>
      </c>
      <c r="BB15" s="244">
        <f t="shared" si="26"/>
        <v>60.9</v>
      </c>
      <c r="BC15" s="244">
        <f t="shared" si="27"/>
        <v>33.6</v>
      </c>
      <c r="BD15" s="244">
        <f t="shared" si="28"/>
        <v>28.799999999999997</v>
      </c>
      <c r="BE15" s="244">
        <f t="shared" si="29"/>
        <v>45.3</v>
      </c>
      <c r="BF15" s="244">
        <f t="shared" si="30"/>
        <v>27.6</v>
      </c>
      <c r="BG15" s="94">
        <v>57650</v>
      </c>
      <c r="BH15" s="243">
        <v>2327</v>
      </c>
      <c r="BI15" s="456">
        <f t="shared" si="31"/>
        <v>105</v>
      </c>
      <c r="BJ15" s="113"/>
      <c r="BK15" s="115"/>
    </row>
    <row r="16" spans="1:63" s="66" customFormat="1" x14ac:dyDescent="0.25">
      <c r="A16" s="5" t="s">
        <v>172</v>
      </c>
      <c r="B16" s="5" t="s">
        <v>28</v>
      </c>
      <c r="C16" s="112">
        <f t="shared" ca="1" si="0"/>
        <v>12.330357142857142</v>
      </c>
      <c r="D16" s="467" t="s">
        <v>173</v>
      </c>
      <c r="E16" s="55">
        <v>21</v>
      </c>
      <c r="F16" s="56">
        <f ca="1">-43628+$D$1-112-112-112</f>
        <v>75</v>
      </c>
      <c r="G16" s="71" t="s">
        <v>163</v>
      </c>
      <c r="H16" s="237">
        <v>6</v>
      </c>
      <c r="I16" s="57">
        <v>3.8</v>
      </c>
      <c r="J16" s="144">
        <f t="shared" si="1"/>
        <v>0.90832164983411623</v>
      </c>
      <c r="K16" s="85">
        <f t="shared" si="2"/>
        <v>136.79999999999998</v>
      </c>
      <c r="L16" s="85">
        <f t="shared" si="3"/>
        <v>186.2</v>
      </c>
      <c r="M16" s="79">
        <v>6.4</v>
      </c>
      <c r="N16" s="141">
        <f t="shared" si="4"/>
        <v>83</v>
      </c>
      <c r="O16" s="235">
        <v>43633</v>
      </c>
      <c r="P16" s="236">
        <f t="shared" ca="1" si="19"/>
        <v>1</v>
      </c>
      <c r="Q16" s="141">
        <v>5</v>
      </c>
      <c r="R16" s="157">
        <f t="shared" si="5"/>
        <v>0.84515425472851657</v>
      </c>
      <c r="S16" s="157">
        <f t="shared" si="6"/>
        <v>0.92504826128926143</v>
      </c>
      <c r="T16" s="94">
        <v>50690</v>
      </c>
      <c r="U16" s="210">
        <f t="shared" si="7"/>
        <v>-3990</v>
      </c>
      <c r="V16" s="94">
        <v>9910</v>
      </c>
      <c r="W16" s="92">
        <f t="shared" si="8"/>
        <v>5.1150353178607464</v>
      </c>
      <c r="X16" s="143">
        <v>0</v>
      </c>
      <c r="Y16" s="144">
        <v>3</v>
      </c>
      <c r="Z16" s="143">
        <v>12</v>
      </c>
      <c r="AA16" s="144">
        <v>2</v>
      </c>
      <c r="AB16" s="143">
        <v>6</v>
      </c>
      <c r="AC16" s="144">
        <v>9</v>
      </c>
      <c r="AD16" s="143">
        <f>15+1/3</f>
        <v>15.333333333333334</v>
      </c>
      <c r="AE16" s="240">
        <v>1166</v>
      </c>
      <c r="AF16" s="452">
        <f t="shared" ca="1" si="9"/>
        <v>11.754677218490045</v>
      </c>
      <c r="AG16" s="452">
        <f t="shared" ca="1" si="10"/>
        <v>12.876603737518158</v>
      </c>
      <c r="AH16" s="92">
        <f t="shared" ca="1" si="11"/>
        <v>2.1894740382714111</v>
      </c>
      <c r="AI16" s="91">
        <f t="shared" ca="1" si="12"/>
        <v>16.89524559538054</v>
      </c>
      <c r="AJ16" s="92">
        <f t="shared" ca="1" si="13"/>
        <v>12.966064983600917</v>
      </c>
      <c r="AK16" s="92">
        <f t="shared" ca="1" si="14"/>
        <v>1.0626657319867294</v>
      </c>
      <c r="AL16" s="92">
        <f t="shared" ca="1" si="15"/>
        <v>0.71358251548838825</v>
      </c>
      <c r="AM16" s="453">
        <f t="shared" ca="1" si="16"/>
        <v>14.457528258569106</v>
      </c>
      <c r="AN16" s="453">
        <f t="shared" ca="1" si="17"/>
        <v>15.837428705973361</v>
      </c>
      <c r="AO16" s="141">
        <v>4</v>
      </c>
      <c r="AP16" s="141">
        <v>2</v>
      </c>
      <c r="AQ16" s="157">
        <f t="shared" si="18"/>
        <v>0.157</v>
      </c>
      <c r="AR16" s="244">
        <v>3</v>
      </c>
      <c r="AS16" s="244">
        <v>49</v>
      </c>
      <c r="AT16" s="244">
        <v>27</v>
      </c>
      <c r="AU16" s="244">
        <v>19</v>
      </c>
      <c r="AV16" s="244">
        <f t="shared" si="20"/>
        <v>6.234</v>
      </c>
      <c r="AW16" s="244">
        <f t="shared" si="21"/>
        <v>10.94</v>
      </c>
      <c r="AX16" s="244">
        <f t="shared" si="22"/>
        <v>14.564</v>
      </c>
      <c r="AY16" s="244">
        <f t="shared" si="23"/>
        <v>10.335000000000001</v>
      </c>
      <c r="AZ16" s="244">
        <f t="shared" si="24"/>
        <v>20.810000000000002</v>
      </c>
      <c r="BA16" s="244">
        <f t="shared" si="25"/>
        <v>50.35</v>
      </c>
      <c r="BB16" s="244">
        <f t="shared" si="26"/>
        <v>48.5</v>
      </c>
      <c r="BC16" s="244">
        <f t="shared" si="27"/>
        <v>26.87</v>
      </c>
      <c r="BD16" s="244">
        <f t="shared" si="28"/>
        <v>22.759999999999998</v>
      </c>
      <c r="BE16" s="244">
        <f t="shared" si="29"/>
        <v>36.519999999999996</v>
      </c>
      <c r="BF16" s="244">
        <f t="shared" si="30"/>
        <v>22.540000000000003</v>
      </c>
      <c r="BG16" s="94">
        <v>54680</v>
      </c>
      <c r="BH16" s="243">
        <v>4689</v>
      </c>
      <c r="BI16" s="456">
        <f t="shared" si="31"/>
        <v>98</v>
      </c>
      <c r="BJ16" s="113"/>
      <c r="BK16" s="115"/>
    </row>
    <row r="17" spans="1:63" s="66" customFormat="1" x14ac:dyDescent="0.25">
      <c r="A17" s="5" t="s">
        <v>174</v>
      </c>
      <c r="B17" s="5" t="s">
        <v>28</v>
      </c>
      <c r="C17" s="112">
        <f t="shared" ca="1" si="0"/>
        <v>11.678571428571429</v>
      </c>
      <c r="D17" s="467" t="s">
        <v>175</v>
      </c>
      <c r="E17" s="55">
        <v>22</v>
      </c>
      <c r="F17" s="56">
        <f ca="1">-43569+$D$1+14-112-112-112-112</f>
        <v>36</v>
      </c>
      <c r="G17" s="71" t="s">
        <v>146</v>
      </c>
      <c r="H17" s="111">
        <v>1</v>
      </c>
      <c r="I17" s="57">
        <v>3.7</v>
      </c>
      <c r="J17" s="144">
        <f t="shared" si="1"/>
        <v>0.8961304772476234</v>
      </c>
      <c r="K17" s="85">
        <f t="shared" si="2"/>
        <v>3.7</v>
      </c>
      <c r="L17" s="85">
        <f t="shared" si="3"/>
        <v>14.8</v>
      </c>
      <c r="M17" s="79">
        <v>6.5</v>
      </c>
      <c r="N17" s="141">
        <f t="shared" si="4"/>
        <v>84</v>
      </c>
      <c r="O17" s="235">
        <v>43630</v>
      </c>
      <c r="P17" s="236">
        <f t="shared" ca="1" si="19"/>
        <v>1</v>
      </c>
      <c r="Q17" s="141">
        <v>4</v>
      </c>
      <c r="R17" s="157">
        <f t="shared" si="5"/>
        <v>0.7559289460184544</v>
      </c>
      <c r="S17" s="157">
        <f t="shared" si="6"/>
        <v>0.84430867747355465</v>
      </c>
      <c r="T17" s="94">
        <v>57150</v>
      </c>
      <c r="U17" s="210">
        <f t="shared" si="7"/>
        <v>-960</v>
      </c>
      <c r="V17" s="94">
        <v>23508</v>
      </c>
      <c r="W17" s="92">
        <f t="shared" si="8"/>
        <v>2.4310872894333846</v>
      </c>
      <c r="X17" s="143">
        <v>0</v>
      </c>
      <c r="Y17" s="144">
        <v>4</v>
      </c>
      <c r="Z17" s="143">
        <v>13</v>
      </c>
      <c r="AA17" s="144">
        <v>3</v>
      </c>
      <c r="AB17" s="143">
        <v>2</v>
      </c>
      <c r="AC17" s="144">
        <v>8</v>
      </c>
      <c r="AD17" s="143">
        <f>14+1/3</f>
        <v>14.333333333333334</v>
      </c>
      <c r="AE17" s="240">
        <v>1127</v>
      </c>
      <c r="AF17" s="452">
        <f t="shared" ca="1" si="9"/>
        <v>11.260416211419173</v>
      </c>
      <c r="AG17" s="452">
        <f t="shared" ca="1" si="10"/>
        <v>12.589528051836957</v>
      </c>
      <c r="AH17" s="92">
        <f t="shared" ca="1" si="11"/>
        <v>1.2934314134606788</v>
      </c>
      <c r="AI17" s="91">
        <f t="shared" ca="1" si="12"/>
        <v>13.42059747928981</v>
      </c>
      <c r="AJ17" s="92">
        <f t="shared" ca="1" si="13"/>
        <v>10.83205647534205</v>
      </c>
      <c r="AK17" s="92">
        <f t="shared" ca="1" si="14"/>
        <v>0.98169043817980994</v>
      </c>
      <c r="AL17" s="92">
        <f t="shared" ca="1" si="15"/>
        <v>0.72272913340733358</v>
      </c>
      <c r="AM17" s="453">
        <f t="shared" ca="1" si="16"/>
        <v>12.163604012816077</v>
      </c>
      <c r="AN17" s="453">
        <f t="shared" ca="1" si="17"/>
        <v>13.599322712022987</v>
      </c>
      <c r="AO17" s="141">
        <v>3</v>
      </c>
      <c r="AP17" s="141">
        <v>0</v>
      </c>
      <c r="AQ17" s="157">
        <f t="shared" si="18"/>
        <v>0.16549999999999998</v>
      </c>
      <c r="AR17" s="244">
        <v>6</v>
      </c>
      <c r="AS17" s="244">
        <v>63</v>
      </c>
      <c r="AT17" s="244">
        <v>21</v>
      </c>
      <c r="AU17" s="244">
        <v>16</v>
      </c>
      <c r="AV17" s="244">
        <f t="shared" si="20"/>
        <v>10.158000000000001</v>
      </c>
      <c r="AW17" s="244">
        <f t="shared" si="21"/>
        <v>16.035</v>
      </c>
      <c r="AX17" s="244">
        <f t="shared" si="22"/>
        <v>20.867999999999999</v>
      </c>
      <c r="AY17" s="244">
        <f t="shared" si="23"/>
        <v>14.895000000000001</v>
      </c>
      <c r="AZ17" s="244">
        <f t="shared" si="24"/>
        <v>28.32</v>
      </c>
      <c r="BA17" s="244">
        <f t="shared" si="25"/>
        <v>65.7</v>
      </c>
      <c r="BB17" s="244">
        <f t="shared" si="26"/>
        <v>63.749999999999993</v>
      </c>
      <c r="BC17" s="244">
        <f t="shared" si="27"/>
        <v>35.19</v>
      </c>
      <c r="BD17" s="244">
        <f t="shared" si="28"/>
        <v>30.119999999999997</v>
      </c>
      <c r="BE17" s="244">
        <f t="shared" si="29"/>
        <v>47.49</v>
      </c>
      <c r="BF17" s="244">
        <f t="shared" si="30"/>
        <v>28.98</v>
      </c>
      <c r="BG17" s="94">
        <v>58110</v>
      </c>
      <c r="BH17" s="243">
        <v>1887</v>
      </c>
      <c r="BI17" s="456">
        <f t="shared" si="31"/>
        <v>106</v>
      </c>
      <c r="BJ17" s="113"/>
      <c r="BK17" s="115"/>
    </row>
    <row r="18" spans="1:63" s="66" customFormat="1" x14ac:dyDescent="0.25">
      <c r="A18" s="5" t="s">
        <v>176</v>
      </c>
      <c r="B18" s="5" t="s">
        <v>28</v>
      </c>
      <c r="C18" s="112">
        <f t="shared" ca="1" si="0"/>
        <v>11.678571428571429</v>
      </c>
      <c r="D18" s="467" t="s">
        <v>177</v>
      </c>
      <c r="E18" s="55">
        <v>22</v>
      </c>
      <c r="F18" s="56">
        <f ca="1">-43569+$D$1+14-112-112-112-112</f>
        <v>36</v>
      </c>
      <c r="G18" s="71" t="s">
        <v>163</v>
      </c>
      <c r="H18" s="111">
        <v>1</v>
      </c>
      <c r="I18" s="57">
        <v>3.9</v>
      </c>
      <c r="J18" s="144">
        <f t="shared" si="1"/>
        <v>0.92026144003801835</v>
      </c>
      <c r="K18" s="85">
        <f t="shared" si="2"/>
        <v>3.9</v>
      </c>
      <c r="L18" s="85">
        <f t="shared" si="3"/>
        <v>15.6</v>
      </c>
      <c r="M18" s="79">
        <v>6.7</v>
      </c>
      <c r="N18" s="141">
        <f t="shared" si="4"/>
        <v>86</v>
      </c>
      <c r="O18" s="235">
        <v>43627</v>
      </c>
      <c r="P18" s="236">
        <f t="shared" ca="1" si="19"/>
        <v>1</v>
      </c>
      <c r="Q18" s="141">
        <v>6</v>
      </c>
      <c r="R18" s="157">
        <f t="shared" si="5"/>
        <v>0.92582009977255142</v>
      </c>
      <c r="S18" s="157">
        <f t="shared" si="6"/>
        <v>0.99928545900129484</v>
      </c>
      <c r="T18" s="94">
        <v>74720</v>
      </c>
      <c r="U18" s="210">
        <f t="shared" si="7"/>
        <v>-2330</v>
      </c>
      <c r="V18" s="94">
        <v>24084</v>
      </c>
      <c r="W18" s="92">
        <f t="shared" si="8"/>
        <v>3.1024746719813985</v>
      </c>
      <c r="X18" s="143">
        <v>0</v>
      </c>
      <c r="Y18" s="144">
        <v>2</v>
      </c>
      <c r="Z18" s="143">
        <v>13</v>
      </c>
      <c r="AA18" s="144">
        <v>5</v>
      </c>
      <c r="AB18" s="143">
        <v>4</v>
      </c>
      <c r="AC18" s="144">
        <v>8</v>
      </c>
      <c r="AD18" s="143">
        <v>17</v>
      </c>
      <c r="AE18" s="240">
        <v>1200</v>
      </c>
      <c r="AF18" s="452">
        <f t="shared" ca="1" si="9"/>
        <v>13.813477935048549</v>
      </c>
      <c r="AG18" s="452">
        <f t="shared" ca="1" si="10"/>
        <v>14.920261440038018</v>
      </c>
      <c r="AH18" s="92">
        <f t="shared" ca="1" si="11"/>
        <v>1.8239563639677074</v>
      </c>
      <c r="AI18" s="91">
        <f t="shared" ca="1" si="12"/>
        <v>17.844050869573337</v>
      </c>
      <c r="AJ18" s="92">
        <f t="shared" ca="1" si="13"/>
        <v>15.017044064752865</v>
      </c>
      <c r="AK18" s="92">
        <f t="shared" ca="1" si="14"/>
        <v>1.0636209152030414</v>
      </c>
      <c r="AL18" s="92">
        <f t="shared" ca="1" si="15"/>
        <v>0.72441830080266134</v>
      </c>
      <c r="AM18" s="453">
        <f t="shared" ca="1" si="16"/>
        <v>17.394387787171656</v>
      </c>
      <c r="AN18" s="453">
        <f t="shared" ca="1" si="17"/>
        <v>18.788086142701999</v>
      </c>
      <c r="AO18" s="141">
        <v>4</v>
      </c>
      <c r="AP18" s="141">
        <v>2</v>
      </c>
      <c r="AQ18" s="157">
        <f t="shared" si="18"/>
        <v>0.157</v>
      </c>
      <c r="AR18" s="244">
        <v>0</v>
      </c>
      <c r="AS18" s="244">
        <f>58+5</f>
        <v>63</v>
      </c>
      <c r="AT18" s="244">
        <v>21</v>
      </c>
      <c r="AU18" s="244">
        <v>24</v>
      </c>
      <c r="AV18" s="244">
        <f t="shared" si="20"/>
        <v>4.1580000000000004</v>
      </c>
      <c r="AW18" s="244">
        <f t="shared" si="21"/>
        <v>10.521000000000001</v>
      </c>
      <c r="AX18" s="244">
        <f t="shared" si="22"/>
        <v>14.867999999999999</v>
      </c>
      <c r="AY18" s="244">
        <f t="shared" si="23"/>
        <v>10.395000000000001</v>
      </c>
      <c r="AZ18" s="244">
        <f t="shared" si="24"/>
        <v>23.94</v>
      </c>
      <c r="BA18" s="244">
        <f t="shared" si="25"/>
        <v>63</v>
      </c>
      <c r="BB18" s="244">
        <f t="shared" si="26"/>
        <v>59.849999999999994</v>
      </c>
      <c r="BC18" s="244">
        <f t="shared" si="27"/>
        <v>33.39</v>
      </c>
      <c r="BD18" s="244">
        <f t="shared" si="28"/>
        <v>27.72</v>
      </c>
      <c r="BE18" s="244">
        <f t="shared" si="29"/>
        <v>45.99</v>
      </c>
      <c r="BF18" s="244">
        <f t="shared" si="30"/>
        <v>28.98</v>
      </c>
      <c r="BG18" s="94">
        <v>77050</v>
      </c>
      <c r="BH18" s="243">
        <v>3853</v>
      </c>
      <c r="BI18" s="456">
        <f t="shared" si="31"/>
        <v>108</v>
      </c>
      <c r="BJ18" s="113"/>
      <c r="BK18" s="115"/>
    </row>
    <row r="19" spans="1:63" s="66" customFormat="1" x14ac:dyDescent="0.25">
      <c r="A19" s="5" t="s">
        <v>178</v>
      </c>
      <c r="B19" s="5" t="s">
        <v>28</v>
      </c>
      <c r="C19" s="112">
        <f t="shared" ca="1" si="0"/>
        <v>11.803571428571429</v>
      </c>
      <c r="D19" s="467" t="s">
        <v>179</v>
      </c>
      <c r="E19" s="55">
        <v>22</v>
      </c>
      <c r="F19" s="56">
        <f ca="1">-43569+$D$1-112-112-112-112</f>
        <v>22</v>
      </c>
      <c r="G19" s="71" t="s">
        <v>159</v>
      </c>
      <c r="H19" s="111">
        <v>4</v>
      </c>
      <c r="I19" s="57">
        <v>2.9</v>
      </c>
      <c r="J19" s="144">
        <f t="shared" si="1"/>
        <v>0.78808614270199895</v>
      </c>
      <c r="K19" s="85">
        <f t="shared" si="2"/>
        <v>46.4</v>
      </c>
      <c r="L19" s="85">
        <f t="shared" si="3"/>
        <v>72.5</v>
      </c>
      <c r="M19" s="79">
        <v>6.6</v>
      </c>
      <c r="N19" s="141">
        <f t="shared" si="4"/>
        <v>85</v>
      </c>
      <c r="O19" s="235">
        <v>43626</v>
      </c>
      <c r="P19" s="236">
        <f t="shared" ca="1" si="19"/>
        <v>1</v>
      </c>
      <c r="Q19" s="141">
        <v>5</v>
      </c>
      <c r="R19" s="157">
        <f t="shared" si="5"/>
        <v>0.84515425472851657</v>
      </c>
      <c r="S19" s="157">
        <f t="shared" si="6"/>
        <v>0.92504826128926143</v>
      </c>
      <c r="T19" s="94">
        <v>43340</v>
      </c>
      <c r="U19" s="210">
        <f t="shared" si="7"/>
        <v>-630</v>
      </c>
      <c r="V19" s="94">
        <v>12948</v>
      </c>
      <c r="W19" s="92">
        <f t="shared" si="8"/>
        <v>3.3472350942230462</v>
      </c>
      <c r="X19" s="143">
        <v>0</v>
      </c>
      <c r="Y19" s="144">
        <v>6</v>
      </c>
      <c r="Z19" s="143">
        <v>12</v>
      </c>
      <c r="AA19" s="144">
        <v>2</v>
      </c>
      <c r="AB19" s="143">
        <v>3</v>
      </c>
      <c r="AC19" s="144">
        <v>6</v>
      </c>
      <c r="AD19" s="143">
        <f>17+1/4</f>
        <v>17.25</v>
      </c>
      <c r="AE19" s="240">
        <v>1112</v>
      </c>
      <c r="AF19" s="452">
        <f t="shared" ca="1" si="9"/>
        <v>11.653059668067895</v>
      </c>
      <c r="AG19" s="452">
        <f t="shared" ca="1" si="10"/>
        <v>12.765287288308899</v>
      </c>
      <c r="AH19" s="92">
        <f t="shared" ca="1" si="11"/>
        <v>1.834434611339911</v>
      </c>
      <c r="AI19" s="91">
        <f t="shared" ca="1" si="12"/>
        <v>13.352736063925889</v>
      </c>
      <c r="AJ19" s="92">
        <f t="shared" ca="1" si="13"/>
        <v>13.237723895683864</v>
      </c>
      <c r="AK19" s="92">
        <f t="shared" ca="1" si="14"/>
        <v>0.96054689141615979</v>
      </c>
      <c r="AL19" s="92">
        <f t="shared" ca="1" si="15"/>
        <v>0.8826660299891399</v>
      </c>
      <c r="AM19" s="453">
        <f t="shared" ca="1" si="16"/>
        <v>15.945128662531763</v>
      </c>
      <c r="AN19" s="453">
        <f t="shared" ca="1" si="17"/>
        <v>17.467013301581652</v>
      </c>
      <c r="AO19" s="141">
        <v>2</v>
      </c>
      <c r="AP19" s="141">
        <v>3</v>
      </c>
      <c r="AQ19" s="157">
        <f t="shared" si="18"/>
        <v>6.1499999999999999E-2</v>
      </c>
      <c r="AR19" s="244">
        <v>14</v>
      </c>
      <c r="AS19" s="244">
        <f>48+3</f>
        <v>51</v>
      </c>
      <c r="AT19" s="244">
        <v>12</v>
      </c>
      <c r="AU19" s="244">
        <v>25</v>
      </c>
      <c r="AV19" s="244">
        <f t="shared" si="20"/>
        <v>17.366</v>
      </c>
      <c r="AW19" s="244">
        <f t="shared" si="21"/>
        <v>21.383000000000003</v>
      </c>
      <c r="AX19" s="244">
        <f t="shared" si="22"/>
        <v>26.036000000000001</v>
      </c>
      <c r="AY19" s="244">
        <f t="shared" si="23"/>
        <v>18.914999999999999</v>
      </c>
      <c r="AZ19" s="244">
        <f t="shared" si="24"/>
        <v>29.599999999999998</v>
      </c>
      <c r="BA19" s="244">
        <f t="shared" si="25"/>
        <v>57.3</v>
      </c>
      <c r="BB19" s="244">
        <f t="shared" si="26"/>
        <v>57.55</v>
      </c>
      <c r="BC19" s="244">
        <f t="shared" si="27"/>
        <v>31.23</v>
      </c>
      <c r="BD19" s="244">
        <f t="shared" si="28"/>
        <v>28.040000000000003</v>
      </c>
      <c r="BE19" s="244">
        <f t="shared" si="29"/>
        <v>40.729999999999997</v>
      </c>
      <c r="BF19" s="244">
        <f t="shared" si="30"/>
        <v>23.46</v>
      </c>
      <c r="BG19" s="94">
        <v>43970</v>
      </c>
      <c r="BH19" s="243">
        <v>1548</v>
      </c>
      <c r="BI19" s="456">
        <f t="shared" si="31"/>
        <v>102</v>
      </c>
      <c r="BJ19" s="113"/>
      <c r="BK19" s="115"/>
    </row>
    <row r="20" spans="1:63" s="66" customFormat="1" x14ac:dyDescent="0.25">
      <c r="A20" s="5" t="s">
        <v>180</v>
      </c>
      <c r="B20" s="5" t="s">
        <v>28</v>
      </c>
      <c r="C20" s="112">
        <f t="shared" ca="1" si="0"/>
        <v>11.3125</v>
      </c>
      <c r="D20" s="467" t="s">
        <v>181</v>
      </c>
      <c r="E20" s="55">
        <v>22</v>
      </c>
      <c r="F20" s="56">
        <f ca="1">-43626+$D$1-112-112-112</f>
        <v>77</v>
      </c>
      <c r="G20" s="71" t="s">
        <v>182</v>
      </c>
      <c r="H20" s="111">
        <v>4</v>
      </c>
      <c r="I20" s="57">
        <v>3.9</v>
      </c>
      <c r="J20" s="144">
        <f t="shared" si="1"/>
        <v>0.92026144003801835</v>
      </c>
      <c r="K20" s="85">
        <f t="shared" si="2"/>
        <v>62.4</v>
      </c>
      <c r="L20" s="85">
        <f t="shared" si="3"/>
        <v>97.5</v>
      </c>
      <c r="M20" s="79">
        <v>6.5</v>
      </c>
      <c r="N20" s="141">
        <f t="shared" si="4"/>
        <v>84</v>
      </c>
      <c r="O20" s="235">
        <v>43626</v>
      </c>
      <c r="P20" s="236">
        <f t="shared" ca="1" si="19"/>
        <v>1</v>
      </c>
      <c r="Q20" s="141">
        <v>7</v>
      </c>
      <c r="R20" s="157">
        <f t="shared" si="5"/>
        <v>1</v>
      </c>
      <c r="S20" s="157">
        <f t="shared" si="6"/>
        <v>1</v>
      </c>
      <c r="T20" s="94">
        <v>68820</v>
      </c>
      <c r="U20" s="210">
        <f t="shared" si="7"/>
        <v>280</v>
      </c>
      <c r="V20" s="94">
        <v>16050</v>
      </c>
      <c r="W20" s="92">
        <f t="shared" si="8"/>
        <v>4.2878504672897195</v>
      </c>
      <c r="X20" s="143">
        <v>0</v>
      </c>
      <c r="Y20" s="144">
        <v>7</v>
      </c>
      <c r="Z20" s="143">
        <v>13</v>
      </c>
      <c r="AA20" s="144">
        <v>3</v>
      </c>
      <c r="AB20" s="143">
        <v>4</v>
      </c>
      <c r="AC20" s="144">
        <v>6</v>
      </c>
      <c r="AD20" s="143">
        <v>15</v>
      </c>
      <c r="AE20" s="240">
        <v>1210</v>
      </c>
      <c r="AF20" s="452">
        <f t="shared" ca="1" si="9"/>
        <v>14.920261440038018</v>
      </c>
      <c r="AG20" s="452">
        <f t="shared" ca="1" si="10"/>
        <v>14.920261440038018</v>
      </c>
      <c r="AH20" s="92">
        <f t="shared" ca="1" si="11"/>
        <v>2.5950980400142569</v>
      </c>
      <c r="AI20" s="91">
        <f t="shared" ca="1" si="12"/>
        <v>14.853777782484022</v>
      </c>
      <c r="AJ20" s="92">
        <f t="shared" ca="1" si="13"/>
        <v>14.220261440038017</v>
      </c>
      <c r="AK20" s="92">
        <f t="shared" ca="1" si="14"/>
        <v>0.90362091520304144</v>
      </c>
      <c r="AL20" s="92">
        <f t="shared" ca="1" si="15"/>
        <v>0.86441830080266124</v>
      </c>
      <c r="AM20" s="453">
        <f t="shared" ca="1" si="16"/>
        <v>16.788086142701999</v>
      </c>
      <c r="AN20" s="453">
        <f t="shared" ca="1" si="17"/>
        <v>16.788086142701999</v>
      </c>
      <c r="AO20" s="141">
        <v>3</v>
      </c>
      <c r="AP20" s="141">
        <v>3</v>
      </c>
      <c r="AQ20" s="157">
        <f t="shared" si="18"/>
        <v>0.1158</v>
      </c>
      <c r="AR20" s="244">
        <v>18</v>
      </c>
      <c r="AS20" s="244">
        <v>60</v>
      </c>
      <c r="AT20" s="244">
        <v>12</v>
      </c>
      <c r="AU20" s="244">
        <v>17</v>
      </c>
      <c r="AV20" s="244">
        <f t="shared" si="20"/>
        <v>21.96</v>
      </c>
      <c r="AW20" s="244">
        <f t="shared" si="21"/>
        <v>26.562000000000005</v>
      </c>
      <c r="AX20" s="244">
        <f t="shared" si="22"/>
        <v>32.159999999999997</v>
      </c>
      <c r="AY20" s="244">
        <f t="shared" si="23"/>
        <v>23.4</v>
      </c>
      <c r="AZ20" s="244">
        <f t="shared" si="24"/>
        <v>35.94</v>
      </c>
      <c r="BA20" s="244">
        <f t="shared" si="25"/>
        <v>68.099999999999994</v>
      </c>
      <c r="BB20" s="244">
        <f t="shared" si="26"/>
        <v>68.7</v>
      </c>
      <c r="BC20" s="244">
        <f t="shared" si="27"/>
        <v>37.200000000000003</v>
      </c>
      <c r="BD20" s="244">
        <f t="shared" si="28"/>
        <v>33.6</v>
      </c>
      <c r="BE20" s="244">
        <f t="shared" si="29"/>
        <v>48.3</v>
      </c>
      <c r="BF20" s="244">
        <f t="shared" si="30"/>
        <v>27.6</v>
      </c>
      <c r="BG20" s="94">
        <v>68540</v>
      </c>
      <c r="BH20" s="243">
        <v>1308</v>
      </c>
      <c r="BI20" s="456">
        <f t="shared" si="31"/>
        <v>107</v>
      </c>
      <c r="BJ20" s="113"/>
      <c r="BK20" s="115"/>
    </row>
    <row r="21" spans="1:63" s="1" customFormat="1" x14ac:dyDescent="0.25">
      <c r="A21" s="5" t="s">
        <v>154</v>
      </c>
      <c r="B21" s="5" t="s">
        <v>37</v>
      </c>
      <c r="C21" s="112">
        <f ca="1">((34*112)-(E21*112)-(F21))/112</f>
        <v>-3.9732142857142856</v>
      </c>
      <c r="D21" s="470" t="s">
        <v>155</v>
      </c>
      <c r="E21" s="55">
        <v>37</v>
      </c>
      <c r="F21" s="56">
        <f ca="1">7-41471+$D$1-112-111-3-112-112-112-112-112-112-112-112-112-112-112-112-112-112-112-112-112-112-112-112</f>
        <v>109</v>
      </c>
      <c r="G21" s="71" t="s">
        <v>156</v>
      </c>
      <c r="H21" s="111">
        <v>3</v>
      </c>
      <c r="I21" s="57">
        <v>15.4</v>
      </c>
      <c r="J21" s="144">
        <f>LOG(I21+1)*4/3</f>
        <v>1.6197917973969302</v>
      </c>
      <c r="K21" s="85">
        <f>(H21)*(H21)*(I21)</f>
        <v>138.6</v>
      </c>
      <c r="L21" s="85">
        <f>(H21+1)*(H21+1)*I21</f>
        <v>246.4</v>
      </c>
      <c r="M21" s="79">
        <v>2.1</v>
      </c>
      <c r="N21" s="141">
        <f>M21*10+19</f>
        <v>40</v>
      </c>
      <c r="O21" s="141" t="s">
        <v>149</v>
      </c>
      <c r="P21" s="236">
        <v>1.5</v>
      </c>
      <c r="Q21" s="141">
        <v>7</v>
      </c>
      <c r="R21" s="157">
        <f>(Q21/7)^0.5</f>
        <v>1</v>
      </c>
      <c r="S21" s="157">
        <f>IF(Q21=7,1,((Q21+0.99)/7)^0.5)</f>
        <v>1</v>
      </c>
      <c r="T21" s="94">
        <v>5020</v>
      </c>
      <c r="U21" s="210">
        <f>T21-BG21</f>
        <v>90</v>
      </c>
      <c r="V21" s="94">
        <v>1690</v>
      </c>
      <c r="W21" s="92">
        <f>T21/V21</f>
        <v>2.970414201183432</v>
      </c>
      <c r="X21" s="143">
        <v>0</v>
      </c>
      <c r="Y21" s="144">
        <v>7.95</v>
      </c>
      <c r="Z21" s="143">
        <v>11.95</v>
      </c>
      <c r="AA21" s="144">
        <v>9.9499999999999993</v>
      </c>
      <c r="AB21" s="143">
        <v>6.95</v>
      </c>
      <c r="AC21" s="144">
        <v>0.95</v>
      </c>
      <c r="AD21" s="143">
        <v>16</v>
      </c>
      <c r="AE21" s="240">
        <v>1148</v>
      </c>
      <c r="AF21" s="452">
        <f>(Z21+P21+J21)*(Q21/7)^0.5</f>
        <v>15.069791797396929</v>
      </c>
      <c r="AG21" s="452">
        <f>(Z21+P21+J21)*(IF(Q21=7,(Q21/7)^0.5,((Q21+1)/7)^0.5))</f>
        <v>15.069791797396929</v>
      </c>
      <c r="AH21" s="92">
        <f>(((Y21+P21+J21)+(AB21+P21+J21)*2)/8)*(Q21/7)^0.5</f>
        <v>3.9011719240238483</v>
      </c>
      <c r="AI21" s="91">
        <f>(1.66*(AC21+J21+P21)+0.55*(AD21+J21+P21)-7.6)*(Q21/7)^0.5</f>
        <v>9.6717398722472172</v>
      </c>
      <c r="AJ21" s="92">
        <f>((AD21+J21+P21)*0.7+(AC21+J21+P21)*0.3)*(Q21/7)^0.5</f>
        <v>14.604791797396931</v>
      </c>
      <c r="AK21" s="92">
        <f>(0.5*(AC21+P21+J21)+0.3*(AD21+P21+J21))/10</f>
        <v>0.77708334379175437</v>
      </c>
      <c r="AL21" s="92">
        <f>(0.4*(Y21+P21+J21)+0.3*(AD21+P21+J21))/10</f>
        <v>1.0163854258177851</v>
      </c>
      <c r="AM21" s="453">
        <f>(AD21+P21+(LOG(I21)*4/3))*(Q21/7)^0.5</f>
        <v>19.083360961115282</v>
      </c>
      <c r="AN21" s="453">
        <f>(AD21+P21+(LOG(I21)*4/3))*(IF(Q21=7,(Q21/7)^0.5,((Q21+1)/7)^0.5))</f>
        <v>19.083360961115282</v>
      </c>
      <c r="AO21" s="141">
        <v>3</v>
      </c>
      <c r="AP21" s="141">
        <v>3</v>
      </c>
      <c r="AQ21" s="157">
        <f>IF(AO21=4,IF(AP21=0,0.137+0.0697,0.137+0.02),IF(AO21=3,IF(AP21=0,0.0958+0.0697,0.0958+0.02),IF(AO21=2,IF(AP21=0,0.0415+0.0697,0.0415+0.02),IF(AO21=1,IF(AP21=0,0.0294+0.0697,0.0294+0.02),IF(AO21=0,IF(AP21=0,0.0063+0.0697,0.0063+0.02))))))</f>
        <v>0.1158</v>
      </c>
      <c r="AR21" s="241"/>
      <c r="AS21" s="241"/>
      <c r="AT21" s="241"/>
      <c r="AU21" s="241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94">
        <v>4930</v>
      </c>
      <c r="BH21" s="243"/>
      <c r="BJ21" s="113"/>
      <c r="BK21" s="115"/>
    </row>
    <row r="22" spans="1:63" s="66" customFormat="1" x14ac:dyDescent="0.25">
      <c r="A22" s="5" t="s">
        <v>183</v>
      </c>
      <c r="B22" s="5" t="s">
        <v>28</v>
      </c>
      <c r="C22" s="112">
        <f t="shared" ca="1" si="0"/>
        <v>4.0178571428571432</v>
      </c>
      <c r="D22" s="470" t="s">
        <v>184</v>
      </c>
      <c r="E22" s="55">
        <v>29</v>
      </c>
      <c r="F22" s="56">
        <f ca="1">75-44100+$D$1+96</f>
        <v>110</v>
      </c>
      <c r="G22" s="71" t="s">
        <v>159</v>
      </c>
      <c r="H22" s="111">
        <v>5</v>
      </c>
      <c r="I22" s="57">
        <v>7.5999999999999988</v>
      </c>
      <c r="J22" s="144">
        <f t="shared" si="1"/>
        <v>1.2459979349914234</v>
      </c>
      <c r="K22" s="85">
        <f t="shared" si="2"/>
        <v>189.99999999999997</v>
      </c>
      <c r="L22" s="85">
        <f t="shared" si="3"/>
        <v>273.59999999999997</v>
      </c>
      <c r="M22" s="79">
        <v>5.9</v>
      </c>
      <c r="N22" s="141">
        <f t="shared" si="4"/>
        <v>78</v>
      </c>
      <c r="O22" s="466">
        <v>43982</v>
      </c>
      <c r="P22" s="236">
        <f t="shared" ca="1" si="19"/>
        <v>0.32129411444772915</v>
      </c>
      <c r="Q22" s="141">
        <v>6</v>
      </c>
      <c r="R22" s="157">
        <f t="shared" si="5"/>
        <v>0.92582009977255142</v>
      </c>
      <c r="S22" s="157">
        <f t="shared" si="6"/>
        <v>0.99928545900129484</v>
      </c>
      <c r="T22" s="94">
        <v>91940</v>
      </c>
      <c r="U22" s="210">
        <f t="shared" si="7"/>
        <v>-350</v>
      </c>
      <c r="V22" s="94">
        <v>22692</v>
      </c>
      <c r="W22" s="92">
        <f t="shared" si="8"/>
        <v>4.0516481579411243</v>
      </c>
      <c r="X22" s="143">
        <v>0</v>
      </c>
      <c r="Y22" s="144">
        <v>4</v>
      </c>
      <c r="Z22" s="143">
        <v>14</v>
      </c>
      <c r="AA22" s="144">
        <v>4</v>
      </c>
      <c r="AB22" s="143">
        <v>9</v>
      </c>
      <c r="AC22" s="144">
        <v>8</v>
      </c>
      <c r="AD22" s="143">
        <f>19+1/4</f>
        <v>19.25</v>
      </c>
      <c r="AE22" s="240">
        <v>1631</v>
      </c>
      <c r="AF22" s="452">
        <f t="shared" ca="1" si="9"/>
        <v>14.412511878400203</v>
      </c>
      <c r="AG22" s="452">
        <f t="shared" ca="1" si="10"/>
        <v>15.567292049439153</v>
      </c>
      <c r="AH22" s="92">
        <f t="shared" ca="1" si="11"/>
        <v>3.0901417049686977</v>
      </c>
      <c r="AI22" s="91">
        <f t="shared" ca="1" si="12"/>
        <v>18.267555837351683</v>
      </c>
      <c r="AJ22" s="92">
        <f t="shared" ca="1" si="13"/>
        <v>16.148424565473736</v>
      </c>
      <c r="AK22" s="92">
        <f t="shared" ca="1" si="14"/>
        <v>1.1028833639551323</v>
      </c>
      <c r="AL22" s="92">
        <f t="shared" ca="1" si="15"/>
        <v>0.84721044346074059</v>
      </c>
      <c r="AM22" s="453">
        <f t="shared" ca="1" si="16"/>
        <v>19.206797373564505</v>
      </c>
      <c r="AN22" s="453">
        <f t="shared" ca="1" si="17"/>
        <v>20.745712237488782</v>
      </c>
      <c r="AO22" s="141">
        <v>4</v>
      </c>
      <c r="AP22" s="141">
        <v>4</v>
      </c>
      <c r="AQ22" s="157">
        <f t="shared" si="18"/>
        <v>0.157</v>
      </c>
      <c r="AR22" s="241"/>
      <c r="AS22" s="241"/>
      <c r="AT22" s="241"/>
      <c r="AU22" s="241"/>
      <c r="AV22" s="244"/>
      <c r="AW22" s="244"/>
      <c r="AX22" s="244"/>
      <c r="AY22" s="244"/>
      <c r="AZ22" s="244"/>
      <c r="BA22" s="244"/>
      <c r="BB22" s="244"/>
      <c r="BC22" s="244"/>
      <c r="BD22" s="244"/>
      <c r="BE22" s="244"/>
      <c r="BF22" s="244"/>
      <c r="BG22" s="94">
        <v>92290</v>
      </c>
      <c r="BH22" s="243"/>
      <c r="BI22" s="456">
        <f t="shared" si="31"/>
        <v>0</v>
      </c>
      <c r="BJ22" s="113"/>
      <c r="BK22" s="115"/>
    </row>
    <row r="23" spans="1:63" x14ac:dyDescent="0.25">
      <c r="A23" s="5" t="s">
        <v>185</v>
      </c>
      <c r="B23" s="5" t="s">
        <v>21</v>
      </c>
      <c r="C23" s="112">
        <f t="shared" ca="1" si="0"/>
        <v>-2</v>
      </c>
      <c r="D23" s="470" t="s">
        <v>186</v>
      </c>
      <c r="E23" s="55">
        <v>36</v>
      </c>
      <c r="F23" s="56">
        <f ca="1">7-41471+$D$1-112-111-112+4-112-116-112-112-112-112-112-112-112-112-112-112-112-112-112-112-112-112-112-112</f>
        <v>0</v>
      </c>
      <c r="G23" s="71" t="s">
        <v>159</v>
      </c>
      <c r="H23" s="111">
        <v>2</v>
      </c>
      <c r="I23" s="57">
        <v>15</v>
      </c>
      <c r="J23" s="144">
        <f t="shared" si="1"/>
        <v>1.6054933102078996</v>
      </c>
      <c r="K23" s="85">
        <f t="shared" si="2"/>
        <v>60</v>
      </c>
      <c r="L23" s="85">
        <f t="shared" si="3"/>
        <v>135</v>
      </c>
      <c r="M23" s="79">
        <v>3.7</v>
      </c>
      <c r="N23" s="141">
        <f t="shared" si="4"/>
        <v>56</v>
      </c>
      <c r="O23" s="141" t="s">
        <v>149</v>
      </c>
      <c r="P23" s="236">
        <v>1.5</v>
      </c>
      <c r="Q23" s="141">
        <v>5</v>
      </c>
      <c r="R23" s="157">
        <f t="shared" si="5"/>
        <v>0.84515425472851657</v>
      </c>
      <c r="S23" s="157">
        <f t="shared" si="6"/>
        <v>0.92504826128926143</v>
      </c>
      <c r="T23" s="94">
        <v>10240</v>
      </c>
      <c r="U23" s="210">
        <f t="shared" si="7"/>
        <v>-2140</v>
      </c>
      <c r="V23" s="94">
        <v>2410</v>
      </c>
      <c r="W23" s="92">
        <f t="shared" si="8"/>
        <v>4.2489626556016598</v>
      </c>
      <c r="X23" s="143">
        <v>0</v>
      </c>
      <c r="Y23" s="144">
        <v>7.95</v>
      </c>
      <c r="Z23" s="143">
        <v>11.95</v>
      </c>
      <c r="AA23" s="144">
        <v>11.95</v>
      </c>
      <c r="AB23" s="143">
        <v>9.9499999999999993</v>
      </c>
      <c r="AC23" s="144">
        <v>4.95</v>
      </c>
      <c r="AD23" s="143">
        <v>18</v>
      </c>
      <c r="AE23" s="240">
        <v>1513</v>
      </c>
      <c r="AF23" s="452">
        <f t="shared" si="9"/>
        <v>12.724214228158923</v>
      </c>
      <c r="AG23" s="452">
        <f t="shared" si="10"/>
        <v>13.938678318581657</v>
      </c>
      <c r="AH23" s="92">
        <f t="shared" si="11"/>
        <v>3.9264260808310798</v>
      </c>
      <c r="AI23" s="91">
        <f t="shared" si="12"/>
        <v>14.688899450958273</v>
      </c>
      <c r="AJ23" s="92">
        <f t="shared" si="13"/>
        <v>14.528618562004306</v>
      </c>
      <c r="AK23" s="92">
        <f t="shared" si="14"/>
        <v>1.035939464816632</v>
      </c>
      <c r="AL23" s="92">
        <f t="shared" si="15"/>
        <v>1.0753845317145529</v>
      </c>
      <c r="AM23" s="453">
        <f t="shared" si="16"/>
        <v>17.805812675925974</v>
      </c>
      <c r="AN23" s="453">
        <f t="shared" si="17"/>
        <v>19.505290514632161</v>
      </c>
      <c r="AO23" s="141">
        <v>3</v>
      </c>
      <c r="AP23" s="141">
        <v>2</v>
      </c>
      <c r="AQ23" s="157">
        <f t="shared" si="18"/>
        <v>0.1158</v>
      </c>
      <c r="AR23" s="241"/>
      <c r="AS23" s="241"/>
      <c r="AT23" s="241"/>
      <c r="AU23" s="241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94">
        <v>12380</v>
      </c>
      <c r="BH23" s="243"/>
      <c r="BJ23" s="113"/>
      <c r="BK23" s="115"/>
    </row>
    <row r="24" spans="1:63" s="1" customFormat="1" x14ac:dyDescent="0.25">
      <c r="A24" s="5" t="s">
        <v>187</v>
      </c>
      <c r="B24" s="5" t="s">
        <v>21</v>
      </c>
      <c r="C24" s="112">
        <f t="shared" ca="1" si="0"/>
        <v>-1.6071428571428572</v>
      </c>
      <c r="D24" s="470" t="s">
        <v>188</v>
      </c>
      <c r="E24" s="55">
        <v>35</v>
      </c>
      <c r="F24" s="56">
        <f ca="1">7-41471+$D$1-112-111-43-112-112-1-112-112-112-112-112-112-112-112-112-112-112-112-112-112-112-112-112-112</f>
        <v>68</v>
      </c>
      <c r="G24" s="71"/>
      <c r="H24" s="238">
        <v>5</v>
      </c>
      <c r="I24" s="57">
        <v>6.3</v>
      </c>
      <c r="J24" s="144">
        <f t="shared" si="1"/>
        <v>1.1510971468272746</v>
      </c>
      <c r="K24" s="85">
        <f t="shared" si="2"/>
        <v>157.5</v>
      </c>
      <c r="L24" s="85">
        <f t="shared" si="3"/>
        <v>226.79999999999998</v>
      </c>
      <c r="M24" s="79">
        <v>3.4</v>
      </c>
      <c r="N24" s="141">
        <f t="shared" si="4"/>
        <v>53</v>
      </c>
      <c r="O24" s="141" t="s">
        <v>149</v>
      </c>
      <c r="P24" s="236">
        <v>1.5</v>
      </c>
      <c r="Q24" s="141">
        <v>3</v>
      </c>
      <c r="R24" s="157">
        <f t="shared" si="5"/>
        <v>0.65465367070797709</v>
      </c>
      <c r="S24" s="157">
        <f t="shared" si="6"/>
        <v>0.75498344352707503</v>
      </c>
      <c r="T24" s="94">
        <v>860</v>
      </c>
      <c r="U24" s="210">
        <f t="shared" si="7"/>
        <v>-130</v>
      </c>
      <c r="V24" s="94">
        <v>720</v>
      </c>
      <c r="W24" s="92">
        <f t="shared" si="8"/>
        <v>1.1944444444444444</v>
      </c>
      <c r="X24" s="143">
        <v>0</v>
      </c>
      <c r="Y24" s="144">
        <v>3.95</v>
      </c>
      <c r="Z24" s="143">
        <v>5.95</v>
      </c>
      <c r="AA24" s="144">
        <v>4.95</v>
      </c>
      <c r="AB24" s="143">
        <v>9.9499999999999993</v>
      </c>
      <c r="AC24" s="144">
        <v>5.95</v>
      </c>
      <c r="AD24" s="143">
        <v>15</v>
      </c>
      <c r="AE24" s="240">
        <v>770</v>
      </c>
      <c r="AF24" s="452">
        <f t="shared" si="9"/>
        <v>5.6307398192863838</v>
      </c>
      <c r="AG24" s="452">
        <f t="shared" si="10"/>
        <v>6.5018183008034773</v>
      </c>
      <c r="AH24" s="92">
        <f t="shared" si="11"/>
        <v>2.6025176852633765</v>
      </c>
      <c r="AI24" s="91">
        <f t="shared" si="12"/>
        <v>10.72710574919124</v>
      </c>
      <c r="AJ24" s="92">
        <f t="shared" si="13"/>
        <v>9.777970823221418</v>
      </c>
      <c r="AK24" s="92">
        <f t="shared" si="14"/>
        <v>0.95958777174618215</v>
      </c>
      <c r="AL24" s="92">
        <f t="shared" si="15"/>
        <v>0.79357680027790933</v>
      </c>
      <c r="AM24" s="453">
        <f t="shared" si="16"/>
        <v>11.49950719980898</v>
      </c>
      <c r="AN24" s="453">
        <f t="shared" si="17"/>
        <v>13.278487154715508</v>
      </c>
      <c r="AO24" s="141">
        <v>2</v>
      </c>
      <c r="AP24" s="141">
        <v>1</v>
      </c>
      <c r="AQ24" s="157">
        <f t="shared" si="18"/>
        <v>6.1499999999999999E-2</v>
      </c>
      <c r="AR24" s="241"/>
      <c r="AS24" s="241"/>
      <c r="AT24" s="241"/>
      <c r="AU24" s="241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94">
        <v>990</v>
      </c>
      <c r="BH24" s="243"/>
      <c r="BJ24" s="113"/>
      <c r="BK24" s="115"/>
    </row>
    <row r="25" spans="1:63" x14ac:dyDescent="0.25">
      <c r="G25" s="4"/>
      <c r="H25"/>
      <c r="I25" s="58"/>
      <c r="J25" s="58"/>
      <c r="K25"/>
      <c r="T25" s="65">
        <f>SUM(T4:T24)</f>
        <v>775020</v>
      </c>
      <c r="U25" s="65">
        <f>SUM(U4:U24)</f>
        <v>-4440</v>
      </c>
      <c r="V25" s="65">
        <f>SUM(V4:V24)</f>
        <v>223246</v>
      </c>
      <c r="W25" s="91">
        <f t="shared" si="8"/>
        <v>3.471596355589798</v>
      </c>
      <c r="X25"/>
      <c r="AD25" s="58"/>
      <c r="AE25" s="65"/>
      <c r="AH25" s="455"/>
      <c r="AI25" s="455"/>
      <c r="AJ25" s="455"/>
      <c r="AK25" s="455"/>
      <c r="AL25" s="455"/>
      <c r="AM25" s="455"/>
      <c r="AN25" s="455"/>
    </row>
    <row r="26" spans="1:63" x14ac:dyDescent="0.25">
      <c r="T26" s="90"/>
      <c r="U26" s="90"/>
      <c r="V26" s="90"/>
      <c r="W26" s="76"/>
      <c r="AE26" s="76"/>
      <c r="AH26" s="451"/>
      <c r="AI26" s="450"/>
      <c r="AJ26" s="451"/>
      <c r="AK26" s="451"/>
      <c r="AL26" s="451"/>
      <c r="AM26" s="451"/>
      <c r="AN26" s="451"/>
    </row>
    <row r="27" spans="1:63" x14ac:dyDescent="0.25">
      <c r="I27" s="72"/>
      <c r="Y27" s="48"/>
    </row>
    <row r="28" spans="1:63" x14ac:dyDescent="0.25">
      <c r="D28" s="197"/>
      <c r="I28" s="72"/>
      <c r="P28" s="49"/>
      <c r="Y28" s="48"/>
      <c r="AE28" s="230"/>
    </row>
    <row r="29" spans="1:63" x14ac:dyDescent="0.25">
      <c r="D29" s="197"/>
      <c r="I29" s="72"/>
      <c r="P29" s="49"/>
      <c r="V29" s="234"/>
      <c r="Y29" s="48"/>
    </row>
    <row r="30" spans="1:63" x14ac:dyDescent="0.25">
      <c r="D30" s="58"/>
      <c r="I30" s="72"/>
      <c r="V30" s="234"/>
      <c r="Y30" s="48"/>
    </row>
    <row r="31" spans="1:63" x14ac:dyDescent="0.25">
      <c r="I31" s="72"/>
      <c r="Y31" s="48"/>
    </row>
    <row r="32" spans="1:63" x14ac:dyDescent="0.25">
      <c r="I32" s="72"/>
      <c r="V32" s="234"/>
      <c r="Y32" s="48"/>
    </row>
    <row r="33" spans="3:31" x14ac:dyDescent="0.25">
      <c r="I33" s="72"/>
      <c r="Y33" s="48"/>
    </row>
    <row r="34" spans="3:31" x14ac:dyDescent="0.25">
      <c r="I34" s="72"/>
      <c r="Y34" s="48"/>
    </row>
    <row r="35" spans="3:31" x14ac:dyDescent="0.25">
      <c r="C35"/>
      <c r="D35"/>
      <c r="G35"/>
      <c r="H35"/>
      <c r="I35" s="72"/>
      <c r="K35"/>
      <c r="M35"/>
      <c r="N35"/>
      <c r="O35"/>
      <c r="P35"/>
      <c r="Q35"/>
      <c r="R35"/>
      <c r="S35"/>
      <c r="V35"/>
      <c r="W35"/>
      <c r="X35"/>
      <c r="AE35"/>
    </row>
    <row r="36" spans="3:31" x14ac:dyDescent="0.25">
      <c r="C36"/>
      <c r="D36"/>
      <c r="G36"/>
      <c r="H36"/>
      <c r="I36" s="72"/>
      <c r="K36"/>
      <c r="M36"/>
      <c r="N36"/>
      <c r="O36"/>
      <c r="P36"/>
      <c r="Q36"/>
      <c r="R36"/>
      <c r="S36"/>
      <c r="V36"/>
      <c r="W36"/>
      <c r="X36"/>
      <c r="AE36"/>
    </row>
    <row r="37" spans="3:31" x14ac:dyDescent="0.25">
      <c r="C37"/>
      <c r="D37"/>
      <c r="G37"/>
      <c r="H37"/>
      <c r="I37" s="72"/>
      <c r="K37"/>
      <c r="M37"/>
      <c r="N37"/>
      <c r="O37"/>
      <c r="P37"/>
      <c r="Q37"/>
      <c r="R37"/>
      <c r="S37"/>
      <c r="V37"/>
      <c r="W37"/>
      <c r="X37"/>
      <c r="AE37"/>
    </row>
    <row r="38" spans="3:31" x14ac:dyDescent="0.25">
      <c r="C38"/>
      <c r="D38"/>
      <c r="G38"/>
      <c r="H38"/>
      <c r="I38" s="72"/>
      <c r="K38"/>
      <c r="M38"/>
      <c r="N38"/>
      <c r="O38"/>
      <c r="P38"/>
      <c r="Q38"/>
      <c r="R38"/>
      <c r="S38"/>
      <c r="V38"/>
      <c r="W38"/>
      <c r="X38"/>
      <c r="AE38"/>
    </row>
  </sheetData>
  <mergeCells count="1">
    <mergeCell ref="E1:G1"/>
  </mergeCells>
  <conditionalFormatting sqref="BG4:BG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{05AD39BF-F238-3D31-7013-574EFD3AC65C}</x14:id>
        </ext>
      </extLst>
    </cfRule>
  </conditionalFormatting>
  <conditionalFormatting sqref="BI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:AU10">
    <cfRule type="colorScale" priority="3">
      <colorScale>
        <cfvo type="min"/>
        <cfvo type="max"/>
        <color rgb="FFFCFCFF"/>
        <color rgb="FFF8696B"/>
      </colorScale>
    </cfRule>
  </conditionalFormatting>
  <conditionalFormatting sqref="AV10:BF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:AU5">
    <cfRule type="colorScale" priority="5">
      <colorScale>
        <cfvo type="min"/>
        <cfvo type="max"/>
        <color rgb="FFFCFCFF"/>
        <color rgb="FFF8696B"/>
      </colorScale>
    </cfRule>
  </conditionalFormatting>
  <conditionalFormatting sqref="AV5:BF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:AQ24">
    <cfRule type="cellIs" dxfId="85" priority="7" operator="lessThan">
      <formula>0.07</formula>
    </cfRule>
  </conditionalFormatting>
  <conditionalFormatting sqref="AQ4:AQ24">
    <cfRule type="cellIs" dxfId="84" priority="8" operator="greaterThan">
      <formula>0.1</formula>
    </cfRule>
  </conditionalFormatting>
  <conditionalFormatting sqref="R4:S24">
    <cfRule type="cellIs" dxfId="83" priority="9" operator="greaterThan">
      <formula>0.95</formula>
    </cfRule>
  </conditionalFormatting>
  <conditionalFormatting sqref="R4:S24">
    <cfRule type="cellIs" dxfId="82" priority="10" operator="lessThan">
      <formula>0.85</formula>
    </cfRule>
  </conditionalFormatting>
  <conditionalFormatting sqref="Q4:Q24">
    <cfRule type="cellIs" dxfId="81" priority="11" operator="greaterThan">
      <formula>6</formula>
    </cfRule>
  </conditionalFormatting>
  <conditionalFormatting sqref="Q4:Q24">
    <cfRule type="cellIs" dxfId="80" priority="12" operator="lessThan">
      <formula>5</formula>
    </cfRule>
  </conditionalFormatting>
  <conditionalFormatting sqref="V4:V24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{4F1B690C-AB7C-DE85-A08A-20291FC83A16}</x14:id>
        </ext>
      </extLst>
    </cfRule>
  </conditionalFormatting>
  <conditionalFormatting sqref="W4:W24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{2F9E24DA-097C-C0D2-93E5-B72A0FCAC00F}</x14:id>
        </ext>
      </extLst>
    </cfRule>
  </conditionalFormatting>
  <conditionalFormatting sqref="T4:T2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{59C6C458-C935-2462-B8A2-D31420479365}</x14:id>
        </ext>
      </extLst>
    </cfRule>
  </conditionalFormatting>
  <conditionalFormatting sqref="AE4:AE24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{491D1A2A-7AD1-C625-9EDB-4256A129C011}</x14:id>
        </ext>
      </extLst>
    </cfRule>
  </conditionalFormatting>
  <conditionalFormatting sqref="C4:C2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2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4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L2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N24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4:AD24">
    <cfRule type="cellIs" dxfId="79" priority="24" operator="greaterThan">
      <formula>10</formula>
    </cfRule>
  </conditionalFormatting>
  <conditionalFormatting sqref="X4:AD24">
    <cfRule type="colorScale" priority="25">
      <colorScale>
        <cfvo type="min"/>
        <cfvo type="max"/>
        <color rgb="FFFCFCFF"/>
        <color rgb="FF63BE7B"/>
      </colorScale>
    </cfRule>
  </conditionalFormatting>
  <conditionalFormatting sqref="I4:I2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4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{24C1FF3C-27F5-EB2C-4351-47183E650162}</x14:id>
        </ext>
      </extLst>
    </cfRule>
  </conditionalFormatting>
  <conditionalFormatting sqref="AR4:AU4 AR6:AU9 AR11:AU24">
    <cfRule type="colorScale" priority="28">
      <colorScale>
        <cfvo type="min"/>
        <cfvo type="max"/>
        <color rgb="FFFCFCFF"/>
        <color rgb="FFF8696B"/>
      </colorScale>
    </cfRule>
  </conditionalFormatting>
  <conditionalFormatting sqref="AV4:BF4 AV6:BF9 AV11:BF2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4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{043B692E-8B02-5776-5FA6-5332729E4B6C}</x14:id>
        </ext>
      </extLst>
    </cfRule>
  </conditionalFormatting>
  <conditionalFormatting sqref="U4:U24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{66A49274-0F6B-49EE-F970-7B3B0C9A8F2A}</x14:id>
        </ext>
      </extLst>
    </cfRule>
  </conditionalFormatting>
  <conditionalFormatting sqref="P4:P24">
    <cfRule type="colorScale" priority="32">
      <colorScale>
        <cfvo type="min"/>
        <cfvo type="max"/>
        <color rgb="FFFFEF9C"/>
        <color rgb="FF63BE7B"/>
      </colorScale>
    </cfRule>
  </conditionalFormatting>
  <conditionalFormatting sqref="N4:N2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1:BI20 BI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53" fitToWidth="0" orientation="landscape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AD39BF-F238-3D31-7013-574EFD3AC6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BG4:BG24</xm:sqref>
        </x14:conditionalFormatting>
        <x14:conditionalFormatting xmlns:xm="http://schemas.microsoft.com/office/excel/2006/main">
          <x14:cfRule type="dataBar" id="{4F1B690C-AB7C-DE85-A08A-20291FC83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V4:V24</xm:sqref>
        </x14:conditionalFormatting>
        <x14:conditionalFormatting xmlns:xm="http://schemas.microsoft.com/office/excel/2006/main">
          <x14:cfRule type="dataBar" id="{2F9E24DA-097C-C0D2-93E5-B72A0FCAC0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W4:W24</xm:sqref>
        </x14:conditionalFormatting>
        <x14:conditionalFormatting xmlns:xm="http://schemas.microsoft.com/office/excel/2006/main">
          <x14:cfRule type="dataBar" id="{59C6C458-C935-2462-B8A2-D31420479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T4:T24</xm:sqref>
        </x14:conditionalFormatting>
        <x14:conditionalFormatting xmlns:xm="http://schemas.microsoft.com/office/excel/2006/main">
          <x14:cfRule type="dataBar" id="{491D1A2A-7AD1-C625-9EDB-4256A129C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AE4:AE24</xm:sqref>
        </x14:conditionalFormatting>
        <x14:conditionalFormatting xmlns:xm="http://schemas.microsoft.com/office/excel/2006/main">
          <x14:cfRule type="dataBar" id="{24C1FF3C-27F5-EB2C-4351-47183E650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BH4:BH24</xm:sqref>
        </x14:conditionalFormatting>
        <x14:conditionalFormatting xmlns:xm="http://schemas.microsoft.com/office/excel/2006/main">
          <x14:cfRule type="dataBar" id="{043B692E-8B02-5776-5FA6-5332729E4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BH4:BH24</xm:sqref>
        </x14:conditionalFormatting>
        <x14:conditionalFormatting xmlns:xm="http://schemas.microsoft.com/office/excel/2006/main">
          <x14:cfRule type="dataBar" id="{66A49274-0F6B-49EE-F970-7B3B0C9A8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A9694"/>
  </sheetPr>
  <dimension ref="A1:AD27"/>
  <sheetViews>
    <sheetView workbookViewId="0">
      <selection activeCell="X2" sqref="X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8" customWidth="1"/>
    <col min="14" max="14" width="5.28515625" style="58" customWidth="1"/>
    <col min="15" max="15" width="5.85546875" style="58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8.28515625" customWidth="1"/>
    <col min="25" max="25" width="7.7109375" customWidth="1"/>
    <col min="28" max="28" width="6" customWidth="1"/>
    <col min="29" max="29" width="13.7109375" customWidth="1"/>
  </cols>
  <sheetData>
    <row r="1" spans="1:30" x14ac:dyDescent="0.25">
      <c r="B1" t="s">
        <v>635</v>
      </c>
      <c r="O1"/>
      <c r="Z1" t="s">
        <v>636</v>
      </c>
      <c r="AC1" t="s">
        <v>637</v>
      </c>
    </row>
    <row r="2" spans="1:30" x14ac:dyDescent="0.25">
      <c r="B2" s="207">
        <v>44035</v>
      </c>
      <c r="O2"/>
      <c r="X2" s="206">
        <f>SUM(X4:X22)</f>
        <v>2.2000000000000028</v>
      </c>
      <c r="Z2" s="149" t="s">
        <v>85</v>
      </c>
      <c r="AA2" s="149" t="s">
        <v>87</v>
      </c>
      <c r="AC2" s="149" t="s">
        <v>85</v>
      </c>
      <c r="AD2" s="149" t="s">
        <v>87</v>
      </c>
    </row>
    <row r="3" spans="1:30" x14ac:dyDescent="0.25">
      <c r="A3" s="81" t="s">
        <v>638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1">
        <v>1</v>
      </c>
      <c r="M3" s="201">
        <v>1.25</v>
      </c>
      <c r="N3" s="203" t="s">
        <v>14</v>
      </c>
      <c r="O3" s="203" t="s">
        <v>630</v>
      </c>
      <c r="P3" s="202" t="s">
        <v>640</v>
      </c>
      <c r="Q3" s="202" t="s">
        <v>641</v>
      </c>
      <c r="R3" s="202" t="s">
        <v>642</v>
      </c>
      <c r="S3" s="202" t="s">
        <v>135</v>
      </c>
      <c r="T3" s="202" t="s">
        <v>473</v>
      </c>
      <c r="U3" s="202" t="s">
        <v>643</v>
      </c>
      <c r="V3" s="203" t="s">
        <v>140</v>
      </c>
      <c r="W3" s="203" t="s">
        <v>21</v>
      </c>
      <c r="X3" s="204" t="s">
        <v>648</v>
      </c>
      <c r="Z3" t="s">
        <v>14</v>
      </c>
      <c r="AA3" t="s">
        <v>144</v>
      </c>
      <c r="AC3" t="s">
        <v>14</v>
      </c>
      <c r="AD3" t="s">
        <v>144</v>
      </c>
    </row>
    <row r="4" spans="1:30" x14ac:dyDescent="0.25">
      <c r="A4" s="5" t="str">
        <f>Plantilla!A4</f>
        <v>#30</v>
      </c>
      <c r="B4" s="264" t="str">
        <f>Plantilla!D4</f>
        <v>D. Gehmacher</v>
      </c>
      <c r="C4" s="5">
        <f>Plantilla!E4</f>
        <v>38</v>
      </c>
      <c r="D4" s="465">
        <f ca="1">Plantilla!F4</f>
        <v>65</v>
      </c>
      <c r="E4" s="49">
        <f>Plantilla!X4</f>
        <v>14.95</v>
      </c>
      <c r="F4" s="49">
        <f>Plantilla!Y4</f>
        <v>8.9499999999999993</v>
      </c>
      <c r="G4" s="49">
        <f>Plantilla!Z4</f>
        <v>0.95</v>
      </c>
      <c r="H4" s="49">
        <f>Plantilla!AA4</f>
        <v>0</v>
      </c>
      <c r="I4" s="49">
        <f>Plantilla!AB4</f>
        <v>0</v>
      </c>
      <c r="J4" s="49">
        <f>Plantilla!AC4</f>
        <v>0</v>
      </c>
      <c r="K4" s="49">
        <f>Plantilla!AD4</f>
        <v>17.95</v>
      </c>
      <c r="L4" s="97"/>
      <c r="M4" s="97"/>
      <c r="N4" s="49"/>
      <c r="O4" s="48"/>
      <c r="P4" s="48"/>
      <c r="Q4" s="48"/>
      <c r="R4" s="48"/>
      <c r="S4" s="48"/>
      <c r="T4" s="48"/>
      <c r="U4" s="48"/>
      <c r="V4" s="48"/>
      <c r="W4" s="48"/>
      <c r="X4" s="117"/>
      <c r="Z4" t="s">
        <v>629</v>
      </c>
      <c r="AA4" t="s">
        <v>645</v>
      </c>
      <c r="AC4" t="s">
        <v>629</v>
      </c>
      <c r="AD4" t="str">
        <f>AA4</f>
        <v>B. Pinczehelyi</v>
      </c>
    </row>
    <row r="5" spans="1:30" x14ac:dyDescent="0.25">
      <c r="A5" s="5" t="str">
        <f>Plantilla!A5</f>
        <v>#1</v>
      </c>
      <c r="B5" s="264" t="str">
        <f>Plantilla!D5</f>
        <v>林 (Lin) 光维 (Guangwei)</v>
      </c>
      <c r="C5" s="5">
        <f>Plantilla!E5</f>
        <v>22</v>
      </c>
      <c r="D5" s="465">
        <f ca="1">Plantilla!F5</f>
        <v>104</v>
      </c>
      <c r="E5" s="49">
        <f>Plantilla!X5</f>
        <v>15</v>
      </c>
      <c r="F5" s="49">
        <f>Plantilla!Y5</f>
        <v>5</v>
      </c>
      <c r="G5" s="49">
        <f>Plantilla!Z5</f>
        <v>2</v>
      </c>
      <c r="H5" s="49">
        <f>Plantilla!AA5</f>
        <v>1</v>
      </c>
      <c r="I5" s="49">
        <f>Plantilla!AB5</f>
        <v>5</v>
      </c>
      <c r="J5" s="49">
        <f>Plantilla!AC5</f>
        <v>3</v>
      </c>
      <c r="K5" s="49">
        <f>Plantilla!AD5</f>
        <v>19.25</v>
      </c>
      <c r="L5" s="97"/>
      <c r="M5" s="97"/>
      <c r="N5" s="49"/>
      <c r="O5" s="48"/>
      <c r="P5" s="48"/>
      <c r="Q5" s="48"/>
      <c r="R5" s="48"/>
      <c r="S5" s="48"/>
      <c r="T5" s="48"/>
      <c r="U5" s="48"/>
      <c r="V5" s="48"/>
      <c r="W5" s="48"/>
      <c r="X5" s="117"/>
      <c r="Z5" t="s">
        <v>630</v>
      </c>
      <c r="AA5" t="s">
        <v>225</v>
      </c>
      <c r="AC5" t="s">
        <v>634</v>
      </c>
      <c r="AD5" t="s">
        <v>218</v>
      </c>
    </row>
    <row r="6" spans="1:30" x14ac:dyDescent="0.25">
      <c r="A6" s="5" t="str">
        <f>Plantilla!A6</f>
        <v>#40</v>
      </c>
      <c r="B6" s="264" t="str">
        <f>Plantilla!D6</f>
        <v>E. Toney</v>
      </c>
      <c r="C6" s="5">
        <f>Plantilla!E6</f>
        <v>39</v>
      </c>
      <c r="D6" s="465">
        <f ca="1">Plantilla!F6</f>
        <v>76</v>
      </c>
      <c r="E6" s="49">
        <f>Plantilla!X6</f>
        <v>0</v>
      </c>
      <c r="F6" s="49">
        <f>Plantilla!Y6</f>
        <v>8.9499999999999975</v>
      </c>
      <c r="G6" s="49">
        <f>Plantilla!Z6</f>
        <v>7.95</v>
      </c>
      <c r="H6" s="49">
        <f>Plantilla!AA6</f>
        <v>4.95</v>
      </c>
      <c r="I6" s="49">
        <f>Plantilla!AB6</f>
        <v>3.95</v>
      </c>
      <c r="J6" s="49">
        <f>Plantilla!AC6</f>
        <v>0</v>
      </c>
      <c r="K6" s="49">
        <f>Plantilla!AD6</f>
        <v>15</v>
      </c>
      <c r="L6" s="97"/>
      <c r="M6" s="97"/>
      <c r="N6" s="49"/>
      <c r="O6" s="48"/>
      <c r="P6" s="48"/>
      <c r="Q6" s="48"/>
      <c r="R6" s="48"/>
      <c r="S6" s="48"/>
      <c r="T6" s="48"/>
      <c r="U6" s="48"/>
      <c r="V6" s="48"/>
      <c r="W6" s="48"/>
      <c r="X6" s="117"/>
      <c r="Z6" t="s">
        <v>629</v>
      </c>
      <c r="AA6" t="s">
        <v>148</v>
      </c>
      <c r="AC6" t="s">
        <v>132</v>
      </c>
      <c r="AD6" t="s">
        <v>148</v>
      </c>
    </row>
    <row r="7" spans="1:30" x14ac:dyDescent="0.25">
      <c r="A7" s="5" t="str">
        <f>Plantilla!A7</f>
        <v>#36</v>
      </c>
      <c r="B7" s="264" t="str">
        <f>Plantilla!D7</f>
        <v>F. Lasprilla</v>
      </c>
      <c r="C7" s="5">
        <f>Plantilla!E7</f>
        <v>35</v>
      </c>
      <c r="D7" s="465">
        <f ca="1">Plantilla!F7</f>
        <v>84</v>
      </c>
      <c r="E7" s="49">
        <f>Plantilla!X7</f>
        <v>0</v>
      </c>
      <c r="F7" s="49">
        <f>Plantilla!Y7</f>
        <v>8.9499999999999975</v>
      </c>
      <c r="G7" s="49">
        <f>Plantilla!Z7</f>
        <v>7.95</v>
      </c>
      <c r="H7" s="49">
        <f>Plantilla!AA7</f>
        <v>4.95</v>
      </c>
      <c r="I7" s="49">
        <f>Plantilla!AB7</f>
        <v>7.95</v>
      </c>
      <c r="J7" s="49">
        <f>Plantilla!AC7</f>
        <v>0.95</v>
      </c>
      <c r="K7" s="49">
        <f>Plantilla!AD7</f>
        <v>14</v>
      </c>
      <c r="L7" s="97"/>
      <c r="M7" s="97"/>
      <c r="N7" s="49"/>
      <c r="O7" s="48"/>
      <c r="P7" s="48"/>
      <c r="Q7" s="48"/>
      <c r="R7" s="48"/>
      <c r="S7" s="48"/>
      <c r="T7" s="48"/>
      <c r="U7" s="48"/>
      <c r="V7" s="48"/>
      <c r="W7" s="48"/>
      <c r="X7" s="117"/>
      <c r="Z7" t="s">
        <v>473</v>
      </c>
      <c r="AA7" t="s">
        <v>155</v>
      </c>
      <c r="AC7" t="s">
        <v>634</v>
      </c>
      <c r="AD7" t="s">
        <v>214</v>
      </c>
    </row>
    <row r="8" spans="1:30" x14ac:dyDescent="0.25">
      <c r="A8" s="5" t="str">
        <f>Plantilla!A8</f>
        <v>#31</v>
      </c>
      <c r="B8" s="264" t="str">
        <f>Plantilla!D8</f>
        <v>E. Romweber</v>
      </c>
      <c r="C8" s="5">
        <f>Plantilla!E8</f>
        <v>39</v>
      </c>
      <c r="D8" s="465">
        <f ca="1">Plantilla!F8</f>
        <v>38</v>
      </c>
      <c r="E8" s="49">
        <f>Plantilla!X8</f>
        <v>0</v>
      </c>
      <c r="F8" s="49">
        <f>Plantilla!Y8</f>
        <v>8.9499999999999975</v>
      </c>
      <c r="G8" s="49">
        <f>Plantilla!Z8</f>
        <v>8.9499999999999975</v>
      </c>
      <c r="H8" s="49">
        <f>Plantilla!AA8</f>
        <v>8.9499999999999975</v>
      </c>
      <c r="I8" s="49">
        <f>Plantilla!AB8</f>
        <v>6.95</v>
      </c>
      <c r="J8" s="49">
        <f>Plantilla!AC8</f>
        <v>0.95</v>
      </c>
      <c r="K8" s="49">
        <f>Plantilla!AD8</f>
        <v>16</v>
      </c>
      <c r="L8" s="97"/>
      <c r="M8" s="97"/>
      <c r="N8" s="49"/>
      <c r="O8" s="48"/>
      <c r="P8" s="48"/>
      <c r="Q8" s="48"/>
      <c r="R8" s="48"/>
      <c r="S8" s="48"/>
      <c r="T8" s="48"/>
      <c r="U8" s="48"/>
      <c r="V8" s="48"/>
      <c r="W8" s="48"/>
      <c r="X8" s="117"/>
      <c r="Z8" t="s">
        <v>135</v>
      </c>
      <c r="AA8" t="s">
        <v>237</v>
      </c>
      <c r="AC8" t="s">
        <v>629</v>
      </c>
      <c r="AD8" t="s">
        <v>153</v>
      </c>
    </row>
    <row r="9" spans="1:30" x14ac:dyDescent="0.25">
      <c r="A9" s="5" t="str">
        <f>Plantilla!A21</f>
        <v>#35</v>
      </c>
      <c r="B9" s="264" t="str">
        <f>Plantilla!D21</f>
        <v>S. Buschelman</v>
      </c>
      <c r="C9" s="5">
        <f>Plantilla!E21</f>
        <v>37</v>
      </c>
      <c r="D9" s="465">
        <f ca="1">Plantilla!F21</f>
        <v>109</v>
      </c>
      <c r="E9" s="49">
        <f>Plantilla!X21</f>
        <v>0</v>
      </c>
      <c r="F9" s="49">
        <f>Plantilla!Y21</f>
        <v>7.95</v>
      </c>
      <c r="G9" s="49">
        <f>Plantilla!Z21</f>
        <v>11.95</v>
      </c>
      <c r="H9" s="49">
        <f>Plantilla!AA21</f>
        <v>9.9499999999999993</v>
      </c>
      <c r="I9" s="49">
        <f>Plantilla!AB21</f>
        <v>6.95</v>
      </c>
      <c r="J9" s="49">
        <f>Plantilla!AC21</f>
        <v>0.95</v>
      </c>
      <c r="K9" s="49">
        <f>Plantilla!AD21</f>
        <v>16</v>
      </c>
      <c r="L9" s="97"/>
      <c r="M9" s="97"/>
      <c r="N9" s="49"/>
      <c r="O9" s="48"/>
      <c r="P9" s="48"/>
      <c r="Q9" s="48"/>
      <c r="R9" s="48"/>
      <c r="S9" s="48"/>
      <c r="T9" s="48"/>
      <c r="U9" s="48"/>
      <c r="V9" s="48"/>
      <c r="W9" s="48"/>
      <c r="X9" s="117"/>
      <c r="Z9" t="s">
        <v>473</v>
      </c>
      <c r="AA9" t="s">
        <v>231</v>
      </c>
      <c r="AC9" t="s">
        <v>473</v>
      </c>
      <c r="AD9" t="s">
        <v>231</v>
      </c>
    </row>
    <row r="10" spans="1:30" x14ac:dyDescent="0.25">
      <c r="A10" s="5" t="str">
        <f>Plantilla!A9</f>
        <v>#2</v>
      </c>
      <c r="B10" s="264" t="str">
        <f>Plantilla!D9</f>
        <v>L. Tutorić</v>
      </c>
      <c r="C10" s="5">
        <f>Plantilla!E9</f>
        <v>29</v>
      </c>
      <c r="D10" s="465">
        <f ca="1">Plantilla!F9</f>
        <v>19</v>
      </c>
      <c r="E10" s="49">
        <f>Plantilla!X9</f>
        <v>0</v>
      </c>
      <c r="F10" s="49">
        <f>Plantilla!Y9</f>
        <v>13</v>
      </c>
      <c r="G10" s="49">
        <f>Plantilla!Z9</f>
        <v>6</v>
      </c>
      <c r="H10" s="49">
        <f>Plantilla!AA9</f>
        <v>2</v>
      </c>
      <c r="I10" s="49">
        <f>Plantilla!AB9</f>
        <v>1</v>
      </c>
      <c r="J10" s="49">
        <f>Plantilla!AC9</f>
        <v>7</v>
      </c>
      <c r="K10" s="49">
        <f>Plantilla!AD9</f>
        <v>15.333333333333334</v>
      </c>
      <c r="L10" s="97"/>
      <c r="M10" s="97"/>
      <c r="N10" s="49"/>
      <c r="O10" s="48"/>
      <c r="P10" s="48"/>
      <c r="Q10" s="48"/>
      <c r="R10" s="48"/>
      <c r="S10" s="48"/>
      <c r="T10" s="48"/>
      <c r="U10" s="48"/>
      <c r="V10" s="48"/>
      <c r="W10" s="48"/>
      <c r="X10" s="117"/>
      <c r="Z10" t="s">
        <v>476</v>
      </c>
      <c r="AA10" t="s">
        <v>153</v>
      </c>
      <c r="AC10" t="s">
        <v>473</v>
      </c>
      <c r="AD10" t="s">
        <v>155</v>
      </c>
    </row>
    <row r="11" spans="1:30" x14ac:dyDescent="0.25">
      <c r="A11" s="5" t="str">
        <f>Plantilla!A10</f>
        <v>#2</v>
      </c>
      <c r="B11" s="264" t="str">
        <f>Plantilla!D10</f>
        <v>S. Swärdborn</v>
      </c>
      <c r="C11" s="5">
        <f>Plantilla!E10</f>
        <v>22</v>
      </c>
      <c r="D11" s="465">
        <f ca="1">Plantilla!F10</f>
        <v>21</v>
      </c>
      <c r="E11" s="49">
        <f>Plantilla!X10</f>
        <v>0</v>
      </c>
      <c r="F11" s="49">
        <f>Plantilla!Y10</f>
        <v>12</v>
      </c>
      <c r="G11" s="49">
        <f>Plantilla!Z10</f>
        <v>7</v>
      </c>
      <c r="H11" s="49">
        <f>Plantilla!AA10</f>
        <v>1</v>
      </c>
      <c r="I11" s="49">
        <f>Plantilla!AB10</f>
        <v>3</v>
      </c>
      <c r="J11" s="49">
        <f>Plantilla!AC10</f>
        <v>6</v>
      </c>
      <c r="K11" s="49">
        <f>Plantilla!AD10</f>
        <v>15.333333333333334</v>
      </c>
      <c r="L11" s="97">
        <f>1/3</f>
        <v>0.33333333333333331</v>
      </c>
      <c r="M11" s="97">
        <f t="shared" ref="M11:M21" si="0">L11*1.25</f>
        <v>0.41666666666666663</v>
      </c>
      <c r="N11" s="49"/>
      <c r="O11" s="48"/>
      <c r="P11" s="48"/>
      <c r="Q11" s="48"/>
      <c r="R11" s="48"/>
      <c r="S11" s="48"/>
      <c r="T11" s="48"/>
      <c r="U11" s="48"/>
      <c r="V11" s="48"/>
      <c r="W11" s="48"/>
      <c r="X11" s="117">
        <f t="shared" ref="X11:X21" si="1">(1.66*(J11)+0.55*(K11+L11)-7.6)-(1.66*(J11)+0.55*(K11)-7.6)</f>
        <v>0.18333333333333712</v>
      </c>
      <c r="Z11" t="s">
        <v>476</v>
      </c>
      <c r="AA11" t="s">
        <v>238</v>
      </c>
      <c r="AC11" t="s">
        <v>476</v>
      </c>
      <c r="AD11" t="s">
        <v>238</v>
      </c>
    </row>
    <row r="12" spans="1:30" x14ac:dyDescent="0.25">
      <c r="A12" s="5" t="str">
        <f>Plantilla!A11</f>
        <v>#19</v>
      </c>
      <c r="B12" s="264" t="str">
        <f>Plantilla!D11</f>
        <v>A. Grimaud</v>
      </c>
      <c r="C12" s="5">
        <f>Plantilla!E11</f>
        <v>22</v>
      </c>
      <c r="D12" s="465">
        <f ca="1">Plantilla!F11</f>
        <v>44</v>
      </c>
      <c r="E12" s="49">
        <f>Plantilla!X11</f>
        <v>0</v>
      </c>
      <c r="F12" s="49">
        <f>Plantilla!Y11</f>
        <v>12</v>
      </c>
      <c r="G12" s="49">
        <f>Plantilla!Z11</f>
        <v>7</v>
      </c>
      <c r="H12" s="49">
        <f>Plantilla!AA11</f>
        <v>3</v>
      </c>
      <c r="I12" s="49">
        <f>Plantilla!AB11</f>
        <v>3</v>
      </c>
      <c r="J12" s="49">
        <f>Plantilla!AC11</f>
        <v>5</v>
      </c>
      <c r="K12" s="49">
        <f>Plantilla!AD11</f>
        <v>14.333333333333334</v>
      </c>
      <c r="L12" s="97">
        <f>1/2</f>
        <v>0.5</v>
      </c>
      <c r="M12" s="97">
        <f t="shared" si="0"/>
        <v>0.625</v>
      </c>
      <c r="N12" s="49"/>
      <c r="O12" s="48"/>
      <c r="P12" s="48"/>
      <c r="Q12" s="48"/>
      <c r="R12" s="48"/>
      <c r="S12" s="48"/>
      <c r="T12" s="48"/>
      <c r="U12" s="48"/>
      <c r="V12" s="48"/>
      <c r="W12" s="48"/>
      <c r="X12" s="117">
        <f t="shared" si="1"/>
        <v>0.27500000000000213</v>
      </c>
      <c r="Z12" t="s">
        <v>21</v>
      </c>
      <c r="AA12" t="s">
        <v>234</v>
      </c>
      <c r="AC12" t="s">
        <v>476</v>
      </c>
      <c r="AD12" t="s">
        <v>186</v>
      </c>
    </row>
    <row r="13" spans="1:30" x14ac:dyDescent="0.25">
      <c r="A13" s="5" t="str">
        <f>Plantilla!A12</f>
        <v>#22</v>
      </c>
      <c r="B13" s="264" t="str">
        <f>Plantilla!D12</f>
        <v>V. Gardner</v>
      </c>
      <c r="C13" s="5">
        <f>Plantilla!E12</f>
        <v>22</v>
      </c>
      <c r="D13" s="465">
        <f ca="1">Plantilla!F12</f>
        <v>33</v>
      </c>
      <c r="E13" s="49">
        <f>Plantilla!X12</f>
        <v>0</v>
      </c>
      <c r="F13" s="49">
        <f>Plantilla!Y12</f>
        <v>12</v>
      </c>
      <c r="G13" s="49">
        <f>Plantilla!Z12</f>
        <v>5</v>
      </c>
      <c r="H13" s="49">
        <f>Plantilla!AA12</f>
        <v>3</v>
      </c>
      <c r="I13" s="49">
        <f>Plantilla!AB12</f>
        <v>5</v>
      </c>
      <c r="J13" s="49">
        <f>Plantilla!AC12</f>
        <v>6</v>
      </c>
      <c r="K13" s="49">
        <f>Plantilla!AD12</f>
        <v>16</v>
      </c>
      <c r="L13" s="97">
        <f>1/3</f>
        <v>0.33333333333333331</v>
      </c>
      <c r="M13" s="97">
        <f t="shared" si="0"/>
        <v>0.41666666666666663</v>
      </c>
      <c r="N13" s="49"/>
      <c r="O13" s="48"/>
      <c r="P13" s="48"/>
      <c r="Q13" s="48"/>
      <c r="R13" s="48"/>
      <c r="S13" s="48"/>
      <c r="T13" s="48"/>
      <c r="U13" s="48"/>
      <c r="V13" s="48"/>
      <c r="W13" s="48"/>
      <c r="X13" s="117">
        <f t="shared" si="1"/>
        <v>0.18333333333333712</v>
      </c>
      <c r="Z13" t="s">
        <v>21</v>
      </c>
      <c r="AA13" t="s">
        <v>186</v>
      </c>
      <c r="AC13" t="s">
        <v>21</v>
      </c>
      <c r="AD13" t="s">
        <v>234</v>
      </c>
    </row>
    <row r="14" spans="1:30" x14ac:dyDescent="0.25">
      <c r="A14" s="5" t="str">
        <f>Plantilla!A13</f>
        <v>#3</v>
      </c>
      <c r="B14" s="264" t="str">
        <f>Plantilla!D13</f>
        <v>S. Embe</v>
      </c>
      <c r="C14" s="5">
        <f>Plantilla!E13</f>
        <v>22</v>
      </c>
      <c r="D14" s="465">
        <f ca="1">Plantilla!F13</f>
        <v>89</v>
      </c>
      <c r="E14" s="49">
        <f>Plantilla!X13</f>
        <v>0</v>
      </c>
      <c r="F14" s="49">
        <f>Plantilla!Y13</f>
        <v>11</v>
      </c>
      <c r="G14" s="49">
        <f>Plantilla!Z13</f>
        <v>4</v>
      </c>
      <c r="H14" s="49">
        <f>Plantilla!AA13</f>
        <v>1</v>
      </c>
      <c r="I14" s="49">
        <f>Plantilla!AB13</f>
        <v>5</v>
      </c>
      <c r="J14" s="49">
        <f>Plantilla!AC13</f>
        <v>6</v>
      </c>
      <c r="K14" s="49">
        <f>Plantilla!AD13</f>
        <v>17.333333333333332</v>
      </c>
      <c r="L14" s="97">
        <f>1/4</f>
        <v>0.25</v>
      </c>
      <c r="M14" s="97">
        <f t="shared" si="0"/>
        <v>0.3125</v>
      </c>
      <c r="N14" s="49"/>
      <c r="O14" s="48"/>
      <c r="P14" s="48"/>
      <c r="Q14" s="48"/>
      <c r="R14" s="48"/>
      <c r="S14" s="48"/>
      <c r="T14" s="48"/>
      <c r="U14" s="48"/>
      <c r="V14" s="48"/>
      <c r="W14" s="48"/>
      <c r="X14" s="117">
        <f t="shared" si="1"/>
        <v>0.13750000000000284</v>
      </c>
    </row>
    <row r="15" spans="1:30" x14ac:dyDescent="0.25">
      <c r="A15" s="5" t="str">
        <f>Plantilla!A14</f>
        <v>#4</v>
      </c>
      <c r="B15" s="264" t="str">
        <f>Plantilla!D14</f>
        <v>E. Deus</v>
      </c>
      <c r="C15" s="5">
        <f>Plantilla!E14</f>
        <v>21</v>
      </c>
      <c r="D15" s="465">
        <f ca="1">Plantilla!F14</f>
        <v>72</v>
      </c>
      <c r="E15" s="49">
        <f>Plantilla!X14</f>
        <v>0</v>
      </c>
      <c r="F15" s="49">
        <f>Plantilla!Y14</f>
        <v>11</v>
      </c>
      <c r="G15" s="49">
        <f>Plantilla!Z14</f>
        <v>7</v>
      </c>
      <c r="H15" s="49">
        <f>Plantilla!AA14</f>
        <v>1</v>
      </c>
      <c r="I15" s="49">
        <f>Plantilla!AB14</f>
        <v>6</v>
      </c>
      <c r="J15" s="49">
        <f>Plantilla!AC14</f>
        <v>5</v>
      </c>
      <c r="K15" s="49">
        <f>Plantilla!AD14</f>
        <v>15.333333333333334</v>
      </c>
      <c r="L15" s="97">
        <f>1/3</f>
        <v>0.33333333333333331</v>
      </c>
      <c r="M15" s="97">
        <f t="shared" si="0"/>
        <v>0.41666666666666663</v>
      </c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7">
        <f t="shared" si="1"/>
        <v>0.18333333333333002</v>
      </c>
    </row>
    <row r="16" spans="1:30" x14ac:dyDescent="0.25">
      <c r="A16" s="5" t="str">
        <f>Plantilla!A15</f>
        <v>#16</v>
      </c>
      <c r="B16" s="264" t="str">
        <f>Plantilla!D15</f>
        <v>I. Vanags</v>
      </c>
      <c r="C16" s="5">
        <f>Plantilla!E15</f>
        <v>22</v>
      </c>
      <c r="D16" s="465">
        <f ca="1">Plantilla!F15</f>
        <v>20</v>
      </c>
      <c r="E16" s="49">
        <f>Plantilla!X15</f>
        <v>0</v>
      </c>
      <c r="F16" s="49">
        <f>Plantilla!Y15</f>
        <v>4</v>
      </c>
      <c r="G16" s="49">
        <f>Plantilla!Z15</f>
        <v>13</v>
      </c>
      <c r="H16" s="49">
        <f>Plantilla!AA15</f>
        <v>3</v>
      </c>
      <c r="I16" s="49">
        <f>Plantilla!AB15</f>
        <v>4</v>
      </c>
      <c r="J16" s="49">
        <f>Plantilla!AC15</f>
        <v>7</v>
      </c>
      <c r="K16" s="49">
        <f>Plantilla!AD15</f>
        <v>16.333333333333332</v>
      </c>
      <c r="L16" s="97">
        <f>1/3</f>
        <v>0.33333333333333331</v>
      </c>
      <c r="M16" s="97">
        <f t="shared" si="0"/>
        <v>0.41666666666666663</v>
      </c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7">
        <f t="shared" si="1"/>
        <v>0.18333333333333357</v>
      </c>
    </row>
    <row r="17" spans="1:24" x14ac:dyDescent="0.25">
      <c r="A17" s="5" t="str">
        <f>Plantilla!A16</f>
        <v>#8</v>
      </c>
      <c r="B17" s="264" t="str">
        <f>Plantilla!D16</f>
        <v>I. Stone</v>
      </c>
      <c r="C17" s="5">
        <f>Plantilla!E16</f>
        <v>21</v>
      </c>
      <c r="D17" s="465">
        <f ca="1">Plantilla!F16</f>
        <v>75</v>
      </c>
      <c r="E17" s="49">
        <f>Plantilla!X16</f>
        <v>0</v>
      </c>
      <c r="F17" s="49">
        <f>Plantilla!Y16</f>
        <v>3</v>
      </c>
      <c r="G17" s="49">
        <f>Plantilla!Z16</f>
        <v>12</v>
      </c>
      <c r="H17" s="49">
        <f>Plantilla!AA16</f>
        <v>2</v>
      </c>
      <c r="I17" s="49">
        <f>Plantilla!AB16</f>
        <v>6</v>
      </c>
      <c r="J17" s="49">
        <f>Plantilla!AC16</f>
        <v>9</v>
      </c>
      <c r="K17" s="49">
        <f>Plantilla!AD16</f>
        <v>15.333333333333334</v>
      </c>
      <c r="L17" s="97">
        <f>1/3</f>
        <v>0.33333333333333331</v>
      </c>
      <c r="M17" s="97">
        <f t="shared" si="0"/>
        <v>0.41666666666666663</v>
      </c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7">
        <f t="shared" si="1"/>
        <v>0.18333333333333002</v>
      </c>
    </row>
    <row r="18" spans="1:24" x14ac:dyDescent="0.25">
      <c r="A18" s="5" t="str">
        <f>Plantilla!A17</f>
        <v>#14</v>
      </c>
      <c r="B18" s="264" t="str">
        <f>Plantilla!D17</f>
        <v>G. Piscaer</v>
      </c>
      <c r="C18" s="5">
        <f>Plantilla!E17</f>
        <v>22</v>
      </c>
      <c r="D18" s="465">
        <f ca="1">Plantilla!F17</f>
        <v>36</v>
      </c>
      <c r="E18" s="49">
        <f>Plantilla!X17</f>
        <v>0</v>
      </c>
      <c r="F18" s="49">
        <f>Plantilla!Y17</f>
        <v>4</v>
      </c>
      <c r="G18" s="49">
        <f>Plantilla!Z17</f>
        <v>13</v>
      </c>
      <c r="H18" s="49">
        <f>Plantilla!AA17</f>
        <v>3</v>
      </c>
      <c r="I18" s="49">
        <f>Plantilla!AB17</f>
        <v>2</v>
      </c>
      <c r="J18" s="49">
        <f>Plantilla!AC17</f>
        <v>8</v>
      </c>
      <c r="K18" s="49">
        <f>Plantilla!AD17</f>
        <v>14.333333333333334</v>
      </c>
      <c r="L18" s="97">
        <f>1/2</f>
        <v>0.5</v>
      </c>
      <c r="M18" s="97">
        <f t="shared" si="0"/>
        <v>0.625</v>
      </c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7">
        <f t="shared" si="1"/>
        <v>0.27499999999999858</v>
      </c>
    </row>
    <row r="19" spans="1:24" x14ac:dyDescent="0.25">
      <c r="A19" s="5" t="str">
        <f>Plantilla!A18</f>
        <v>#9</v>
      </c>
      <c r="B19" s="264" t="str">
        <f>Plantilla!D18</f>
        <v>M. Bondarewski</v>
      </c>
      <c r="C19" s="5">
        <f>Plantilla!E18</f>
        <v>22</v>
      </c>
      <c r="D19" s="465">
        <f ca="1">Plantilla!F18</f>
        <v>36</v>
      </c>
      <c r="E19" s="49">
        <f>Plantilla!X18</f>
        <v>0</v>
      </c>
      <c r="F19" s="49">
        <f>Plantilla!Y18</f>
        <v>2</v>
      </c>
      <c r="G19" s="49">
        <f>Plantilla!Z18</f>
        <v>13</v>
      </c>
      <c r="H19" s="49">
        <f>Plantilla!AA18</f>
        <v>5</v>
      </c>
      <c r="I19" s="49">
        <f>Plantilla!AB18</f>
        <v>4</v>
      </c>
      <c r="J19" s="49">
        <f>Plantilla!AC18</f>
        <v>8</v>
      </c>
      <c r="K19" s="49">
        <f>Plantilla!AD18</f>
        <v>17</v>
      </c>
      <c r="L19" s="97">
        <f>1/3</f>
        <v>0.33333333333333331</v>
      </c>
      <c r="M19" s="97">
        <f t="shared" si="0"/>
        <v>0.41666666666666663</v>
      </c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7">
        <f t="shared" si="1"/>
        <v>0.18333333333333002</v>
      </c>
    </row>
    <row r="20" spans="1:24" x14ac:dyDescent="0.25">
      <c r="A20" s="5" t="str">
        <f>Plantilla!A19</f>
        <v>#12</v>
      </c>
      <c r="B20" s="264" t="str">
        <f>Plantilla!D19</f>
        <v>P. Tuderek</v>
      </c>
      <c r="C20" s="5">
        <f>Plantilla!E19</f>
        <v>22</v>
      </c>
      <c r="D20" s="465">
        <f ca="1">Plantilla!F19</f>
        <v>22</v>
      </c>
      <c r="E20" s="49">
        <f>Plantilla!X19</f>
        <v>0</v>
      </c>
      <c r="F20" s="49">
        <f>Plantilla!Y19</f>
        <v>6</v>
      </c>
      <c r="G20" s="49">
        <f>Plantilla!Z19</f>
        <v>12</v>
      </c>
      <c r="H20" s="49">
        <f>Plantilla!AA19</f>
        <v>2</v>
      </c>
      <c r="I20" s="49">
        <f>Plantilla!AB19</f>
        <v>3</v>
      </c>
      <c r="J20" s="49">
        <f>Plantilla!AC19</f>
        <v>6</v>
      </c>
      <c r="K20" s="49">
        <f>Plantilla!AD19</f>
        <v>17.25</v>
      </c>
      <c r="L20" s="97">
        <f>1/4</f>
        <v>0.25</v>
      </c>
      <c r="M20" s="97">
        <f t="shared" si="0"/>
        <v>0.3125</v>
      </c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7">
        <f t="shared" si="1"/>
        <v>0.13750000000000284</v>
      </c>
    </row>
    <row r="21" spans="1:24" x14ac:dyDescent="0.25">
      <c r="A21" s="5" t="str">
        <f>Plantilla!A20</f>
        <v>#10</v>
      </c>
      <c r="B21" s="264" t="str">
        <f>Plantilla!D20</f>
        <v>R. Forsyth</v>
      </c>
      <c r="C21" s="5">
        <f>Plantilla!E20</f>
        <v>22</v>
      </c>
      <c r="D21" s="465">
        <f ca="1">Plantilla!F20</f>
        <v>77</v>
      </c>
      <c r="E21" s="49">
        <f>Plantilla!X20</f>
        <v>0</v>
      </c>
      <c r="F21" s="49">
        <f>Plantilla!Y20</f>
        <v>7</v>
      </c>
      <c r="G21" s="49">
        <f>Plantilla!Z20</f>
        <v>13</v>
      </c>
      <c r="H21" s="49">
        <f>Plantilla!AA20</f>
        <v>3</v>
      </c>
      <c r="I21" s="49">
        <f>Plantilla!AB20</f>
        <v>4</v>
      </c>
      <c r="J21" s="49">
        <f>Plantilla!AC20</f>
        <v>6</v>
      </c>
      <c r="K21" s="49">
        <f>Plantilla!AD20</f>
        <v>15</v>
      </c>
      <c r="L21" s="97">
        <f>1/2</f>
        <v>0.5</v>
      </c>
      <c r="M21" s="97">
        <f t="shared" si="0"/>
        <v>0.625</v>
      </c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7">
        <f t="shared" si="1"/>
        <v>0.27499999999999858</v>
      </c>
    </row>
    <row r="22" spans="1:24" x14ac:dyDescent="0.25">
      <c r="A22" s="5" t="str">
        <f>Plantilla!A22</f>
        <v>#11</v>
      </c>
      <c r="B22" s="264" t="str">
        <f>Plantilla!D22</f>
        <v>J-P. Kechele</v>
      </c>
      <c r="C22" s="5">
        <f>Plantilla!E22</f>
        <v>29</v>
      </c>
      <c r="D22" s="465">
        <f ca="1">Plantilla!F22</f>
        <v>110</v>
      </c>
      <c r="E22" s="49">
        <f>Plantilla!X22</f>
        <v>0</v>
      </c>
      <c r="F22" s="49">
        <f>Plantilla!Y22</f>
        <v>4</v>
      </c>
      <c r="G22" s="49">
        <f>Plantilla!Z22</f>
        <v>14</v>
      </c>
      <c r="H22" s="49">
        <f>Plantilla!AA22</f>
        <v>4</v>
      </c>
      <c r="I22" s="49">
        <f>Plantilla!AB22</f>
        <v>9</v>
      </c>
      <c r="J22" s="49">
        <f>Plantilla!AC22</f>
        <v>8</v>
      </c>
      <c r="K22" s="49">
        <f>Plantilla!AD22</f>
        <v>19.25</v>
      </c>
      <c r="L22" s="97"/>
      <c r="M22" s="97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7"/>
    </row>
    <row r="23" spans="1:24" x14ac:dyDescent="0.25">
      <c r="A23" s="5" t="str">
        <f>Plantilla!A23</f>
        <v>#29</v>
      </c>
      <c r="B23" s="264" t="str">
        <f>Plantilla!D23</f>
        <v>S. Zobbe</v>
      </c>
      <c r="C23" s="5">
        <f>Plantilla!E23</f>
        <v>36</v>
      </c>
      <c r="D23" s="465">
        <f ca="1">Plantilla!F23</f>
        <v>0</v>
      </c>
      <c r="E23" s="49">
        <f>Plantilla!X23</f>
        <v>0</v>
      </c>
      <c r="F23" s="49">
        <f>Plantilla!Y23</f>
        <v>7.95</v>
      </c>
      <c r="G23" s="49">
        <f>Plantilla!Z23</f>
        <v>11.95</v>
      </c>
      <c r="H23" s="49">
        <f>Plantilla!AA23</f>
        <v>11.95</v>
      </c>
      <c r="I23" s="49">
        <f>Plantilla!AB23</f>
        <v>9.9499999999999993</v>
      </c>
      <c r="J23" s="49">
        <f>Plantilla!AC23</f>
        <v>4.95</v>
      </c>
      <c r="K23" s="49">
        <f>Plantilla!AD23</f>
        <v>18</v>
      </c>
      <c r="L23" s="97"/>
      <c r="M23" s="97"/>
      <c r="N23" s="49"/>
      <c r="O23" s="48"/>
      <c r="P23" s="48"/>
      <c r="Q23" s="48"/>
      <c r="R23" s="48"/>
      <c r="S23" s="48"/>
      <c r="T23" s="48"/>
      <c r="U23" s="48"/>
      <c r="V23" s="48"/>
      <c r="W23" s="48"/>
      <c r="X23" s="117"/>
    </row>
    <row r="24" spans="1:24" x14ac:dyDescent="0.25">
      <c r="A24" s="5" t="str">
        <f>Plantilla!A24</f>
        <v>#28</v>
      </c>
      <c r="B24" s="264" t="str">
        <f>Plantilla!D24</f>
        <v>P .Trivadi</v>
      </c>
      <c r="C24" s="5">
        <f>Plantilla!E24</f>
        <v>35</v>
      </c>
      <c r="D24" s="465">
        <f ca="1">Plantilla!F24</f>
        <v>68</v>
      </c>
      <c r="E24" s="49">
        <f>Plantilla!X24</f>
        <v>0</v>
      </c>
      <c r="F24" s="49">
        <f>Plantilla!Y24</f>
        <v>3.95</v>
      </c>
      <c r="G24" s="49">
        <f>Plantilla!Z24</f>
        <v>5.95</v>
      </c>
      <c r="H24" s="49">
        <f>Plantilla!AA24</f>
        <v>4.95</v>
      </c>
      <c r="I24" s="49">
        <f>Plantilla!AB24</f>
        <v>9.9499999999999993</v>
      </c>
      <c r="J24" s="49">
        <f>Plantilla!AC24</f>
        <v>5.95</v>
      </c>
      <c r="K24" s="49">
        <f>Plantilla!AD24</f>
        <v>15</v>
      </c>
      <c r="O24"/>
      <c r="S24" s="48"/>
      <c r="T24" s="48"/>
      <c r="U24" s="48"/>
      <c r="V24" s="48"/>
      <c r="W24" s="48"/>
    </row>
    <row r="25" spans="1:24" x14ac:dyDescent="0.25">
      <c r="A25" s="5">
        <f>Plantilla!A25</f>
        <v>0</v>
      </c>
      <c r="B25" s="264">
        <f>Plantilla!D25</f>
        <v>0</v>
      </c>
      <c r="C25" s="5">
        <f>Plantilla!E25</f>
        <v>0</v>
      </c>
      <c r="D25" s="465">
        <f>Plantilla!F25</f>
        <v>0</v>
      </c>
      <c r="E25" s="49">
        <f>Plantilla!X25</f>
        <v>0</v>
      </c>
      <c r="F25" s="49">
        <f>Plantilla!Y25</f>
        <v>0</v>
      </c>
      <c r="G25" s="49">
        <f>Plantilla!Z25</f>
        <v>0</v>
      </c>
      <c r="H25" s="49">
        <f>Plantilla!AA25</f>
        <v>0</v>
      </c>
      <c r="I25" s="49">
        <f>Plantilla!AB25</f>
        <v>0</v>
      </c>
      <c r="J25" s="49">
        <f>Plantilla!AC25</f>
        <v>0</v>
      </c>
      <c r="K25" s="49">
        <f>Plantilla!AD25</f>
        <v>0</v>
      </c>
      <c r="O25"/>
      <c r="S25" s="48"/>
      <c r="T25" s="48"/>
      <c r="U25" s="48"/>
      <c r="V25" s="48"/>
      <c r="W25" s="48"/>
    </row>
    <row r="26" spans="1:24" x14ac:dyDescent="0.25">
      <c r="A26" s="5">
        <f>Plantilla!A26</f>
        <v>0</v>
      </c>
      <c r="B26" s="264">
        <f>Plantilla!D26</f>
        <v>0</v>
      </c>
      <c r="C26" s="5">
        <f>Plantilla!E26</f>
        <v>0</v>
      </c>
      <c r="D26" s="465">
        <f>Plantilla!F26</f>
        <v>0</v>
      </c>
      <c r="E26" s="49">
        <f>Plantilla!X26</f>
        <v>0</v>
      </c>
      <c r="F26" s="49">
        <f>Plantilla!Y26</f>
        <v>0</v>
      </c>
      <c r="G26" s="49">
        <f>Plantilla!Z26</f>
        <v>0</v>
      </c>
      <c r="H26" s="49">
        <f>Plantilla!AA26</f>
        <v>0</v>
      </c>
      <c r="I26" s="49">
        <f>Plantilla!AB26</f>
        <v>0</v>
      </c>
      <c r="J26" s="49">
        <f>Plantilla!AC26</f>
        <v>0</v>
      </c>
      <c r="K26" s="49">
        <f>Plantilla!AD26</f>
        <v>0</v>
      </c>
      <c r="O26"/>
      <c r="S26" s="48"/>
      <c r="T26" s="48"/>
      <c r="U26" s="48"/>
      <c r="V26" s="48"/>
      <c r="W26" s="48"/>
    </row>
    <row r="27" spans="1:24" x14ac:dyDescent="0.25">
      <c r="A27" s="5">
        <f>Plantilla!A27</f>
        <v>0</v>
      </c>
      <c r="B27" s="264">
        <f>Plantilla!D27</f>
        <v>0</v>
      </c>
      <c r="C27" s="5">
        <f>Plantilla!E27</f>
        <v>0</v>
      </c>
      <c r="D27" s="465">
        <f>Plantilla!F27</f>
        <v>0</v>
      </c>
      <c r="E27" s="49">
        <f>Plantilla!X27</f>
        <v>0</v>
      </c>
      <c r="F27" s="49">
        <f>Plantilla!Y27</f>
        <v>0</v>
      </c>
      <c r="G27" s="49">
        <f>Plantilla!Z27</f>
        <v>0</v>
      </c>
      <c r="H27" s="49">
        <f>Plantilla!AA27</f>
        <v>0</v>
      </c>
      <c r="I27" s="49">
        <f>Plantilla!AB27</f>
        <v>0</v>
      </c>
      <c r="J27" s="49">
        <f>Plantilla!AC27</f>
        <v>0</v>
      </c>
      <c r="K27" s="49">
        <f>Plantilla!AD27</f>
        <v>0</v>
      </c>
      <c r="O27"/>
      <c r="S27" s="48"/>
      <c r="T27" s="48"/>
      <c r="U27" s="48"/>
      <c r="V27" s="48"/>
      <c r="W27" s="48"/>
    </row>
  </sheetData>
  <conditionalFormatting sqref="L14">
    <cfRule type="colorScale" priority="1">
      <colorScale>
        <cfvo type="min"/>
        <cfvo type="max"/>
        <color rgb="FFFFEF9C"/>
        <color rgb="FF63BE7B"/>
      </colorScale>
    </cfRule>
  </conditionalFormatting>
  <conditionalFormatting sqref="L19">
    <cfRule type="colorScale" priority="2">
      <colorScale>
        <cfvo type="min"/>
        <cfvo type="max"/>
        <color rgb="FFFFEF9C"/>
        <color rgb="FF63BE7B"/>
      </colorScale>
    </cfRule>
  </conditionalFormatting>
  <conditionalFormatting sqref="L16">
    <cfRule type="colorScale" priority="3">
      <colorScale>
        <cfvo type="min"/>
        <cfvo type="max"/>
        <color rgb="FFFFEF9C"/>
        <color rgb="FF63BE7B"/>
      </colorScale>
    </cfRule>
  </conditionalFormatting>
  <conditionalFormatting sqref="L12">
    <cfRule type="colorScale" priority="4">
      <colorScale>
        <cfvo type="min"/>
        <cfvo type="max"/>
        <color rgb="FFFFEF9C"/>
        <color rgb="FF63BE7B"/>
      </colorScale>
    </cfRule>
  </conditionalFormatting>
  <conditionalFormatting sqref="L21">
    <cfRule type="colorScale" priority="5">
      <colorScale>
        <cfvo type="min"/>
        <cfvo type="max"/>
        <color rgb="FFFFEF9C"/>
        <color rgb="FF63BE7B"/>
      </colorScale>
    </cfRule>
  </conditionalFormatting>
  <conditionalFormatting sqref="L11">
    <cfRule type="colorScale" priority="6">
      <colorScale>
        <cfvo type="min"/>
        <cfvo type="max"/>
        <color rgb="FFFFEF9C"/>
        <color rgb="FF63BE7B"/>
      </colorScale>
    </cfRule>
  </conditionalFormatting>
  <conditionalFormatting sqref="L13">
    <cfRule type="colorScale" priority="7">
      <colorScale>
        <cfvo type="min"/>
        <cfvo type="max"/>
        <color rgb="FFFFEF9C"/>
        <color rgb="FF63BE7B"/>
      </colorScale>
    </cfRule>
  </conditionalFormatting>
  <conditionalFormatting sqref="L15">
    <cfRule type="colorScale" priority="8">
      <colorScale>
        <cfvo type="min"/>
        <cfvo type="max"/>
        <color rgb="FFFFEF9C"/>
        <color rgb="FF63BE7B"/>
      </colorScale>
    </cfRule>
  </conditionalFormatting>
  <conditionalFormatting sqref="L4:L10 M4:W23 L17:L18 L20 L22:L23 S24:W27">
    <cfRule type="colorScale" priority="9">
      <colorScale>
        <cfvo type="min"/>
        <cfvo type="max"/>
        <color rgb="FFFFEF9C"/>
        <color rgb="FF63BE7B"/>
      </colorScale>
    </cfRule>
  </conditionalFormatting>
  <conditionalFormatting sqref="E4:K27">
    <cfRule type="colorScale" priority="10">
      <colorScale>
        <cfvo type="min"/>
        <cfvo type="max"/>
        <color rgb="FFFCFCFF"/>
        <color rgb="FFF8696B"/>
      </colorScale>
    </cfRule>
  </conditionalFormatting>
  <conditionalFormatting sqref="X4:X2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{27D1F968-9F83-CDA8-15FF-2A5E9FC55819}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1F968-9F83-CDA8-15FF-2A5E9FC558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X4:X27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2D69A"/>
  </sheetPr>
  <dimension ref="A1:AD47"/>
  <sheetViews>
    <sheetView zoomScale="80" workbookViewId="0">
      <selection activeCell="F24" sqref="F24"/>
    </sheetView>
  </sheetViews>
  <sheetFormatPr baseColWidth="10" defaultColWidth="11.42578125" defaultRowHeight="15" x14ac:dyDescent="0.25"/>
  <cols>
    <col min="1" max="1" width="31" customWidth="1"/>
    <col min="2" max="2" width="15.5703125" customWidth="1"/>
    <col min="3" max="6" width="13.85546875" customWidth="1"/>
    <col min="7" max="7" width="15.140625" customWidth="1"/>
    <col min="8" max="12" width="13.85546875" customWidth="1"/>
    <col min="13" max="13" width="17.28515625" customWidth="1"/>
    <col min="14" max="16" width="13.85546875" customWidth="1"/>
    <col min="17" max="17" width="12.85546875" customWidth="1"/>
    <col min="18" max="19" width="13.85546875" customWidth="1"/>
    <col min="20" max="30" width="12.85546875" customWidth="1"/>
  </cols>
  <sheetData>
    <row r="1" spans="1:30" ht="30.75" x14ac:dyDescent="0.25">
      <c r="M1" s="8" t="s">
        <v>651</v>
      </c>
      <c r="N1" s="8" t="s">
        <v>652</v>
      </c>
      <c r="O1" s="8" t="s">
        <v>653</v>
      </c>
      <c r="P1" s="8" t="s">
        <v>654</v>
      </c>
      <c r="Q1" s="8" t="s">
        <v>655</v>
      </c>
      <c r="R1" s="8" t="s">
        <v>656</v>
      </c>
      <c r="S1" s="8" t="s">
        <v>657</v>
      </c>
    </row>
    <row r="2" spans="1:30" x14ac:dyDescent="0.25">
      <c r="C2" s="9" t="s">
        <v>658</v>
      </c>
      <c r="D2" s="515" t="s">
        <v>659</v>
      </c>
      <c r="E2" s="515"/>
      <c r="F2" s="516" t="s">
        <v>660</v>
      </c>
      <c r="G2" s="516"/>
      <c r="H2" s="517" t="s">
        <v>661</v>
      </c>
      <c r="I2" s="517"/>
      <c r="K2" t="s">
        <v>662</v>
      </c>
      <c r="M2" s="10">
        <v>11</v>
      </c>
      <c r="N2" s="11">
        <v>14.98</v>
      </c>
      <c r="O2" s="11">
        <v>5.95</v>
      </c>
      <c r="P2" s="11">
        <v>5.49</v>
      </c>
      <c r="Q2" s="11">
        <v>0.68000000000000016</v>
      </c>
      <c r="R2" s="12">
        <v>27.09</v>
      </c>
    </row>
    <row r="3" spans="1:30" x14ac:dyDescent="0.25">
      <c r="A3" s="13" t="s">
        <v>663</v>
      </c>
      <c r="B3" s="14">
        <f>B4+B5+B6+B7</f>
        <v>71304</v>
      </c>
      <c r="C3" s="15">
        <f>C4+C5+C6+C7</f>
        <v>71472.679999999993</v>
      </c>
      <c r="D3" s="5" t="s">
        <v>664</v>
      </c>
      <c r="E3" s="5" t="s">
        <v>665</v>
      </c>
      <c r="F3" s="5" t="s">
        <v>664</v>
      </c>
      <c r="G3" s="5" t="s">
        <v>666</v>
      </c>
      <c r="H3" s="5" t="s">
        <v>664</v>
      </c>
      <c r="I3" s="6" t="s">
        <v>667</v>
      </c>
      <c r="J3" s="5" t="s">
        <v>668</v>
      </c>
      <c r="K3" s="7">
        <v>14480</v>
      </c>
      <c r="M3" s="10">
        <v>10</v>
      </c>
      <c r="N3" s="16">
        <v>14.23</v>
      </c>
      <c r="O3" s="16">
        <v>5.59</v>
      </c>
      <c r="P3" s="16">
        <v>5.07</v>
      </c>
      <c r="Q3" s="16">
        <v>0.62</v>
      </c>
      <c r="R3" s="17">
        <v>25.52</v>
      </c>
    </row>
    <row r="4" spans="1:30" x14ac:dyDescent="0.25">
      <c r="A4" s="13" t="s">
        <v>669</v>
      </c>
      <c r="B4" s="14">
        <v>40146</v>
      </c>
      <c r="C4" s="69">
        <v>40240.67</v>
      </c>
      <c r="D4" s="18">
        <v>45</v>
      </c>
      <c r="E4" s="5">
        <f>D4*(C4-B4)</f>
        <v>4260.1499999999214</v>
      </c>
      <c r="F4" s="19">
        <v>0.5</v>
      </c>
      <c r="G4" s="5">
        <f>(C4-B4)*F4</f>
        <v>47.334999999999127</v>
      </c>
      <c r="H4" s="19">
        <v>7</v>
      </c>
      <c r="I4" s="6">
        <f>(C4-B4)*H4</f>
        <v>662.68999999998778</v>
      </c>
      <c r="J4" s="5">
        <f>H4*C4</f>
        <v>281684.69</v>
      </c>
      <c r="K4">
        <f>K3*0.59</f>
        <v>8543.1999999999989</v>
      </c>
      <c r="M4" s="10">
        <v>9</v>
      </c>
      <c r="N4" s="11">
        <v>13.49</v>
      </c>
      <c r="O4" s="11">
        <v>5.24</v>
      </c>
      <c r="P4" s="11">
        <v>4.66</v>
      </c>
      <c r="Q4" s="11">
        <v>0.56999999999999995</v>
      </c>
      <c r="R4" s="12">
        <v>23.95</v>
      </c>
    </row>
    <row r="5" spans="1:30" x14ac:dyDescent="0.25">
      <c r="A5" s="13" t="s">
        <v>670</v>
      </c>
      <c r="B5" s="14">
        <v>15594</v>
      </c>
      <c r="C5" s="22">
        <v>15630.92</v>
      </c>
      <c r="D5" s="20">
        <v>75</v>
      </c>
      <c r="E5" s="5">
        <f>D5*(C5-B5)</f>
        <v>2769.0000000000055</v>
      </c>
      <c r="F5" s="21">
        <v>0.7</v>
      </c>
      <c r="G5" s="5">
        <f>(C5-B5)*F5</f>
        <v>25.844000000000051</v>
      </c>
      <c r="H5" s="21">
        <v>10</v>
      </c>
      <c r="I5" s="6">
        <f>(C5-B5)*H5</f>
        <v>369.20000000000073</v>
      </c>
      <c r="J5" s="5">
        <f>H5*C5</f>
        <v>156309.20000000001</v>
      </c>
      <c r="K5">
        <f>K3*0.21</f>
        <v>3040.7999999999997</v>
      </c>
      <c r="M5" s="10">
        <v>8</v>
      </c>
      <c r="N5" s="16">
        <v>12.74</v>
      </c>
      <c r="O5" s="16">
        <v>4.8899999999999997</v>
      </c>
      <c r="P5" s="16">
        <v>4.25</v>
      </c>
      <c r="Q5" s="16">
        <v>0.51</v>
      </c>
      <c r="R5" s="17">
        <v>22.39</v>
      </c>
    </row>
    <row r="6" spans="1:30" x14ac:dyDescent="0.25">
      <c r="A6" s="13" t="s">
        <v>671</v>
      </c>
      <c r="B6" s="14">
        <v>13868</v>
      </c>
      <c r="C6" s="22">
        <v>13900.78</v>
      </c>
      <c r="D6" s="18">
        <v>90</v>
      </c>
      <c r="E6" s="5">
        <f>D6*(C6-B6)</f>
        <v>2950.2000000000589</v>
      </c>
      <c r="F6" s="19">
        <v>1</v>
      </c>
      <c r="G6" s="5">
        <f>(C6-B6)*F6</f>
        <v>32.780000000000655</v>
      </c>
      <c r="H6" s="19">
        <v>19</v>
      </c>
      <c r="I6" s="6">
        <f>(C6-B6)*H6</f>
        <v>622.82000000001244</v>
      </c>
      <c r="J6" s="5">
        <f>H6*C6</f>
        <v>264114.82</v>
      </c>
      <c r="K6">
        <f>K3*0.18</f>
        <v>2606.4</v>
      </c>
      <c r="M6" s="10">
        <v>7</v>
      </c>
      <c r="N6" s="11">
        <v>12</v>
      </c>
      <c r="O6" s="11">
        <v>4.53</v>
      </c>
      <c r="P6" s="11">
        <v>3.84</v>
      </c>
      <c r="Q6" s="11">
        <v>0.46000000000000008</v>
      </c>
      <c r="R6" s="12">
        <v>20.83</v>
      </c>
    </row>
    <row r="7" spans="1:30" x14ac:dyDescent="0.25">
      <c r="A7" s="13" t="s">
        <v>672</v>
      </c>
      <c r="B7" s="14">
        <v>1696</v>
      </c>
      <c r="C7" s="23">
        <v>1700.31</v>
      </c>
      <c r="D7" s="20">
        <v>300</v>
      </c>
      <c r="E7" s="5">
        <f>D7*(C7-B7)</f>
        <v>1292.9999999999836</v>
      </c>
      <c r="F7" s="21">
        <v>2.5</v>
      </c>
      <c r="G7" s="5">
        <f>(C7-B7)*F7</f>
        <v>10.774999999999864</v>
      </c>
      <c r="H7" s="21">
        <v>35</v>
      </c>
      <c r="I7" s="6">
        <f>(C7-B7)*H7</f>
        <v>150.84999999999809</v>
      </c>
      <c r="J7" s="5">
        <f>H7*C7</f>
        <v>59510.85</v>
      </c>
      <c r="K7">
        <f>K3*0.02</f>
        <v>289.60000000000002</v>
      </c>
      <c r="M7" s="10">
        <v>6</v>
      </c>
      <c r="N7" s="16">
        <v>11.26</v>
      </c>
      <c r="O7" s="16">
        <v>4.17</v>
      </c>
      <c r="P7" s="16">
        <v>3.44</v>
      </c>
      <c r="Q7" s="16">
        <v>0.41</v>
      </c>
      <c r="R7" s="17">
        <v>19.27</v>
      </c>
    </row>
    <row r="8" spans="1:30" x14ac:dyDescent="0.25">
      <c r="C8" s="24">
        <f>C4/$C$3</f>
        <v>0.56302170283806352</v>
      </c>
      <c r="J8" s="25">
        <f>J7+J6+J5+J4</f>
        <v>761619.56</v>
      </c>
      <c r="M8" s="10">
        <v>5</v>
      </c>
      <c r="N8" s="11">
        <v>10.52</v>
      </c>
      <c r="O8" s="11">
        <v>3.81</v>
      </c>
      <c r="P8" s="11">
        <v>3.03</v>
      </c>
      <c r="Q8" s="11">
        <v>0.35</v>
      </c>
      <c r="R8" s="12">
        <v>17.719999999999995</v>
      </c>
    </row>
    <row r="9" spans="1:30" x14ac:dyDescent="0.25">
      <c r="C9" s="26">
        <f>C5/$C$3</f>
        <v>0.21869782971619367</v>
      </c>
      <c r="E9" s="50">
        <f>C4-B4</f>
        <v>94.669999999998254</v>
      </c>
      <c r="G9">
        <f>45*(24422-8000)</f>
        <v>738990</v>
      </c>
      <c r="M9" s="10">
        <v>4</v>
      </c>
      <c r="N9" s="16">
        <v>9.8000000000000007</v>
      </c>
      <c r="O9" s="16">
        <v>3.46</v>
      </c>
      <c r="P9" s="16">
        <v>2.63</v>
      </c>
      <c r="Q9" s="16">
        <v>0.3</v>
      </c>
      <c r="R9" s="17">
        <v>16.170000000000002</v>
      </c>
    </row>
    <row r="10" spans="1:30" x14ac:dyDescent="0.25">
      <c r="B10" s="27">
        <f>B11/B13</f>
        <v>0.47009380721923127</v>
      </c>
      <c r="C10" s="26">
        <f>C6/$C$3</f>
        <v>0.19449081803005011</v>
      </c>
      <c r="E10" s="50">
        <f>C5-B5</f>
        <v>36.920000000000073</v>
      </c>
      <c r="G10">
        <f>75*(9374-3000)</f>
        <v>478050</v>
      </c>
      <c r="M10" s="10">
        <v>3</v>
      </c>
      <c r="N10" s="11">
        <v>9.09</v>
      </c>
      <c r="O10" s="11">
        <v>3.1</v>
      </c>
      <c r="P10" s="11">
        <v>2.21</v>
      </c>
      <c r="Q10" s="11">
        <v>0.24</v>
      </c>
      <c r="R10" s="12">
        <v>14.63</v>
      </c>
    </row>
    <row r="11" spans="1:30" x14ac:dyDescent="0.25">
      <c r="A11" s="28" t="s">
        <v>673</v>
      </c>
      <c r="B11" s="29">
        <v>10000</v>
      </c>
      <c r="C11" s="26">
        <f>C7/$C$3</f>
        <v>2.3789649415692823E-2</v>
      </c>
      <c r="E11" s="50">
        <f>C6-B6</f>
        <v>32.780000000000655</v>
      </c>
      <c r="G11">
        <f>90*(7902-1000)</f>
        <v>621180</v>
      </c>
      <c r="M11" s="10">
        <v>2</v>
      </c>
      <c r="N11" s="16">
        <v>8.42</v>
      </c>
      <c r="O11" s="16">
        <v>2.73</v>
      </c>
      <c r="P11" s="16">
        <v>1.77</v>
      </c>
      <c r="Q11" s="16">
        <v>0.17999999999999997</v>
      </c>
      <c r="R11" s="17">
        <v>13.090000000000002</v>
      </c>
    </row>
    <row r="12" spans="1:30" x14ac:dyDescent="0.25">
      <c r="A12" s="28" t="s">
        <v>674</v>
      </c>
      <c r="B12" s="30">
        <f>E7+E6+E5+E4</f>
        <v>11272.349999999969</v>
      </c>
      <c r="E12" s="50">
        <f>C7-B7</f>
        <v>4.3099999999999454</v>
      </c>
      <c r="G12">
        <f>300*978</f>
        <v>293400</v>
      </c>
      <c r="M12" s="10">
        <v>1</v>
      </c>
      <c r="N12" s="11">
        <v>7.8499999999999988</v>
      </c>
      <c r="O12" s="11">
        <v>2.34</v>
      </c>
      <c r="P12" s="11">
        <v>1.23</v>
      </c>
      <c r="Q12" s="11">
        <v>0.1</v>
      </c>
      <c r="R12" s="12">
        <v>11.53</v>
      </c>
    </row>
    <row r="13" spans="1:30" x14ac:dyDescent="0.25">
      <c r="A13" s="31" t="s">
        <v>461</v>
      </c>
      <c r="B13" s="32">
        <f>B11+B12</f>
        <v>21272.349999999969</v>
      </c>
      <c r="G13">
        <f>10000*10</f>
        <v>100000</v>
      </c>
    </row>
    <row r="15" spans="1:30" x14ac:dyDescent="0.25">
      <c r="A15" s="3"/>
      <c r="B15" s="33" t="s">
        <v>380</v>
      </c>
      <c r="C15" s="33" t="s">
        <v>381</v>
      </c>
      <c r="D15" s="33" t="s">
        <v>382</v>
      </c>
      <c r="E15" s="33" t="s">
        <v>383</v>
      </c>
      <c r="F15" s="33" t="s">
        <v>384</v>
      </c>
      <c r="G15" s="33" t="s">
        <v>385</v>
      </c>
      <c r="H15" s="33" t="s">
        <v>386</v>
      </c>
      <c r="I15" s="33" t="s">
        <v>387</v>
      </c>
      <c r="J15" s="33" t="s">
        <v>388</v>
      </c>
      <c r="K15" s="33" t="s">
        <v>389</v>
      </c>
      <c r="L15" s="33" t="s">
        <v>390</v>
      </c>
      <c r="M15" s="33" t="s">
        <v>391</v>
      </c>
      <c r="N15" s="33" t="s">
        <v>392</v>
      </c>
      <c r="O15" s="33" t="s">
        <v>393</v>
      </c>
      <c r="P15" s="33" t="s">
        <v>394</v>
      </c>
      <c r="Q15" s="33" t="s">
        <v>379</v>
      </c>
      <c r="R15" s="33" t="s">
        <v>380</v>
      </c>
      <c r="S15" s="33" t="s">
        <v>381</v>
      </c>
      <c r="T15" s="33" t="s">
        <v>382</v>
      </c>
      <c r="U15" s="33" t="s">
        <v>383</v>
      </c>
      <c r="V15" s="33" t="s">
        <v>384</v>
      </c>
      <c r="W15" s="33" t="s">
        <v>385</v>
      </c>
      <c r="X15" s="33" t="s">
        <v>386</v>
      </c>
      <c r="Y15" s="33" t="s">
        <v>387</v>
      </c>
      <c r="Z15" s="33" t="s">
        <v>388</v>
      </c>
      <c r="AA15" s="33" t="s">
        <v>389</v>
      </c>
      <c r="AB15" s="33" t="s">
        <v>390</v>
      </c>
      <c r="AC15" s="33" t="s">
        <v>391</v>
      </c>
      <c r="AD15" s="33" t="s">
        <v>392</v>
      </c>
    </row>
    <row r="16" spans="1:30" x14ac:dyDescent="0.25">
      <c r="A16" s="34" t="s">
        <v>675</v>
      </c>
      <c r="B16" s="34">
        <v>3396</v>
      </c>
      <c r="C16" s="34">
        <f t="shared" ref="C16:AD16" si="0">B16+1</f>
        <v>3397</v>
      </c>
      <c r="D16" s="34">
        <f t="shared" si="0"/>
        <v>3398</v>
      </c>
      <c r="E16" s="34">
        <f t="shared" si="0"/>
        <v>3399</v>
      </c>
      <c r="F16" s="34">
        <f t="shared" si="0"/>
        <v>3400</v>
      </c>
      <c r="G16" s="34">
        <f t="shared" si="0"/>
        <v>3401</v>
      </c>
      <c r="H16" s="34">
        <f t="shared" si="0"/>
        <v>3402</v>
      </c>
      <c r="I16" s="34">
        <f t="shared" si="0"/>
        <v>3403</v>
      </c>
      <c r="J16" s="34">
        <f t="shared" si="0"/>
        <v>3404</v>
      </c>
      <c r="K16" s="34">
        <f t="shared" si="0"/>
        <v>3405</v>
      </c>
      <c r="L16" s="34">
        <f t="shared" si="0"/>
        <v>3406</v>
      </c>
      <c r="M16" s="34">
        <f t="shared" si="0"/>
        <v>3407</v>
      </c>
      <c r="N16" s="34">
        <f t="shared" si="0"/>
        <v>3408</v>
      </c>
      <c r="O16" s="34">
        <f t="shared" si="0"/>
        <v>3409</v>
      </c>
      <c r="P16" s="34">
        <f t="shared" si="0"/>
        <v>3410</v>
      </c>
      <c r="Q16" s="34">
        <f t="shared" si="0"/>
        <v>3411</v>
      </c>
      <c r="R16" s="34">
        <f t="shared" si="0"/>
        <v>3412</v>
      </c>
      <c r="S16" s="34">
        <f t="shared" si="0"/>
        <v>3413</v>
      </c>
      <c r="T16" s="34">
        <f t="shared" si="0"/>
        <v>3414</v>
      </c>
      <c r="U16" s="34">
        <f t="shared" si="0"/>
        <v>3415</v>
      </c>
      <c r="V16" s="34">
        <f t="shared" si="0"/>
        <v>3416</v>
      </c>
      <c r="W16" s="34">
        <f t="shared" si="0"/>
        <v>3417</v>
      </c>
      <c r="X16" s="34">
        <f t="shared" si="0"/>
        <v>3418</v>
      </c>
      <c r="Y16" s="34">
        <f t="shared" si="0"/>
        <v>3419</v>
      </c>
      <c r="Z16" s="34">
        <f t="shared" si="0"/>
        <v>3420</v>
      </c>
      <c r="AA16" s="34">
        <f t="shared" si="0"/>
        <v>3421</v>
      </c>
      <c r="AB16" s="34">
        <f t="shared" si="0"/>
        <v>3422</v>
      </c>
      <c r="AC16" s="34">
        <f t="shared" si="0"/>
        <v>3423</v>
      </c>
      <c r="AD16" s="34">
        <f t="shared" si="0"/>
        <v>3424</v>
      </c>
    </row>
    <row r="17" spans="1:30" x14ac:dyDescent="0.25">
      <c r="A17" s="34"/>
      <c r="B17" s="35">
        <f t="shared" ref="B17:AD17" si="1">B18+B19+B20+B21</f>
        <v>70738.680000000008</v>
      </c>
      <c r="C17" s="35">
        <f t="shared" si="1"/>
        <v>70759.509999999995</v>
      </c>
      <c r="D17" s="35">
        <f t="shared" si="1"/>
        <v>70780.340000000011</v>
      </c>
      <c r="E17" s="35">
        <f t="shared" si="1"/>
        <v>70801.17</v>
      </c>
      <c r="F17" s="35">
        <f t="shared" si="1"/>
        <v>70822</v>
      </c>
      <c r="G17" s="35">
        <f t="shared" si="1"/>
        <v>70842.83</v>
      </c>
      <c r="H17" s="35">
        <f t="shared" si="1"/>
        <v>70863.659999999989</v>
      </c>
      <c r="I17" s="35">
        <f t="shared" si="1"/>
        <v>70884.490000000005</v>
      </c>
      <c r="J17" s="35">
        <f t="shared" si="1"/>
        <v>70905.319999999992</v>
      </c>
      <c r="K17" s="35">
        <f t="shared" si="1"/>
        <v>70926.150000000009</v>
      </c>
      <c r="L17" s="35">
        <f t="shared" si="1"/>
        <v>70946.98</v>
      </c>
      <c r="M17" s="35">
        <f t="shared" si="1"/>
        <v>70967.81</v>
      </c>
      <c r="N17" s="35">
        <f t="shared" si="1"/>
        <v>70988.640000000014</v>
      </c>
      <c r="O17" s="35">
        <f t="shared" si="1"/>
        <v>71009.47</v>
      </c>
      <c r="P17" s="35">
        <f t="shared" si="1"/>
        <v>71030.3</v>
      </c>
      <c r="Q17" s="35">
        <f t="shared" si="1"/>
        <v>71051.13</v>
      </c>
      <c r="R17" s="35">
        <f t="shared" si="1"/>
        <v>71071.960000000006</v>
      </c>
      <c r="S17" s="35">
        <f t="shared" si="1"/>
        <v>71092.789999999994</v>
      </c>
      <c r="T17" s="35">
        <f t="shared" si="1"/>
        <v>71113.62</v>
      </c>
      <c r="U17" s="35">
        <f t="shared" si="1"/>
        <v>71134.45</v>
      </c>
      <c r="V17" s="35">
        <f t="shared" si="1"/>
        <v>71155.28</v>
      </c>
      <c r="W17" s="35">
        <f t="shared" si="1"/>
        <v>71176.110000000015</v>
      </c>
      <c r="X17" s="35">
        <f t="shared" si="1"/>
        <v>71196.94</v>
      </c>
      <c r="Y17" s="35">
        <f t="shared" si="1"/>
        <v>71217.77</v>
      </c>
      <c r="Z17" s="35">
        <f t="shared" si="1"/>
        <v>71238.599999999991</v>
      </c>
      <c r="AA17" s="35">
        <f t="shared" si="1"/>
        <v>71259.430000000008</v>
      </c>
      <c r="AB17" s="35">
        <f t="shared" si="1"/>
        <v>71280.259999999995</v>
      </c>
      <c r="AC17" s="35">
        <f t="shared" si="1"/>
        <v>71301.090000000011</v>
      </c>
      <c r="AD17" s="35">
        <f t="shared" si="1"/>
        <v>71321.919999999998</v>
      </c>
    </row>
    <row r="18" spans="1:30" x14ac:dyDescent="0.25">
      <c r="A18" s="36" t="s">
        <v>676</v>
      </c>
      <c r="B18" s="37">
        <f t="shared" ref="B18:AD18" si="2">B16*$N$6</f>
        <v>40752</v>
      </c>
      <c r="C18" s="37">
        <f t="shared" si="2"/>
        <v>40764</v>
      </c>
      <c r="D18" s="37">
        <f t="shared" si="2"/>
        <v>40776</v>
      </c>
      <c r="E18" s="37">
        <f t="shared" si="2"/>
        <v>40788</v>
      </c>
      <c r="F18" s="37">
        <f t="shared" si="2"/>
        <v>40800</v>
      </c>
      <c r="G18" s="37">
        <f t="shared" si="2"/>
        <v>40812</v>
      </c>
      <c r="H18" s="37">
        <f t="shared" si="2"/>
        <v>40824</v>
      </c>
      <c r="I18" s="37">
        <f t="shared" si="2"/>
        <v>40836</v>
      </c>
      <c r="J18" s="37">
        <f t="shared" si="2"/>
        <v>40848</v>
      </c>
      <c r="K18" s="37">
        <f t="shared" si="2"/>
        <v>40860</v>
      </c>
      <c r="L18" s="37">
        <f t="shared" si="2"/>
        <v>40872</v>
      </c>
      <c r="M18" s="37">
        <f t="shared" si="2"/>
        <v>40884</v>
      </c>
      <c r="N18" s="37">
        <f t="shared" si="2"/>
        <v>40896</v>
      </c>
      <c r="O18" s="37">
        <f t="shared" si="2"/>
        <v>40908</v>
      </c>
      <c r="P18" s="37">
        <f t="shared" si="2"/>
        <v>40920</v>
      </c>
      <c r="Q18" s="37">
        <f t="shared" si="2"/>
        <v>40932</v>
      </c>
      <c r="R18" s="37">
        <f t="shared" si="2"/>
        <v>40944</v>
      </c>
      <c r="S18" s="37">
        <f t="shared" si="2"/>
        <v>40956</v>
      </c>
      <c r="T18" s="37">
        <f t="shared" si="2"/>
        <v>40968</v>
      </c>
      <c r="U18" s="37">
        <f t="shared" si="2"/>
        <v>40980</v>
      </c>
      <c r="V18" s="37">
        <f t="shared" si="2"/>
        <v>40992</v>
      </c>
      <c r="W18" s="37">
        <f t="shared" si="2"/>
        <v>41004</v>
      </c>
      <c r="X18" s="37">
        <f t="shared" si="2"/>
        <v>41016</v>
      </c>
      <c r="Y18" s="37">
        <f t="shared" si="2"/>
        <v>41028</v>
      </c>
      <c r="Z18" s="37">
        <f t="shared" si="2"/>
        <v>41040</v>
      </c>
      <c r="AA18" s="37">
        <f t="shared" si="2"/>
        <v>41052</v>
      </c>
      <c r="AB18" s="37">
        <f t="shared" si="2"/>
        <v>41064</v>
      </c>
      <c r="AC18" s="37">
        <f t="shared" si="2"/>
        <v>41076</v>
      </c>
      <c r="AD18" s="37">
        <f t="shared" si="2"/>
        <v>41088</v>
      </c>
    </row>
    <row r="19" spans="1:30" x14ac:dyDescent="0.25">
      <c r="A19" s="36" t="s">
        <v>677</v>
      </c>
      <c r="B19" s="37">
        <f t="shared" ref="B19:AD19" si="3">B16*$O$6</f>
        <v>15383.880000000001</v>
      </c>
      <c r="C19" s="37">
        <f t="shared" si="3"/>
        <v>15388.410000000002</v>
      </c>
      <c r="D19" s="37">
        <f t="shared" si="3"/>
        <v>15392.94</v>
      </c>
      <c r="E19" s="37">
        <f t="shared" si="3"/>
        <v>15397.470000000001</v>
      </c>
      <c r="F19" s="37">
        <f t="shared" si="3"/>
        <v>15402</v>
      </c>
      <c r="G19" s="37">
        <f t="shared" si="3"/>
        <v>15406.53</v>
      </c>
      <c r="H19" s="37">
        <f t="shared" si="3"/>
        <v>15411.060000000001</v>
      </c>
      <c r="I19" s="37">
        <f t="shared" si="3"/>
        <v>15415.59</v>
      </c>
      <c r="J19" s="37">
        <f t="shared" si="3"/>
        <v>15420.12</v>
      </c>
      <c r="K19" s="37">
        <f t="shared" si="3"/>
        <v>15424.650000000001</v>
      </c>
      <c r="L19" s="37">
        <f t="shared" si="3"/>
        <v>15429.18</v>
      </c>
      <c r="M19" s="37">
        <f t="shared" si="3"/>
        <v>15433.710000000001</v>
      </c>
      <c r="N19" s="37">
        <f t="shared" si="3"/>
        <v>15438.240000000002</v>
      </c>
      <c r="O19" s="37">
        <f t="shared" si="3"/>
        <v>15442.77</v>
      </c>
      <c r="P19" s="37">
        <f t="shared" si="3"/>
        <v>15447.300000000001</v>
      </c>
      <c r="Q19" s="37">
        <f t="shared" si="3"/>
        <v>15451.830000000002</v>
      </c>
      <c r="R19" s="37">
        <f t="shared" si="3"/>
        <v>15456.36</v>
      </c>
      <c r="S19" s="37">
        <f t="shared" si="3"/>
        <v>15460.890000000001</v>
      </c>
      <c r="T19" s="37">
        <f t="shared" si="3"/>
        <v>15465.42</v>
      </c>
      <c r="U19" s="37">
        <f t="shared" si="3"/>
        <v>15469.95</v>
      </c>
      <c r="V19" s="37">
        <f t="shared" si="3"/>
        <v>15474.480000000001</v>
      </c>
      <c r="W19" s="37">
        <f t="shared" si="3"/>
        <v>15479.01</v>
      </c>
      <c r="X19" s="37">
        <f t="shared" si="3"/>
        <v>15483.54</v>
      </c>
      <c r="Y19" s="37">
        <f t="shared" si="3"/>
        <v>15488.070000000002</v>
      </c>
      <c r="Z19" s="37">
        <f t="shared" si="3"/>
        <v>15492.6</v>
      </c>
      <c r="AA19" s="37">
        <f t="shared" si="3"/>
        <v>15497.130000000001</v>
      </c>
      <c r="AB19" s="37">
        <f t="shared" si="3"/>
        <v>15501.660000000002</v>
      </c>
      <c r="AC19" s="37">
        <f t="shared" si="3"/>
        <v>15506.19</v>
      </c>
      <c r="AD19" s="37">
        <f t="shared" si="3"/>
        <v>15510.720000000001</v>
      </c>
    </row>
    <row r="20" spans="1:30" x14ac:dyDescent="0.25">
      <c r="A20" s="36" t="s">
        <v>678</v>
      </c>
      <c r="B20" s="37">
        <f t="shared" ref="B20:AD20" si="4">B16*$P$6</f>
        <v>13040.64</v>
      </c>
      <c r="C20" s="37">
        <f t="shared" si="4"/>
        <v>13044.48</v>
      </c>
      <c r="D20" s="37">
        <f t="shared" si="4"/>
        <v>13048.32</v>
      </c>
      <c r="E20" s="37">
        <f t="shared" si="4"/>
        <v>13052.16</v>
      </c>
      <c r="F20" s="37">
        <f t="shared" si="4"/>
        <v>13056</v>
      </c>
      <c r="G20" s="37">
        <f t="shared" si="4"/>
        <v>13059.84</v>
      </c>
      <c r="H20" s="37">
        <f t="shared" si="4"/>
        <v>13063.68</v>
      </c>
      <c r="I20" s="37">
        <f t="shared" si="4"/>
        <v>13067.519999999999</v>
      </c>
      <c r="J20" s="37">
        <f t="shared" si="4"/>
        <v>13071.359999999999</v>
      </c>
      <c r="K20" s="37">
        <f t="shared" si="4"/>
        <v>13075.199999999999</v>
      </c>
      <c r="L20" s="37">
        <f t="shared" si="4"/>
        <v>13079.039999999999</v>
      </c>
      <c r="M20" s="37">
        <f t="shared" si="4"/>
        <v>13082.88</v>
      </c>
      <c r="N20" s="37">
        <f t="shared" si="4"/>
        <v>13086.72</v>
      </c>
      <c r="O20" s="37">
        <f t="shared" si="4"/>
        <v>13090.56</v>
      </c>
      <c r="P20" s="37">
        <f t="shared" si="4"/>
        <v>13094.4</v>
      </c>
      <c r="Q20" s="37">
        <f t="shared" si="4"/>
        <v>13098.24</v>
      </c>
      <c r="R20" s="37">
        <f t="shared" si="4"/>
        <v>13102.08</v>
      </c>
      <c r="S20" s="37">
        <f t="shared" si="4"/>
        <v>13105.92</v>
      </c>
      <c r="T20" s="37">
        <f t="shared" si="4"/>
        <v>13109.76</v>
      </c>
      <c r="U20" s="37">
        <f t="shared" si="4"/>
        <v>13113.6</v>
      </c>
      <c r="V20" s="37">
        <f t="shared" si="4"/>
        <v>13117.439999999999</v>
      </c>
      <c r="W20" s="37">
        <f t="shared" si="4"/>
        <v>13121.279999999999</v>
      </c>
      <c r="X20" s="37">
        <f t="shared" si="4"/>
        <v>13125.119999999999</v>
      </c>
      <c r="Y20" s="37">
        <f t="shared" si="4"/>
        <v>13128.96</v>
      </c>
      <c r="Z20" s="37">
        <f t="shared" si="4"/>
        <v>13132.8</v>
      </c>
      <c r="AA20" s="37">
        <f t="shared" si="4"/>
        <v>13136.64</v>
      </c>
      <c r="AB20" s="37">
        <f t="shared" si="4"/>
        <v>13140.48</v>
      </c>
      <c r="AC20" s="37">
        <f t="shared" si="4"/>
        <v>13144.32</v>
      </c>
      <c r="AD20" s="37">
        <f t="shared" si="4"/>
        <v>13148.16</v>
      </c>
    </row>
    <row r="21" spans="1:30" x14ac:dyDescent="0.25">
      <c r="A21" s="36" t="s">
        <v>679</v>
      </c>
      <c r="B21" s="37">
        <f t="shared" ref="B21:AD21" si="5">B16*$Q$6</f>
        <v>1562.1600000000003</v>
      </c>
      <c r="C21" s="37">
        <f t="shared" si="5"/>
        <v>1562.6200000000003</v>
      </c>
      <c r="D21" s="37">
        <f t="shared" si="5"/>
        <v>1563.0800000000002</v>
      </c>
      <c r="E21" s="37">
        <f t="shared" si="5"/>
        <v>1563.5400000000002</v>
      </c>
      <c r="F21" s="37">
        <f t="shared" si="5"/>
        <v>1564.0000000000002</v>
      </c>
      <c r="G21" s="37">
        <f t="shared" si="5"/>
        <v>1564.4600000000003</v>
      </c>
      <c r="H21" s="37">
        <f t="shared" si="5"/>
        <v>1564.9200000000003</v>
      </c>
      <c r="I21" s="37">
        <f t="shared" si="5"/>
        <v>1565.3800000000003</v>
      </c>
      <c r="J21" s="37">
        <f t="shared" si="5"/>
        <v>1565.8400000000001</v>
      </c>
      <c r="K21" s="37">
        <f t="shared" si="5"/>
        <v>1566.3000000000002</v>
      </c>
      <c r="L21" s="37">
        <f t="shared" si="5"/>
        <v>1566.7600000000002</v>
      </c>
      <c r="M21" s="37">
        <f t="shared" si="5"/>
        <v>1567.2200000000003</v>
      </c>
      <c r="N21" s="37">
        <f t="shared" si="5"/>
        <v>1567.6800000000003</v>
      </c>
      <c r="O21" s="37">
        <f t="shared" si="5"/>
        <v>1568.1400000000003</v>
      </c>
      <c r="P21" s="37">
        <f t="shared" si="5"/>
        <v>1568.6000000000004</v>
      </c>
      <c r="Q21" s="37">
        <f t="shared" si="5"/>
        <v>1569.0600000000002</v>
      </c>
      <c r="R21" s="37">
        <f t="shared" si="5"/>
        <v>1569.5200000000002</v>
      </c>
      <c r="S21" s="37">
        <f t="shared" si="5"/>
        <v>1569.9800000000002</v>
      </c>
      <c r="T21" s="37">
        <f t="shared" si="5"/>
        <v>1570.4400000000003</v>
      </c>
      <c r="U21" s="37">
        <f t="shared" si="5"/>
        <v>1570.9000000000003</v>
      </c>
      <c r="V21" s="37">
        <f t="shared" si="5"/>
        <v>1571.3600000000004</v>
      </c>
      <c r="W21" s="37">
        <f t="shared" si="5"/>
        <v>1571.8200000000002</v>
      </c>
      <c r="X21" s="37">
        <f t="shared" si="5"/>
        <v>1572.2800000000002</v>
      </c>
      <c r="Y21" s="37">
        <f t="shared" si="5"/>
        <v>1572.7400000000002</v>
      </c>
      <c r="Z21" s="37">
        <f t="shared" si="5"/>
        <v>1573.2000000000003</v>
      </c>
      <c r="AA21" s="37">
        <f t="shared" si="5"/>
        <v>1573.6600000000003</v>
      </c>
      <c r="AB21" s="37">
        <f t="shared" si="5"/>
        <v>1574.1200000000003</v>
      </c>
      <c r="AC21" s="37">
        <f t="shared" si="5"/>
        <v>1574.5800000000002</v>
      </c>
      <c r="AD21" s="37">
        <f t="shared" si="5"/>
        <v>1575.0400000000002</v>
      </c>
    </row>
    <row r="22" spans="1:30" x14ac:dyDescent="0.25">
      <c r="A22" s="36" t="s">
        <v>680</v>
      </c>
      <c r="B22" s="37">
        <f t="shared" ref="B22:AD22" si="6">MIN(B$18,$C$4)</f>
        <v>40240.67</v>
      </c>
      <c r="C22" s="37">
        <f t="shared" si="6"/>
        <v>40240.67</v>
      </c>
      <c r="D22" s="37">
        <f t="shared" si="6"/>
        <v>40240.67</v>
      </c>
      <c r="E22" s="37">
        <f t="shared" si="6"/>
        <v>40240.67</v>
      </c>
      <c r="F22" s="37">
        <f t="shared" si="6"/>
        <v>40240.67</v>
      </c>
      <c r="G22" s="37">
        <f t="shared" si="6"/>
        <v>40240.67</v>
      </c>
      <c r="H22" s="37">
        <f t="shared" si="6"/>
        <v>40240.67</v>
      </c>
      <c r="I22" s="37">
        <f t="shared" si="6"/>
        <v>40240.67</v>
      </c>
      <c r="J22" s="37">
        <f t="shared" si="6"/>
        <v>40240.67</v>
      </c>
      <c r="K22" s="37">
        <f t="shared" si="6"/>
        <v>40240.67</v>
      </c>
      <c r="L22" s="37">
        <f t="shared" si="6"/>
        <v>40240.67</v>
      </c>
      <c r="M22" s="37">
        <f t="shared" si="6"/>
        <v>40240.67</v>
      </c>
      <c r="N22" s="37">
        <f t="shared" si="6"/>
        <v>40240.67</v>
      </c>
      <c r="O22" s="37">
        <f t="shared" si="6"/>
        <v>40240.67</v>
      </c>
      <c r="P22" s="37">
        <f t="shared" si="6"/>
        <v>40240.67</v>
      </c>
      <c r="Q22" s="37">
        <f t="shared" si="6"/>
        <v>40240.67</v>
      </c>
      <c r="R22" s="37">
        <f t="shared" si="6"/>
        <v>40240.67</v>
      </c>
      <c r="S22" s="37">
        <f t="shared" si="6"/>
        <v>40240.67</v>
      </c>
      <c r="T22" s="37">
        <f t="shared" si="6"/>
        <v>40240.67</v>
      </c>
      <c r="U22" s="37">
        <f t="shared" si="6"/>
        <v>40240.67</v>
      </c>
      <c r="V22" s="37">
        <f t="shared" si="6"/>
        <v>40240.67</v>
      </c>
      <c r="W22" s="37">
        <f t="shared" si="6"/>
        <v>40240.67</v>
      </c>
      <c r="X22" s="37">
        <f t="shared" si="6"/>
        <v>40240.67</v>
      </c>
      <c r="Y22" s="37">
        <f t="shared" si="6"/>
        <v>40240.67</v>
      </c>
      <c r="Z22" s="37">
        <f t="shared" si="6"/>
        <v>40240.67</v>
      </c>
      <c r="AA22" s="37">
        <f t="shared" si="6"/>
        <v>40240.67</v>
      </c>
      <c r="AB22" s="37">
        <f t="shared" si="6"/>
        <v>40240.67</v>
      </c>
      <c r="AC22" s="37">
        <f t="shared" si="6"/>
        <v>40240.67</v>
      </c>
      <c r="AD22" s="37">
        <f t="shared" si="6"/>
        <v>40240.67</v>
      </c>
    </row>
    <row r="23" spans="1:30" x14ac:dyDescent="0.25">
      <c r="A23" s="36" t="s">
        <v>681</v>
      </c>
      <c r="B23" s="37">
        <f t="shared" ref="B23:AD23" si="7">MIN(B$19,$C$5)</f>
        <v>15383.880000000001</v>
      </c>
      <c r="C23" s="37">
        <f t="shared" si="7"/>
        <v>15388.410000000002</v>
      </c>
      <c r="D23" s="37">
        <f t="shared" si="7"/>
        <v>15392.94</v>
      </c>
      <c r="E23" s="37">
        <f t="shared" si="7"/>
        <v>15397.470000000001</v>
      </c>
      <c r="F23" s="37">
        <f t="shared" si="7"/>
        <v>15402</v>
      </c>
      <c r="G23" s="37">
        <f t="shared" si="7"/>
        <v>15406.53</v>
      </c>
      <c r="H23" s="37">
        <f t="shared" si="7"/>
        <v>15411.060000000001</v>
      </c>
      <c r="I23" s="37">
        <f t="shared" si="7"/>
        <v>15415.59</v>
      </c>
      <c r="J23" s="37">
        <f t="shared" si="7"/>
        <v>15420.12</v>
      </c>
      <c r="K23" s="37">
        <f t="shared" si="7"/>
        <v>15424.650000000001</v>
      </c>
      <c r="L23" s="37">
        <f t="shared" si="7"/>
        <v>15429.18</v>
      </c>
      <c r="M23" s="37">
        <f t="shared" si="7"/>
        <v>15433.710000000001</v>
      </c>
      <c r="N23" s="37">
        <f t="shared" si="7"/>
        <v>15438.240000000002</v>
      </c>
      <c r="O23" s="37">
        <f t="shared" si="7"/>
        <v>15442.77</v>
      </c>
      <c r="P23" s="37">
        <f t="shared" si="7"/>
        <v>15447.300000000001</v>
      </c>
      <c r="Q23" s="37">
        <f t="shared" si="7"/>
        <v>15451.830000000002</v>
      </c>
      <c r="R23" s="37">
        <f t="shared" si="7"/>
        <v>15456.36</v>
      </c>
      <c r="S23" s="37">
        <f t="shared" si="7"/>
        <v>15460.890000000001</v>
      </c>
      <c r="T23" s="37">
        <f t="shared" si="7"/>
        <v>15465.42</v>
      </c>
      <c r="U23" s="37">
        <f t="shared" si="7"/>
        <v>15469.95</v>
      </c>
      <c r="V23" s="37">
        <f t="shared" si="7"/>
        <v>15474.480000000001</v>
      </c>
      <c r="W23" s="37">
        <f t="shared" si="7"/>
        <v>15479.01</v>
      </c>
      <c r="X23" s="37">
        <f t="shared" si="7"/>
        <v>15483.54</v>
      </c>
      <c r="Y23" s="37">
        <f t="shared" si="7"/>
        <v>15488.070000000002</v>
      </c>
      <c r="Z23" s="37">
        <f t="shared" si="7"/>
        <v>15492.6</v>
      </c>
      <c r="AA23" s="37">
        <f t="shared" si="7"/>
        <v>15497.130000000001</v>
      </c>
      <c r="AB23" s="37">
        <f t="shared" si="7"/>
        <v>15501.660000000002</v>
      </c>
      <c r="AC23" s="37">
        <f t="shared" si="7"/>
        <v>15506.19</v>
      </c>
      <c r="AD23" s="37">
        <f t="shared" si="7"/>
        <v>15510.720000000001</v>
      </c>
    </row>
    <row r="24" spans="1:30" x14ac:dyDescent="0.25">
      <c r="A24" s="36" t="s">
        <v>682</v>
      </c>
      <c r="B24" s="37">
        <f t="shared" ref="B24:AD24" si="8">MIN(B$20,$C$6)</f>
        <v>13040.64</v>
      </c>
      <c r="C24" s="37">
        <f t="shared" si="8"/>
        <v>13044.48</v>
      </c>
      <c r="D24" s="37">
        <f t="shared" si="8"/>
        <v>13048.32</v>
      </c>
      <c r="E24" s="37">
        <f t="shared" si="8"/>
        <v>13052.16</v>
      </c>
      <c r="F24" s="37">
        <f t="shared" si="8"/>
        <v>13056</v>
      </c>
      <c r="G24" s="37">
        <f t="shared" si="8"/>
        <v>13059.84</v>
      </c>
      <c r="H24" s="37">
        <f t="shared" si="8"/>
        <v>13063.68</v>
      </c>
      <c r="I24" s="37">
        <f t="shared" si="8"/>
        <v>13067.519999999999</v>
      </c>
      <c r="J24" s="37">
        <f t="shared" si="8"/>
        <v>13071.359999999999</v>
      </c>
      <c r="K24" s="37">
        <f t="shared" si="8"/>
        <v>13075.199999999999</v>
      </c>
      <c r="L24" s="37">
        <f t="shared" si="8"/>
        <v>13079.039999999999</v>
      </c>
      <c r="M24" s="37">
        <f t="shared" si="8"/>
        <v>13082.88</v>
      </c>
      <c r="N24" s="37">
        <f t="shared" si="8"/>
        <v>13086.72</v>
      </c>
      <c r="O24" s="37">
        <f t="shared" si="8"/>
        <v>13090.56</v>
      </c>
      <c r="P24" s="37">
        <f t="shared" si="8"/>
        <v>13094.4</v>
      </c>
      <c r="Q24" s="37">
        <f t="shared" si="8"/>
        <v>13098.24</v>
      </c>
      <c r="R24" s="37">
        <f t="shared" si="8"/>
        <v>13102.08</v>
      </c>
      <c r="S24" s="37">
        <f t="shared" si="8"/>
        <v>13105.92</v>
      </c>
      <c r="T24" s="37">
        <f t="shared" si="8"/>
        <v>13109.76</v>
      </c>
      <c r="U24" s="37">
        <f t="shared" si="8"/>
        <v>13113.6</v>
      </c>
      <c r="V24" s="37">
        <f t="shared" si="8"/>
        <v>13117.439999999999</v>
      </c>
      <c r="W24" s="37">
        <f t="shared" si="8"/>
        <v>13121.279999999999</v>
      </c>
      <c r="X24" s="37">
        <f t="shared" si="8"/>
        <v>13125.119999999999</v>
      </c>
      <c r="Y24" s="37">
        <f t="shared" si="8"/>
        <v>13128.96</v>
      </c>
      <c r="Z24" s="37">
        <f t="shared" si="8"/>
        <v>13132.8</v>
      </c>
      <c r="AA24" s="37">
        <f t="shared" si="8"/>
        <v>13136.64</v>
      </c>
      <c r="AB24" s="37">
        <f t="shared" si="8"/>
        <v>13140.48</v>
      </c>
      <c r="AC24" s="37">
        <f t="shared" si="8"/>
        <v>13144.32</v>
      </c>
      <c r="AD24" s="37">
        <f t="shared" si="8"/>
        <v>13148.16</v>
      </c>
    </row>
    <row r="25" spans="1:30" x14ac:dyDescent="0.25">
      <c r="A25" s="36" t="s">
        <v>683</v>
      </c>
      <c r="B25" s="37">
        <f t="shared" ref="B25:AD25" si="9">MIN(B$21,$C$7)</f>
        <v>1562.1600000000003</v>
      </c>
      <c r="C25" s="37">
        <f t="shared" si="9"/>
        <v>1562.6200000000003</v>
      </c>
      <c r="D25" s="37">
        <f t="shared" si="9"/>
        <v>1563.0800000000002</v>
      </c>
      <c r="E25" s="37">
        <f t="shared" si="9"/>
        <v>1563.5400000000002</v>
      </c>
      <c r="F25" s="37">
        <f t="shared" si="9"/>
        <v>1564.0000000000002</v>
      </c>
      <c r="G25" s="37">
        <f t="shared" si="9"/>
        <v>1564.4600000000003</v>
      </c>
      <c r="H25" s="37">
        <f t="shared" si="9"/>
        <v>1564.9200000000003</v>
      </c>
      <c r="I25" s="37">
        <f t="shared" si="9"/>
        <v>1565.3800000000003</v>
      </c>
      <c r="J25" s="37">
        <f t="shared" si="9"/>
        <v>1565.8400000000001</v>
      </c>
      <c r="K25" s="37">
        <f t="shared" si="9"/>
        <v>1566.3000000000002</v>
      </c>
      <c r="L25" s="37">
        <f t="shared" si="9"/>
        <v>1566.7600000000002</v>
      </c>
      <c r="M25" s="37">
        <f t="shared" si="9"/>
        <v>1567.2200000000003</v>
      </c>
      <c r="N25" s="37">
        <f t="shared" si="9"/>
        <v>1567.6800000000003</v>
      </c>
      <c r="O25" s="37">
        <f t="shared" si="9"/>
        <v>1568.1400000000003</v>
      </c>
      <c r="P25" s="37">
        <f t="shared" si="9"/>
        <v>1568.6000000000004</v>
      </c>
      <c r="Q25" s="37">
        <f t="shared" si="9"/>
        <v>1569.0600000000002</v>
      </c>
      <c r="R25" s="37">
        <f t="shared" si="9"/>
        <v>1569.5200000000002</v>
      </c>
      <c r="S25" s="37">
        <f t="shared" si="9"/>
        <v>1569.9800000000002</v>
      </c>
      <c r="T25" s="37">
        <f t="shared" si="9"/>
        <v>1570.4400000000003</v>
      </c>
      <c r="U25" s="37">
        <f t="shared" si="9"/>
        <v>1570.9000000000003</v>
      </c>
      <c r="V25" s="37">
        <f t="shared" si="9"/>
        <v>1571.3600000000004</v>
      </c>
      <c r="W25" s="37">
        <f t="shared" si="9"/>
        <v>1571.8200000000002</v>
      </c>
      <c r="X25" s="37">
        <f t="shared" si="9"/>
        <v>1572.2800000000002</v>
      </c>
      <c r="Y25" s="37">
        <f t="shared" si="9"/>
        <v>1572.7400000000002</v>
      </c>
      <c r="Z25" s="37">
        <f t="shared" si="9"/>
        <v>1573.2000000000003</v>
      </c>
      <c r="AA25" s="37">
        <f t="shared" si="9"/>
        <v>1573.6600000000003</v>
      </c>
      <c r="AB25" s="37">
        <f t="shared" si="9"/>
        <v>1574.1200000000003</v>
      </c>
      <c r="AC25" s="37">
        <f t="shared" si="9"/>
        <v>1574.5800000000002</v>
      </c>
      <c r="AD25" s="37">
        <f t="shared" si="9"/>
        <v>1575.0400000000002</v>
      </c>
    </row>
    <row r="26" spans="1:30" x14ac:dyDescent="0.25">
      <c r="A26" s="38" t="s">
        <v>684</v>
      </c>
      <c r="B26" s="39">
        <v>0</v>
      </c>
      <c r="C26" s="39">
        <f>IF(C22&gt;$B$4,(C22-$B$4)*$H$4,0)</f>
        <v>662.68999999998778</v>
      </c>
      <c r="D26" s="39">
        <v>0</v>
      </c>
      <c r="E26" s="39">
        <f>IF(E22&gt;$B$4,(E22-$B$4)*$H$4,0)</f>
        <v>662.68999999998778</v>
      </c>
      <c r="F26" s="39">
        <v>0</v>
      </c>
      <c r="G26" s="39">
        <f>IF(G22&gt;$B$4,(G22-$B$4)*$H$4,0)</f>
        <v>662.68999999998778</v>
      </c>
      <c r="H26" s="39">
        <v>0</v>
      </c>
      <c r="I26" s="39">
        <v>0</v>
      </c>
      <c r="J26" s="39">
        <f>IF(J22&gt;$B$4,(J22-$B$4)*$H$4,0)</f>
        <v>662.68999999998778</v>
      </c>
      <c r="K26" s="39">
        <v>0</v>
      </c>
      <c r="L26" s="39">
        <f>IF(L22&gt;$B$4,(L22-$B$4)*$H$4,0)</f>
        <v>662.68999999998778</v>
      </c>
      <c r="M26" s="39">
        <v>0</v>
      </c>
      <c r="N26" s="39">
        <f>IF(N22&gt;$B$4,(N22-$B$4)*$H$4,0)</f>
        <v>662.68999999998778</v>
      </c>
      <c r="O26" s="39">
        <v>0</v>
      </c>
      <c r="P26" s="39">
        <f>IF(P22&gt;$B$4,(P22-$B$4)*$H$4,0)</f>
        <v>662.68999999998778</v>
      </c>
      <c r="Q26" s="39">
        <v>0</v>
      </c>
      <c r="R26" s="39">
        <f>IF(R22&gt;$B$4,(R22-$B$4)*$H$4,0)</f>
        <v>662.68999999998778</v>
      </c>
      <c r="S26" s="39">
        <v>0</v>
      </c>
      <c r="T26" s="39">
        <f>IF(T22&gt;$B$4,(T22-$B$4)*$H$4,0)</f>
        <v>662.68999999998778</v>
      </c>
      <c r="U26" s="39">
        <v>0</v>
      </c>
      <c r="V26" s="39">
        <f>IF(V22&gt;$B$4,(V22-$B$4)*$H$4,0)</f>
        <v>662.68999999998778</v>
      </c>
      <c r="W26" s="39">
        <v>0</v>
      </c>
      <c r="X26" s="39">
        <f>IF(X22&gt;$B$4,(X22-$B$4)*$H$4,0)</f>
        <v>662.68999999998778</v>
      </c>
      <c r="Y26" s="39">
        <v>0</v>
      </c>
      <c r="Z26" s="39">
        <f>IF(Z22&gt;$B$4,(Z22-$B$4)*$H$4,0)</f>
        <v>662.68999999998778</v>
      </c>
      <c r="AA26" s="39">
        <v>0</v>
      </c>
      <c r="AB26" s="39">
        <f>IF(AB22&gt;$B$4,(AB22-$B$4)*$H$4,0)</f>
        <v>662.68999999998778</v>
      </c>
      <c r="AC26" s="39">
        <v>0</v>
      </c>
      <c r="AD26" s="39">
        <f>IF(AD22&gt;$B$4,(AD22-$B$4)*$H$4,0)</f>
        <v>662.68999999998778</v>
      </c>
    </row>
    <row r="27" spans="1:30" x14ac:dyDescent="0.25">
      <c r="A27" s="38" t="s">
        <v>685</v>
      </c>
      <c r="B27" s="39">
        <v>0</v>
      </c>
      <c r="C27" s="39">
        <f>IF(C23&gt;$B$5,(C23-$B$5)*$H$5,0)</f>
        <v>0</v>
      </c>
      <c r="D27" s="39">
        <v>0</v>
      </c>
      <c r="E27" s="39">
        <f>IF(E23&gt;$B$5,(E23-$B$5)*$H$5,0)</f>
        <v>0</v>
      </c>
      <c r="F27" s="39">
        <v>0</v>
      </c>
      <c r="G27" s="39">
        <f>IF(G23&gt;$B$5,(G23-$B$5)*$H$5,0)</f>
        <v>0</v>
      </c>
      <c r="H27" s="39">
        <v>0</v>
      </c>
      <c r="I27" s="39">
        <v>0</v>
      </c>
      <c r="J27" s="39">
        <f>IF(J23&gt;$B$5,(J23-$B$5)*$H$5,0)</f>
        <v>0</v>
      </c>
      <c r="K27" s="39">
        <v>0</v>
      </c>
      <c r="L27" s="39">
        <f>IF(L23&gt;$B$5,(L23-$B$5)*$H$5,0)</f>
        <v>0</v>
      </c>
      <c r="M27" s="39">
        <v>0</v>
      </c>
      <c r="N27" s="39">
        <f>IF(N23&gt;$B$5,(N23-$B$5)*$H$5,0)</f>
        <v>0</v>
      </c>
      <c r="O27" s="39">
        <v>0</v>
      </c>
      <c r="P27" s="39">
        <f>IF(P23&gt;$B$5,(P23-$B$5)*$H$5,0)</f>
        <v>0</v>
      </c>
      <c r="Q27" s="39">
        <v>0</v>
      </c>
      <c r="R27" s="39">
        <f>IF(R23&gt;$B$5,(R23-$B$5)*$H$5,0)</f>
        <v>0</v>
      </c>
      <c r="S27" s="39">
        <v>0</v>
      </c>
      <c r="T27" s="39">
        <f>IF(T23&gt;$B$5,(T23-$B$5)*$H$5,0)</f>
        <v>0</v>
      </c>
      <c r="U27" s="39">
        <v>0</v>
      </c>
      <c r="V27" s="39">
        <f>IF(V23&gt;$B$5,(V23-$B$5)*$H$5,0)</f>
        <v>0</v>
      </c>
      <c r="W27" s="39">
        <v>0</v>
      </c>
      <c r="X27" s="39">
        <f>IF(X23&gt;$B$5,(X23-$B$5)*$H$5,0)</f>
        <v>0</v>
      </c>
      <c r="Y27" s="39">
        <v>0</v>
      </c>
      <c r="Z27" s="39">
        <f>IF(Z23&gt;$B$5,(Z23-$B$5)*$H$5,0)</f>
        <v>0</v>
      </c>
      <c r="AA27" s="39">
        <v>0</v>
      </c>
      <c r="AB27" s="39">
        <f>IF(AB23&gt;$B$5,(AB23-$B$5)*$H$5,0)</f>
        <v>0</v>
      </c>
      <c r="AC27" s="39">
        <v>0</v>
      </c>
      <c r="AD27" s="39">
        <f>IF(AD23&gt;$B$5,(AD23-$B$5)*$H$5,0)</f>
        <v>0</v>
      </c>
    </row>
    <row r="28" spans="1:30" x14ac:dyDescent="0.25">
      <c r="A28" s="38" t="s">
        <v>686</v>
      </c>
      <c r="B28" s="39">
        <v>0</v>
      </c>
      <c r="C28" s="39">
        <f>IF(C24&gt;$B$6,(C24-$B$6)*$H$6,0)</f>
        <v>0</v>
      </c>
      <c r="D28" s="39">
        <v>0</v>
      </c>
      <c r="E28" s="39">
        <f>IF(E24&gt;$B$6,(E24-$B$6)*$H$6,0)</f>
        <v>0</v>
      </c>
      <c r="F28" s="39">
        <v>0</v>
      </c>
      <c r="G28" s="39">
        <f>IF(G24&gt;$B$6,(G24-$B$6)*$H$6,0)</f>
        <v>0</v>
      </c>
      <c r="H28" s="39">
        <v>0</v>
      </c>
      <c r="I28" s="39">
        <v>0</v>
      </c>
      <c r="J28" s="39">
        <f>IF(J24&gt;$B$6,(J24-$B$6)*$H$6,0)</f>
        <v>0</v>
      </c>
      <c r="K28" s="39">
        <v>0</v>
      </c>
      <c r="L28" s="39">
        <f>IF(L24&gt;$B$6,(L24-$B$6)*$H$6,0)</f>
        <v>0</v>
      </c>
      <c r="M28" s="39">
        <v>0</v>
      </c>
      <c r="N28" s="39">
        <f>IF(N24&gt;$B$6,(N24-$B$6)*$H$6,0)</f>
        <v>0</v>
      </c>
      <c r="O28" s="39">
        <v>0</v>
      </c>
      <c r="P28" s="39">
        <f>IF(P24&gt;$B$6,(P24-$B$6)*$H$6,0)</f>
        <v>0</v>
      </c>
      <c r="Q28" s="39">
        <v>0</v>
      </c>
      <c r="R28" s="39">
        <f>IF(R24&gt;$B$6,(R24-$B$6)*$H$6,0)</f>
        <v>0</v>
      </c>
      <c r="S28" s="39">
        <v>0</v>
      </c>
      <c r="T28" s="39">
        <f>IF(T24&gt;$B$6,(T24-$B$6)*$H$6,0)</f>
        <v>0</v>
      </c>
      <c r="U28" s="39">
        <v>0</v>
      </c>
      <c r="V28" s="39">
        <f>IF(V24&gt;$B$6,(V24-$B$6)*$H$6,0)</f>
        <v>0</v>
      </c>
      <c r="W28" s="39">
        <v>0</v>
      </c>
      <c r="X28" s="39">
        <f>IF(X24&gt;$B$6,(X24-$B$6)*$H$6,0)</f>
        <v>0</v>
      </c>
      <c r="Y28" s="39">
        <v>0</v>
      </c>
      <c r="Z28" s="39">
        <f>IF(Z24&gt;$B$6,(Z24-$B$6)*$H$6,0)</f>
        <v>0</v>
      </c>
      <c r="AA28" s="39">
        <v>0</v>
      </c>
      <c r="AB28" s="39">
        <f>IF(AB24&gt;$B$6,(AB24-$B$6)*$H$6,0)</f>
        <v>0</v>
      </c>
      <c r="AC28" s="39">
        <v>0</v>
      </c>
      <c r="AD28" s="39">
        <f>IF(AD24&gt;$B$6,(AD24-$B$6)*$H$6,0)</f>
        <v>0</v>
      </c>
    </row>
    <row r="29" spans="1:30" x14ac:dyDescent="0.25">
      <c r="A29" s="38" t="s">
        <v>687</v>
      </c>
      <c r="B29" s="39">
        <v>0</v>
      </c>
      <c r="C29" s="39">
        <f>IF(C25&gt;$B$7,(C25-$B$7)*$H$7,0)</f>
        <v>0</v>
      </c>
      <c r="D29" s="39">
        <v>0</v>
      </c>
      <c r="E29" s="39">
        <f>IF(E25&gt;$B$7,(E25-$B$7)*$H$7,0)</f>
        <v>0</v>
      </c>
      <c r="F29" s="39">
        <v>0</v>
      </c>
      <c r="G29" s="39">
        <f>IF(G25&gt;$B$7,(G25-$B$7)*$H$7,0)</f>
        <v>0</v>
      </c>
      <c r="H29" s="39">
        <v>0</v>
      </c>
      <c r="I29" s="39">
        <v>0</v>
      </c>
      <c r="J29" s="39">
        <f>IF(J25&gt;$B$7,(J25-$B$7)*$H$7,0)</f>
        <v>0</v>
      </c>
      <c r="K29" s="39">
        <v>0</v>
      </c>
      <c r="L29" s="39">
        <f>IF(L25&gt;$B$7,(L25-$B$7)*$H$7,0)</f>
        <v>0</v>
      </c>
      <c r="M29" s="39">
        <v>0</v>
      </c>
      <c r="N29" s="39">
        <f>IF(N25&gt;$B$7,(N25-$B$7)*$H$7,0)</f>
        <v>0</v>
      </c>
      <c r="O29" s="39">
        <v>0</v>
      </c>
      <c r="P29" s="39">
        <f>IF(P25&gt;$B$7,(P25-$B$7)*$H$7,0)</f>
        <v>0</v>
      </c>
      <c r="Q29" s="39">
        <v>0</v>
      </c>
      <c r="R29" s="39">
        <f>IF(R25&gt;$B$7,(R25-$B$7)*$H$7,0)</f>
        <v>0</v>
      </c>
      <c r="S29" s="39">
        <v>0</v>
      </c>
      <c r="T29" s="39">
        <f>IF(T25&gt;$B$7,(T25-$B$7)*$H$7,0)</f>
        <v>0</v>
      </c>
      <c r="U29" s="39">
        <v>0</v>
      </c>
      <c r="V29" s="39">
        <f>IF(V25&gt;$B$7,(V25-$B$7)*$H$7,0)</f>
        <v>0</v>
      </c>
      <c r="W29" s="39">
        <v>0</v>
      </c>
      <c r="X29" s="39">
        <f>IF(X25&gt;$B$7,(X25-$B$7)*$H$7,0)</f>
        <v>0</v>
      </c>
      <c r="Y29" s="39">
        <v>0</v>
      </c>
      <c r="Z29" s="39">
        <f>IF(Z25&gt;$B$7,(Z25-$B$7)*$H$7,0)</f>
        <v>0</v>
      </c>
      <c r="AA29" s="39">
        <v>0</v>
      </c>
      <c r="AB29" s="39">
        <f>IF(AB25&gt;$B$7,(AB25-$B$7)*$H$7,0)</f>
        <v>0</v>
      </c>
      <c r="AC29" s="39">
        <v>0</v>
      </c>
      <c r="AD29" s="39">
        <f>IF(AD25&gt;$B$7,(AD25-$B$7)*$H$7,0)</f>
        <v>0</v>
      </c>
    </row>
    <row r="30" spans="1:30" x14ac:dyDescent="0.25">
      <c r="A30" s="40" t="s">
        <v>688</v>
      </c>
      <c r="B30" s="41">
        <f>G4+G5+G6+G7</f>
        <v>116.7339999999997</v>
      </c>
      <c r="C30" s="41">
        <f t="shared" ref="C30:AD30" si="10">B30</f>
        <v>116.7339999999997</v>
      </c>
      <c r="D30" s="41">
        <f t="shared" si="10"/>
        <v>116.7339999999997</v>
      </c>
      <c r="E30" s="41">
        <f t="shared" si="10"/>
        <v>116.7339999999997</v>
      </c>
      <c r="F30" s="41">
        <f t="shared" si="10"/>
        <v>116.7339999999997</v>
      </c>
      <c r="G30" s="41">
        <f t="shared" si="10"/>
        <v>116.7339999999997</v>
      </c>
      <c r="H30" s="41">
        <f t="shared" si="10"/>
        <v>116.7339999999997</v>
      </c>
      <c r="I30" s="41">
        <f t="shared" si="10"/>
        <v>116.7339999999997</v>
      </c>
      <c r="J30" s="41">
        <f t="shared" si="10"/>
        <v>116.7339999999997</v>
      </c>
      <c r="K30" s="41">
        <f t="shared" si="10"/>
        <v>116.7339999999997</v>
      </c>
      <c r="L30" s="41">
        <f t="shared" si="10"/>
        <v>116.7339999999997</v>
      </c>
      <c r="M30" s="41">
        <f t="shared" si="10"/>
        <v>116.7339999999997</v>
      </c>
      <c r="N30" s="41">
        <f t="shared" si="10"/>
        <v>116.7339999999997</v>
      </c>
      <c r="O30" s="41">
        <f t="shared" si="10"/>
        <v>116.7339999999997</v>
      </c>
      <c r="P30" s="41">
        <f t="shared" si="10"/>
        <v>116.7339999999997</v>
      </c>
      <c r="Q30" s="41">
        <f t="shared" si="10"/>
        <v>116.7339999999997</v>
      </c>
      <c r="R30" s="41">
        <f t="shared" si="10"/>
        <v>116.7339999999997</v>
      </c>
      <c r="S30" s="41">
        <f t="shared" si="10"/>
        <v>116.7339999999997</v>
      </c>
      <c r="T30" s="41">
        <f t="shared" si="10"/>
        <v>116.7339999999997</v>
      </c>
      <c r="U30" s="41">
        <f t="shared" si="10"/>
        <v>116.7339999999997</v>
      </c>
      <c r="V30" s="41">
        <f t="shared" si="10"/>
        <v>116.7339999999997</v>
      </c>
      <c r="W30" s="41">
        <f t="shared" si="10"/>
        <v>116.7339999999997</v>
      </c>
      <c r="X30" s="41">
        <f t="shared" si="10"/>
        <v>116.7339999999997</v>
      </c>
      <c r="Y30" s="41">
        <f t="shared" si="10"/>
        <v>116.7339999999997</v>
      </c>
      <c r="Z30" s="41">
        <f t="shared" si="10"/>
        <v>116.7339999999997</v>
      </c>
      <c r="AA30" s="41">
        <f t="shared" si="10"/>
        <v>116.7339999999997</v>
      </c>
      <c r="AB30" s="41">
        <f t="shared" si="10"/>
        <v>116.7339999999997</v>
      </c>
      <c r="AC30" s="41">
        <f t="shared" si="10"/>
        <v>116.7339999999997</v>
      </c>
      <c r="AD30" s="41">
        <f t="shared" si="10"/>
        <v>116.7339999999997</v>
      </c>
    </row>
    <row r="31" spans="1:30" x14ac:dyDescent="0.25">
      <c r="A31" s="42" t="s">
        <v>689</v>
      </c>
      <c r="B31" s="43">
        <f t="shared" ref="B31:AD31" si="11">B26+B27+B28+B29-B30</f>
        <v>-116.7339999999997</v>
      </c>
      <c r="C31" s="43">
        <f t="shared" si="11"/>
        <v>545.95599999998808</v>
      </c>
      <c r="D31" s="43">
        <f t="shared" si="11"/>
        <v>-116.7339999999997</v>
      </c>
      <c r="E31" s="43">
        <f t="shared" si="11"/>
        <v>545.95599999998808</v>
      </c>
      <c r="F31" s="43">
        <f t="shared" si="11"/>
        <v>-116.7339999999997</v>
      </c>
      <c r="G31" s="43">
        <f t="shared" si="11"/>
        <v>545.95599999998808</v>
      </c>
      <c r="H31" s="43">
        <f t="shared" si="11"/>
        <v>-116.7339999999997</v>
      </c>
      <c r="I31" s="43">
        <f t="shared" si="11"/>
        <v>-116.7339999999997</v>
      </c>
      <c r="J31" s="43">
        <f t="shared" si="11"/>
        <v>545.95599999998808</v>
      </c>
      <c r="K31" s="43">
        <f t="shared" si="11"/>
        <v>-116.7339999999997</v>
      </c>
      <c r="L31" s="43">
        <f t="shared" si="11"/>
        <v>545.95599999998808</v>
      </c>
      <c r="M31" s="43">
        <f t="shared" si="11"/>
        <v>-116.7339999999997</v>
      </c>
      <c r="N31" s="43">
        <f t="shared" si="11"/>
        <v>545.95599999998808</v>
      </c>
      <c r="O31" s="43">
        <f t="shared" si="11"/>
        <v>-116.7339999999997</v>
      </c>
      <c r="P31" s="43">
        <f t="shared" si="11"/>
        <v>545.95599999998808</v>
      </c>
      <c r="Q31" s="43">
        <f t="shared" si="11"/>
        <v>-116.7339999999997</v>
      </c>
      <c r="R31" s="43">
        <f t="shared" si="11"/>
        <v>545.95599999998808</v>
      </c>
      <c r="S31" s="43">
        <f t="shared" si="11"/>
        <v>-116.7339999999997</v>
      </c>
      <c r="T31" s="43">
        <f t="shared" si="11"/>
        <v>545.95599999998808</v>
      </c>
      <c r="U31" s="43">
        <f t="shared" si="11"/>
        <v>-116.7339999999997</v>
      </c>
      <c r="V31" s="43">
        <f t="shared" si="11"/>
        <v>545.95599999998808</v>
      </c>
      <c r="W31" s="43">
        <f t="shared" si="11"/>
        <v>-116.7339999999997</v>
      </c>
      <c r="X31" s="43">
        <f t="shared" si="11"/>
        <v>545.95599999998808</v>
      </c>
      <c r="Y31" s="43">
        <f t="shared" si="11"/>
        <v>-116.7339999999997</v>
      </c>
      <c r="Z31" s="43">
        <f t="shared" si="11"/>
        <v>545.95599999998808</v>
      </c>
      <c r="AA31" s="43">
        <f t="shared" si="11"/>
        <v>-116.7339999999997</v>
      </c>
      <c r="AB31" s="43">
        <f t="shared" si="11"/>
        <v>545.95599999998808</v>
      </c>
      <c r="AC31" s="43">
        <f t="shared" si="11"/>
        <v>-116.7339999999997</v>
      </c>
      <c r="AD31" s="43">
        <f t="shared" si="11"/>
        <v>545.95599999998808</v>
      </c>
    </row>
    <row r="32" spans="1:30" x14ac:dyDescent="0.25">
      <c r="A32" s="44" t="s">
        <v>690</v>
      </c>
      <c r="B32" s="43">
        <f>-B12-B11+B31</f>
        <v>-21389.08399999997</v>
      </c>
      <c r="C32" s="43">
        <f t="shared" ref="C32:AD32" si="12">B32+C31</f>
        <v>-20843.127999999982</v>
      </c>
      <c r="D32" s="43">
        <f t="shared" si="12"/>
        <v>-20959.861999999983</v>
      </c>
      <c r="E32" s="43">
        <f t="shared" si="12"/>
        <v>-20413.905999999995</v>
      </c>
      <c r="F32" s="43">
        <f t="shared" si="12"/>
        <v>-20530.639999999996</v>
      </c>
      <c r="G32" s="43">
        <f t="shared" si="12"/>
        <v>-19984.684000000008</v>
      </c>
      <c r="H32" s="43">
        <f t="shared" si="12"/>
        <v>-20101.418000000009</v>
      </c>
      <c r="I32" s="43">
        <f t="shared" si="12"/>
        <v>-20218.152000000009</v>
      </c>
      <c r="J32" s="43">
        <f t="shared" si="12"/>
        <v>-19672.196000000022</v>
      </c>
      <c r="K32" s="43">
        <f t="shared" si="12"/>
        <v>-19788.930000000022</v>
      </c>
      <c r="L32" s="43">
        <f t="shared" si="12"/>
        <v>-19242.974000000035</v>
      </c>
      <c r="M32" s="43">
        <f t="shared" si="12"/>
        <v>-19359.708000000035</v>
      </c>
      <c r="N32" s="43">
        <f t="shared" si="12"/>
        <v>-18813.752000000048</v>
      </c>
      <c r="O32" s="43">
        <f t="shared" si="12"/>
        <v>-18930.486000000048</v>
      </c>
      <c r="P32" s="43">
        <f t="shared" si="12"/>
        <v>-18384.530000000061</v>
      </c>
      <c r="Q32" s="43">
        <f t="shared" si="12"/>
        <v>-18501.264000000061</v>
      </c>
      <c r="R32" s="43">
        <f t="shared" si="12"/>
        <v>-17955.308000000074</v>
      </c>
      <c r="S32" s="43">
        <f t="shared" si="12"/>
        <v>-18072.042000000074</v>
      </c>
      <c r="T32" s="43">
        <f t="shared" si="12"/>
        <v>-17526.086000000087</v>
      </c>
      <c r="U32" s="43">
        <f t="shared" si="12"/>
        <v>-17642.820000000087</v>
      </c>
      <c r="V32" s="43">
        <f t="shared" si="12"/>
        <v>-17096.8640000001</v>
      </c>
      <c r="W32" s="43">
        <f t="shared" si="12"/>
        <v>-17213.5980000001</v>
      </c>
      <c r="X32" s="43">
        <f t="shared" si="12"/>
        <v>-16667.642000000113</v>
      </c>
      <c r="Y32" s="43">
        <f t="shared" si="12"/>
        <v>-16784.376000000113</v>
      </c>
      <c r="Z32" s="43">
        <f t="shared" si="12"/>
        <v>-16238.420000000126</v>
      </c>
      <c r="AA32" s="43">
        <f t="shared" si="12"/>
        <v>-16355.154000000126</v>
      </c>
      <c r="AB32" s="43">
        <f t="shared" si="12"/>
        <v>-15809.198000000139</v>
      </c>
      <c r="AC32" s="43">
        <f t="shared" si="12"/>
        <v>-15925.932000000139</v>
      </c>
      <c r="AD32" s="43">
        <f t="shared" si="12"/>
        <v>-15379.976000000152</v>
      </c>
    </row>
    <row r="33" spans="2:30" x14ac:dyDescent="0.25">
      <c r="B33" s="45">
        <f t="shared" ref="B33:AD33" si="13">B32/$B$13</f>
        <v>-1.0054875930491929</v>
      </c>
      <c r="C33" s="45">
        <f t="shared" si="13"/>
        <v>-0.97982253958777532</v>
      </c>
      <c r="D33" s="45">
        <f t="shared" si="13"/>
        <v>-0.98531013263696832</v>
      </c>
      <c r="E33" s="45">
        <f t="shared" si="13"/>
        <v>-0.95964507917555064</v>
      </c>
      <c r="F33" s="45">
        <f t="shared" si="13"/>
        <v>-0.96513267222474364</v>
      </c>
      <c r="G33" s="45">
        <f t="shared" si="13"/>
        <v>-0.93946761876332596</v>
      </c>
      <c r="H33" s="45">
        <f t="shared" si="13"/>
        <v>-0.94495521181251896</v>
      </c>
      <c r="I33" s="45">
        <f t="shared" si="13"/>
        <v>-0.95044280486171195</v>
      </c>
      <c r="J33" s="45">
        <f t="shared" si="13"/>
        <v>-0.92477775140029428</v>
      </c>
      <c r="K33" s="45">
        <f t="shared" si="13"/>
        <v>-0.93026534444948727</v>
      </c>
      <c r="L33" s="45">
        <f t="shared" si="13"/>
        <v>-0.9046002909880696</v>
      </c>
      <c r="M33" s="45">
        <f t="shared" si="13"/>
        <v>-0.9100878840372626</v>
      </c>
      <c r="N33" s="45">
        <f t="shared" si="13"/>
        <v>-0.88442283057584492</v>
      </c>
      <c r="O33" s="45">
        <f t="shared" si="13"/>
        <v>-0.88991042362503792</v>
      </c>
      <c r="P33" s="45">
        <f t="shared" si="13"/>
        <v>-0.86424537016362024</v>
      </c>
      <c r="Q33" s="45">
        <f t="shared" si="13"/>
        <v>-0.86973296321281324</v>
      </c>
      <c r="R33" s="45">
        <f t="shared" si="13"/>
        <v>-0.84406790975139556</v>
      </c>
      <c r="S33" s="45">
        <f t="shared" si="13"/>
        <v>-0.84955550280058856</v>
      </c>
      <c r="T33" s="45">
        <f t="shared" si="13"/>
        <v>-0.82389044933917088</v>
      </c>
      <c r="U33" s="45">
        <f t="shared" si="13"/>
        <v>-0.82937804238836388</v>
      </c>
      <c r="V33" s="45">
        <f t="shared" si="13"/>
        <v>-0.8037129889269462</v>
      </c>
      <c r="W33" s="45">
        <f t="shared" si="13"/>
        <v>-0.8092005819761392</v>
      </c>
      <c r="X33" s="45">
        <f t="shared" si="13"/>
        <v>-0.78353552851472152</v>
      </c>
      <c r="Y33" s="45">
        <f t="shared" si="13"/>
        <v>-0.78902312156391452</v>
      </c>
      <c r="Z33" s="45">
        <f t="shared" si="13"/>
        <v>-0.76335806810249685</v>
      </c>
      <c r="AA33" s="45">
        <f t="shared" si="13"/>
        <v>-0.76884566115168984</v>
      </c>
      <c r="AB33" s="45">
        <f t="shared" si="13"/>
        <v>-0.74318060769027217</v>
      </c>
      <c r="AC33" s="45">
        <f t="shared" si="13"/>
        <v>-0.74866820073946516</v>
      </c>
      <c r="AD33" s="45">
        <f t="shared" si="13"/>
        <v>-0.72300314727804749</v>
      </c>
    </row>
    <row r="37" spans="2:30" x14ac:dyDescent="0.25">
      <c r="B37" s="115">
        <f t="shared" ref="B37:P37" si="14">B18/B17</f>
        <v>0.5760921747479596</v>
      </c>
      <c r="C37" s="115">
        <f t="shared" si="14"/>
        <v>0.57609217474795971</v>
      </c>
      <c r="D37" s="115">
        <f t="shared" si="14"/>
        <v>0.5760921747479596</v>
      </c>
      <c r="E37" s="115">
        <f t="shared" si="14"/>
        <v>0.57609217474795971</v>
      </c>
      <c r="F37" s="115">
        <f t="shared" si="14"/>
        <v>0.57609217474795971</v>
      </c>
      <c r="G37" s="115">
        <f t="shared" si="14"/>
        <v>0.57609217474795971</v>
      </c>
      <c r="H37" s="115">
        <f t="shared" si="14"/>
        <v>0.57609217474795982</v>
      </c>
      <c r="I37" s="115">
        <f t="shared" si="14"/>
        <v>0.5760921747479596</v>
      </c>
      <c r="J37" s="115">
        <f t="shared" si="14"/>
        <v>0.57609217474795971</v>
      </c>
      <c r="K37" s="115">
        <f t="shared" si="14"/>
        <v>0.5760921747479596</v>
      </c>
      <c r="L37" s="115">
        <f t="shared" si="14"/>
        <v>0.57609217474795971</v>
      </c>
      <c r="M37" s="115">
        <f t="shared" si="14"/>
        <v>0.57609217474795971</v>
      </c>
      <c r="N37" s="115">
        <f t="shared" si="14"/>
        <v>0.5760921747479596</v>
      </c>
      <c r="O37" s="115">
        <f t="shared" si="14"/>
        <v>0.57609217474795971</v>
      </c>
      <c r="P37" s="115">
        <f t="shared" si="14"/>
        <v>0.5760921747479596</v>
      </c>
    </row>
    <row r="38" spans="2:30" x14ac:dyDescent="0.25">
      <c r="B38" s="115">
        <f t="shared" ref="B38:P38" si="15">B19/B17</f>
        <v>0.21747479596735478</v>
      </c>
      <c r="C38" s="115">
        <f t="shared" si="15"/>
        <v>0.21747479596735481</v>
      </c>
      <c r="D38" s="115">
        <f t="shared" si="15"/>
        <v>0.21747479596735475</v>
      </c>
      <c r="E38" s="115">
        <f t="shared" si="15"/>
        <v>0.21747479596735481</v>
      </c>
      <c r="F38" s="115">
        <f t="shared" si="15"/>
        <v>0.21747479596735478</v>
      </c>
      <c r="G38" s="115">
        <f t="shared" si="15"/>
        <v>0.21747479596735478</v>
      </c>
      <c r="H38" s="115">
        <f t="shared" si="15"/>
        <v>0.21747479596735483</v>
      </c>
      <c r="I38" s="115">
        <f t="shared" si="15"/>
        <v>0.21747479596735475</v>
      </c>
      <c r="J38" s="115">
        <f t="shared" si="15"/>
        <v>0.21747479596735481</v>
      </c>
      <c r="K38" s="115">
        <f t="shared" si="15"/>
        <v>0.21747479596735478</v>
      </c>
      <c r="L38" s="115">
        <f t="shared" si="15"/>
        <v>0.21747479596735481</v>
      </c>
      <c r="M38" s="115">
        <f t="shared" si="15"/>
        <v>0.21747479596735481</v>
      </c>
      <c r="N38" s="115">
        <f t="shared" si="15"/>
        <v>0.21747479596735475</v>
      </c>
      <c r="O38" s="115">
        <f t="shared" si="15"/>
        <v>0.21747479596735478</v>
      </c>
      <c r="P38" s="115">
        <f t="shared" si="15"/>
        <v>0.21747479596735478</v>
      </c>
    </row>
    <row r="39" spans="2:30" x14ac:dyDescent="0.25">
      <c r="B39" s="115">
        <f t="shared" ref="B39:P39" si="16">B20/B17</f>
        <v>0.18434949591934707</v>
      </c>
      <c r="C39" s="115">
        <f t="shared" si="16"/>
        <v>0.1843494959193471</v>
      </c>
      <c r="D39" s="115">
        <f t="shared" si="16"/>
        <v>0.18434949591934707</v>
      </c>
      <c r="E39" s="115">
        <f t="shared" si="16"/>
        <v>0.1843494959193471</v>
      </c>
      <c r="F39" s="115">
        <f t="shared" si="16"/>
        <v>0.1843494959193471</v>
      </c>
      <c r="G39" s="115">
        <f t="shared" si="16"/>
        <v>0.1843494959193471</v>
      </c>
      <c r="H39" s="115">
        <f t="shared" si="16"/>
        <v>0.18434949591934713</v>
      </c>
      <c r="I39" s="115">
        <f t="shared" si="16"/>
        <v>0.18434949591934707</v>
      </c>
      <c r="J39" s="115">
        <f t="shared" si="16"/>
        <v>0.1843494959193471</v>
      </c>
      <c r="K39" s="115">
        <f t="shared" si="16"/>
        <v>0.18434949591934705</v>
      </c>
      <c r="L39" s="115">
        <f t="shared" si="16"/>
        <v>0.1843494959193471</v>
      </c>
      <c r="M39" s="115">
        <f t="shared" si="16"/>
        <v>0.1843494959193471</v>
      </c>
      <c r="N39" s="115">
        <f t="shared" si="16"/>
        <v>0.18434949591934705</v>
      </c>
      <c r="O39" s="115">
        <f t="shared" si="16"/>
        <v>0.18434949591934707</v>
      </c>
      <c r="P39" s="115">
        <f t="shared" si="16"/>
        <v>0.18434949591934707</v>
      </c>
    </row>
    <row r="40" spans="2:30" x14ac:dyDescent="0.25">
      <c r="B40" s="115">
        <f t="shared" ref="B40:P40" si="17">B21/B17</f>
        <v>2.2083533365338456E-2</v>
      </c>
      <c r="C40" s="115">
        <f t="shared" si="17"/>
        <v>2.208353336533846E-2</v>
      </c>
      <c r="D40" s="115">
        <f t="shared" si="17"/>
        <v>2.2083533365338453E-2</v>
      </c>
      <c r="E40" s="115">
        <f t="shared" si="17"/>
        <v>2.2083533365338456E-2</v>
      </c>
      <c r="F40" s="115">
        <f t="shared" si="17"/>
        <v>2.2083533365338456E-2</v>
      </c>
      <c r="G40" s="115">
        <f t="shared" si="17"/>
        <v>2.2083533365338456E-2</v>
      </c>
      <c r="H40" s="115">
        <f t="shared" si="17"/>
        <v>2.2083533365338463E-2</v>
      </c>
      <c r="I40" s="115">
        <f t="shared" si="17"/>
        <v>2.2083533365338456E-2</v>
      </c>
      <c r="J40" s="115">
        <f t="shared" si="17"/>
        <v>2.208353336533846E-2</v>
      </c>
      <c r="K40" s="115">
        <f t="shared" si="17"/>
        <v>2.2083533365338453E-2</v>
      </c>
      <c r="L40" s="115">
        <f t="shared" si="17"/>
        <v>2.208353336533846E-2</v>
      </c>
      <c r="M40" s="115">
        <f t="shared" si="17"/>
        <v>2.208353336533846E-2</v>
      </c>
      <c r="N40" s="115">
        <f t="shared" si="17"/>
        <v>2.2083533365338453E-2</v>
      </c>
      <c r="O40" s="115">
        <f t="shared" si="17"/>
        <v>2.208353336533846E-2</v>
      </c>
      <c r="P40" s="115">
        <f t="shared" si="17"/>
        <v>2.208353336533846E-2</v>
      </c>
    </row>
    <row r="41" spans="2:30" x14ac:dyDescent="0.25">
      <c r="G41" s="50">
        <f>G21-B7</f>
        <v>-131.53999999999974</v>
      </c>
      <c r="I41" s="50">
        <f>I21-B7</f>
        <v>-130.61999999999966</v>
      </c>
    </row>
    <row r="43" spans="2:30" x14ac:dyDescent="0.25">
      <c r="D43">
        <v>46500</v>
      </c>
    </row>
    <row r="44" spans="2:30" x14ac:dyDescent="0.25">
      <c r="D44">
        <f>D43*D37</f>
        <v>26788.28612578012</v>
      </c>
    </row>
    <row r="45" spans="2:30" x14ac:dyDescent="0.25">
      <c r="D45">
        <f>D38*D43</f>
        <v>10112.578012481996</v>
      </c>
    </row>
    <row r="46" spans="2:30" x14ac:dyDescent="0.25">
      <c r="D46">
        <f>D39*D43</f>
        <v>8572.2515602496387</v>
      </c>
    </row>
    <row r="47" spans="2:30" x14ac:dyDescent="0.25">
      <c r="D47">
        <f>D40*D43</f>
        <v>1026.884301488238</v>
      </c>
    </row>
  </sheetData>
  <mergeCells count="3">
    <mergeCell ref="D2:E2"/>
    <mergeCell ref="F2:G2"/>
    <mergeCell ref="H2:I2"/>
  </mergeCells>
  <conditionalFormatting sqref="B32:AD32">
    <cfRule type="cellIs" dxfId="8" priority="1" operator="lessThan">
      <formula>0</formula>
    </cfRule>
  </conditionalFormatting>
  <conditionalFormatting sqref="B32:AD32">
    <cfRule type="cellIs" dxfId="7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T110"/>
  <sheetViews>
    <sheetView workbookViewId="0">
      <selection activeCell="N13" sqref="N13"/>
    </sheetView>
  </sheetViews>
  <sheetFormatPr baseColWidth="10" defaultColWidth="10.7109375" defaultRowHeight="15" x14ac:dyDescent="0.25"/>
  <cols>
    <col min="1" max="1" width="22.28515625" customWidth="1"/>
    <col min="2" max="2" width="5.28515625" customWidth="1"/>
    <col min="3" max="3" width="4.7109375" customWidth="1"/>
    <col min="4" max="5" width="4.5703125" customWidth="1"/>
    <col min="6" max="6" width="13.85546875" customWidth="1"/>
    <col min="7" max="7" width="5.5703125" customWidth="1"/>
    <col min="8" max="8" width="5.85546875" customWidth="1"/>
    <col min="9" max="9" width="4.28515625" customWidth="1"/>
    <col min="10" max="10" width="5.85546875" customWidth="1"/>
    <col min="11" max="11" width="4.5703125" customWidth="1"/>
    <col min="12" max="12" width="5.85546875" customWidth="1"/>
    <col min="13" max="13" width="4.140625" customWidth="1"/>
    <col min="14" max="14" width="5.85546875" customWidth="1"/>
    <col min="15" max="15" width="4.42578125" customWidth="1"/>
    <col min="16" max="16" width="5.85546875" customWidth="1"/>
    <col min="17" max="17" width="5.140625" customWidth="1"/>
    <col min="18" max="18" width="5.85546875" customWidth="1"/>
    <col min="19" max="19" width="3.85546875" customWidth="1"/>
    <col min="20" max="20" width="5" customWidth="1"/>
    <col min="21" max="21" width="5.140625" customWidth="1"/>
    <col min="22" max="22" width="5.85546875" customWidth="1"/>
    <col min="23" max="23" width="4.5703125" customWidth="1"/>
    <col min="24" max="24" width="4.28515625" customWidth="1"/>
    <col min="25" max="25" width="3.28515625" customWidth="1"/>
    <col min="26" max="26" width="21.7109375" customWidth="1"/>
    <col min="27" max="27" width="6.85546875" customWidth="1"/>
    <col min="28" max="28" width="5.28515625" customWidth="1"/>
    <col min="29" max="29" width="17" customWidth="1"/>
    <col min="30" max="30" width="5.28515625" customWidth="1"/>
    <col min="31" max="31" width="5.7109375" customWidth="1"/>
    <col min="32" max="32" width="5.140625" customWidth="1"/>
    <col min="33" max="33" width="6.5703125" customWidth="1"/>
    <col min="34" max="34" width="5.85546875" customWidth="1"/>
    <col min="35" max="35" width="5" customWidth="1"/>
    <col min="36" max="36" width="7.5703125" customWidth="1"/>
    <col min="37" max="37" width="5.140625" customWidth="1"/>
    <col min="38" max="38" width="7.42578125" customWidth="1"/>
    <col min="39" max="39" width="5.140625" customWidth="1"/>
    <col min="40" max="40" width="7.140625" customWidth="1"/>
    <col min="41" max="41" width="7.5703125" customWidth="1"/>
    <col min="42" max="42" width="8.140625" customWidth="1"/>
    <col min="43" max="43" width="5.140625" customWidth="1"/>
    <col min="44" max="44" width="7.5703125" customWidth="1"/>
    <col min="45" max="45" width="5.140625" customWidth="1"/>
    <col min="46" max="46" width="6" customWidth="1"/>
  </cols>
  <sheetData>
    <row r="1" spans="1:46" ht="18.75" x14ac:dyDescent="0.3">
      <c r="A1" s="476" t="s">
        <v>189</v>
      </c>
      <c r="B1" s="476"/>
      <c r="C1" s="476"/>
      <c r="D1" s="476"/>
      <c r="E1" s="476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2"/>
      <c r="V1" s="272"/>
      <c r="W1" s="272"/>
      <c r="X1" s="272"/>
      <c r="Y1" s="272"/>
      <c r="Z1" s="274"/>
      <c r="AA1" s="275"/>
      <c r="AC1" s="477" t="s">
        <v>190</v>
      </c>
      <c r="AD1" s="477"/>
      <c r="AE1" s="477"/>
      <c r="AF1" s="477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25">
      <c r="A2" s="276" t="s">
        <v>87</v>
      </c>
      <c r="B2" s="276" t="s">
        <v>191</v>
      </c>
      <c r="C2" s="276" t="s">
        <v>89</v>
      </c>
      <c r="D2" s="277" t="s">
        <v>192</v>
      </c>
      <c r="E2" s="276" t="s">
        <v>193</v>
      </c>
      <c r="F2" s="276" t="s">
        <v>194</v>
      </c>
      <c r="G2" s="276" t="s">
        <v>14</v>
      </c>
      <c r="H2" s="276" t="s">
        <v>195</v>
      </c>
      <c r="I2" s="278" t="s">
        <v>37</v>
      </c>
      <c r="J2" s="278" t="s">
        <v>195</v>
      </c>
      <c r="K2" s="276" t="s">
        <v>196</v>
      </c>
      <c r="L2" s="276" t="s">
        <v>195</v>
      </c>
      <c r="M2" s="278" t="s">
        <v>197</v>
      </c>
      <c r="N2" s="278" t="s">
        <v>195</v>
      </c>
      <c r="O2" s="276" t="s">
        <v>198</v>
      </c>
      <c r="P2" s="276" t="s">
        <v>195</v>
      </c>
      <c r="Q2" s="278" t="s">
        <v>199</v>
      </c>
      <c r="R2" s="278" t="s">
        <v>195</v>
      </c>
      <c r="S2" s="276" t="s">
        <v>200</v>
      </c>
      <c r="T2" s="276" t="s">
        <v>195</v>
      </c>
      <c r="U2" s="277" t="s">
        <v>201</v>
      </c>
      <c r="V2" s="277" t="s">
        <v>91</v>
      </c>
      <c r="W2" s="277" t="s">
        <v>182</v>
      </c>
      <c r="X2" s="277" t="s">
        <v>202</v>
      </c>
      <c r="Y2" s="277" t="s">
        <v>200</v>
      </c>
      <c r="Z2" s="279" t="s">
        <v>203</v>
      </c>
      <c r="AA2" s="66"/>
    </row>
    <row r="3" spans="1:46" x14ac:dyDescent="0.25">
      <c r="A3" s="478" t="s">
        <v>204</v>
      </c>
      <c r="B3" s="478"/>
      <c r="C3" s="478"/>
      <c r="D3" s="478"/>
      <c r="E3" s="478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0"/>
      <c r="V3" s="280"/>
      <c r="W3" s="280"/>
      <c r="X3" s="280"/>
      <c r="Y3" s="280"/>
      <c r="Z3" s="282"/>
      <c r="AA3" s="275"/>
      <c r="AC3" s="479" t="s">
        <v>205</v>
      </c>
      <c r="AD3" s="479"/>
      <c r="AE3" s="479"/>
      <c r="AF3" s="479"/>
      <c r="AG3" s="480" t="s">
        <v>206</v>
      </c>
      <c r="AH3" s="480"/>
      <c r="AI3" s="480"/>
      <c r="AJ3" s="480"/>
      <c r="AK3" s="480"/>
      <c r="AL3" s="480"/>
      <c r="AM3" s="480"/>
      <c r="AN3" s="480"/>
      <c r="AO3" s="480"/>
      <c r="AP3" s="480"/>
      <c r="AQ3" s="480"/>
      <c r="AR3" s="480"/>
      <c r="AS3" s="480"/>
      <c r="AT3" s="480"/>
    </row>
    <row r="4" spans="1:46" x14ac:dyDescent="0.25">
      <c r="A4" s="283" t="s">
        <v>205</v>
      </c>
      <c r="B4" s="283"/>
      <c r="C4" s="283"/>
      <c r="D4" s="283"/>
      <c r="E4" s="283"/>
      <c r="F4" s="283"/>
      <c r="G4" s="283" t="s">
        <v>206</v>
      </c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4"/>
      <c r="V4" s="284"/>
      <c r="W4" s="284"/>
      <c r="X4" s="284"/>
      <c r="Y4" s="284"/>
      <c r="Z4" s="285"/>
      <c r="AA4" s="286"/>
      <c r="AC4" s="303" t="s">
        <v>87</v>
      </c>
      <c r="AD4" s="303" t="s">
        <v>191</v>
      </c>
      <c r="AE4" s="303" t="s">
        <v>89</v>
      </c>
      <c r="AF4" s="315" t="s">
        <v>192</v>
      </c>
      <c r="AG4" s="303" t="s">
        <v>14</v>
      </c>
      <c r="AH4" s="303" t="s">
        <v>207</v>
      </c>
      <c r="AI4" s="303" t="s">
        <v>37</v>
      </c>
      <c r="AJ4" s="303" t="s">
        <v>208</v>
      </c>
      <c r="AK4" s="303" t="s">
        <v>196</v>
      </c>
      <c r="AL4" s="303" t="s">
        <v>209</v>
      </c>
      <c r="AM4" s="303" t="s">
        <v>197</v>
      </c>
      <c r="AN4" s="303" t="s">
        <v>210</v>
      </c>
      <c r="AO4" s="303" t="s">
        <v>199</v>
      </c>
      <c r="AP4" s="303" t="s">
        <v>211</v>
      </c>
      <c r="AQ4" s="303" t="s">
        <v>198</v>
      </c>
      <c r="AR4" s="303" t="s">
        <v>212</v>
      </c>
      <c r="AS4" s="303" t="s">
        <v>200</v>
      </c>
      <c r="AT4" s="303" t="s">
        <v>213</v>
      </c>
    </row>
    <row r="5" spans="1:46" x14ac:dyDescent="0.25">
      <c r="A5" s="283" t="s">
        <v>87</v>
      </c>
      <c r="B5" s="283" t="s">
        <v>191</v>
      </c>
      <c r="C5" s="283" t="s">
        <v>89</v>
      </c>
      <c r="D5" s="284" t="s">
        <v>192</v>
      </c>
      <c r="E5" s="283" t="s">
        <v>193</v>
      </c>
      <c r="F5" s="283" t="s">
        <v>194</v>
      </c>
      <c r="G5" s="283" t="s">
        <v>14</v>
      </c>
      <c r="H5" s="283" t="s">
        <v>195</v>
      </c>
      <c r="I5" s="287" t="s">
        <v>37</v>
      </c>
      <c r="J5" s="287" t="s">
        <v>195</v>
      </c>
      <c r="K5" s="283" t="s">
        <v>196</v>
      </c>
      <c r="L5" s="283" t="s">
        <v>195</v>
      </c>
      <c r="M5" s="287" t="s">
        <v>197</v>
      </c>
      <c r="N5" s="287" t="s">
        <v>195</v>
      </c>
      <c r="O5" s="283" t="s">
        <v>198</v>
      </c>
      <c r="P5" s="283" t="s">
        <v>195</v>
      </c>
      <c r="Q5" s="287" t="s">
        <v>199</v>
      </c>
      <c r="R5" s="287" t="s">
        <v>195</v>
      </c>
      <c r="S5" s="283" t="s">
        <v>200</v>
      </c>
      <c r="T5" s="283" t="s">
        <v>195</v>
      </c>
      <c r="U5" s="284" t="s">
        <v>201</v>
      </c>
      <c r="V5" s="284" t="s">
        <v>91</v>
      </c>
      <c r="W5" s="284" t="s">
        <v>182</v>
      </c>
      <c r="X5" s="284" t="s">
        <v>202</v>
      </c>
      <c r="Y5" s="284" t="s">
        <v>200</v>
      </c>
      <c r="Z5" s="285" t="s">
        <v>203</v>
      </c>
      <c r="AA5" s="66"/>
      <c r="AC5" s="341" t="s">
        <v>214</v>
      </c>
      <c r="AD5" s="1">
        <v>17</v>
      </c>
      <c r="AE5" s="288">
        <v>1798</v>
      </c>
      <c r="AF5" s="73" t="s">
        <v>159</v>
      </c>
      <c r="AG5" s="316"/>
      <c r="AH5" s="316"/>
      <c r="AI5" s="317">
        <v>3</v>
      </c>
      <c r="AJ5" s="317">
        <v>3.99</v>
      </c>
      <c r="AK5" s="317">
        <v>2</v>
      </c>
      <c r="AL5" s="317">
        <v>2.99</v>
      </c>
      <c r="AM5" s="316"/>
      <c r="AN5" s="318">
        <v>3.99</v>
      </c>
      <c r="AO5" s="316"/>
      <c r="AP5" s="318">
        <v>3.99</v>
      </c>
      <c r="AQ5" s="317">
        <v>2</v>
      </c>
      <c r="AR5" s="317">
        <v>2.99</v>
      </c>
      <c r="AS5" s="316"/>
      <c r="AT5" s="316"/>
    </row>
    <row r="6" spans="1:46" ht="15.75" x14ac:dyDescent="0.25">
      <c r="A6" s="313" t="s">
        <v>215</v>
      </c>
      <c r="B6" s="1">
        <v>16</v>
      </c>
      <c r="C6" s="288">
        <f ca="1">58+$A$33-$A$32-112</f>
        <v>341</v>
      </c>
      <c r="D6" s="73" t="s">
        <v>163</v>
      </c>
      <c r="E6" s="297">
        <f ca="1">F6-$A$33</f>
        <v>-229</v>
      </c>
      <c r="F6" s="289">
        <v>43810</v>
      </c>
      <c r="G6" s="2"/>
      <c r="H6" s="295">
        <v>0.99</v>
      </c>
      <c r="I6" s="291">
        <v>1</v>
      </c>
      <c r="J6" s="298">
        <v>1.99</v>
      </c>
      <c r="K6" s="299">
        <v>5</v>
      </c>
      <c r="L6" s="463">
        <v>5.99</v>
      </c>
      <c r="M6" s="292">
        <v>3</v>
      </c>
      <c r="N6" s="295">
        <v>4.99</v>
      </c>
      <c r="O6" s="291">
        <v>2</v>
      </c>
      <c r="P6" s="298">
        <v>2.99</v>
      </c>
      <c r="Q6" s="299">
        <v>4</v>
      </c>
      <c r="R6" s="300">
        <v>4.99</v>
      </c>
      <c r="S6" s="2"/>
      <c r="T6" s="2"/>
      <c r="U6" s="271" t="s">
        <v>216</v>
      </c>
      <c r="V6" s="1"/>
      <c r="W6" s="271">
        <f>COUNTA(H6,J6,L6,N6,P6,R6,T6)</f>
        <v>6</v>
      </c>
      <c r="X6" s="271">
        <v>0</v>
      </c>
      <c r="Y6" s="271">
        <v>0</v>
      </c>
      <c r="Z6" s="296" t="s">
        <v>217</v>
      </c>
      <c r="AA6" s="1"/>
      <c r="AC6" s="341" t="s">
        <v>218</v>
      </c>
      <c r="AD6" s="1">
        <v>16</v>
      </c>
      <c r="AE6" s="288">
        <v>1849</v>
      </c>
      <c r="AF6" s="73"/>
      <c r="AG6" s="316"/>
      <c r="AH6" s="316"/>
      <c r="AI6" s="317">
        <v>4</v>
      </c>
      <c r="AJ6" s="317">
        <v>4.99</v>
      </c>
      <c r="AK6" s="316"/>
      <c r="AL6" s="316"/>
      <c r="AM6" s="317">
        <v>0</v>
      </c>
      <c r="AN6" s="317">
        <v>0.99</v>
      </c>
      <c r="AO6" s="318">
        <v>3</v>
      </c>
      <c r="AP6" s="318">
        <v>4.99</v>
      </c>
      <c r="AQ6" s="317">
        <v>1</v>
      </c>
      <c r="AR6" s="317">
        <v>1.99</v>
      </c>
      <c r="AS6" s="316"/>
      <c r="AT6" s="316"/>
    </row>
    <row r="7" spans="1:46" ht="15.75" x14ac:dyDescent="0.25">
      <c r="A7" s="313" t="s">
        <v>219</v>
      </c>
      <c r="B7" s="1">
        <v>16</v>
      </c>
      <c r="C7" s="288">
        <f ca="1">52+$A$33-$A$32-112</f>
        <v>335</v>
      </c>
      <c r="D7" s="73" t="s">
        <v>159</v>
      </c>
      <c r="E7" s="297">
        <f ca="1">F7-$A$33</f>
        <v>-223</v>
      </c>
      <c r="F7" s="289">
        <v>43816</v>
      </c>
      <c r="G7" s="1"/>
      <c r="H7" s="1"/>
      <c r="I7" s="1"/>
      <c r="J7" s="295">
        <v>2.99</v>
      </c>
      <c r="K7" s="292">
        <v>4</v>
      </c>
      <c r="L7" s="293">
        <v>5.99</v>
      </c>
      <c r="M7" s="299">
        <v>3</v>
      </c>
      <c r="N7" s="300">
        <v>3.99</v>
      </c>
      <c r="O7" s="291">
        <v>1</v>
      </c>
      <c r="P7" s="298">
        <v>1.99</v>
      </c>
      <c r="Q7" s="299">
        <v>3</v>
      </c>
      <c r="R7" s="300">
        <v>3.99</v>
      </c>
      <c r="S7" s="1"/>
      <c r="T7" s="1"/>
      <c r="U7" s="271" t="s">
        <v>216</v>
      </c>
      <c r="V7" s="271"/>
      <c r="W7" s="271">
        <f>COUNTA(H7,J7,L7,N7,P7,R7,T7)</f>
        <v>5</v>
      </c>
      <c r="X7" s="271">
        <v>0</v>
      </c>
      <c r="Y7" s="271">
        <v>0</v>
      </c>
      <c r="Z7" s="296" t="s">
        <v>217</v>
      </c>
      <c r="AA7" s="275"/>
      <c r="AC7" s="341" t="s">
        <v>220</v>
      </c>
      <c r="AD7" s="1">
        <v>18</v>
      </c>
      <c r="AE7" s="288">
        <v>1773</v>
      </c>
      <c r="AF7" s="73"/>
      <c r="AG7" s="316"/>
      <c r="AH7" s="316"/>
      <c r="AI7" s="317">
        <v>4</v>
      </c>
      <c r="AJ7" s="317">
        <v>4.99</v>
      </c>
      <c r="AK7" s="317">
        <v>2</v>
      </c>
      <c r="AL7" s="317">
        <v>2.99</v>
      </c>
      <c r="AM7" s="316"/>
      <c r="AN7" s="316"/>
      <c r="AO7" s="316"/>
      <c r="AP7" s="316"/>
      <c r="AQ7" s="318">
        <v>4</v>
      </c>
      <c r="AR7" s="318">
        <v>4.99</v>
      </c>
      <c r="AS7" s="316"/>
      <c r="AT7" s="318">
        <v>2.99</v>
      </c>
    </row>
    <row r="8" spans="1:46" ht="15.75" x14ac:dyDescent="0.25">
      <c r="A8" s="313" t="s">
        <v>221</v>
      </c>
      <c r="B8" s="1">
        <v>15</v>
      </c>
      <c r="C8" s="288">
        <f ca="1">103+$A$33-$A$32-112</f>
        <v>386</v>
      </c>
      <c r="D8" s="73" t="s">
        <v>182</v>
      </c>
      <c r="E8" s="297">
        <f ca="1">F8-$A$33</f>
        <v>-162</v>
      </c>
      <c r="F8" s="289">
        <v>43877</v>
      </c>
      <c r="G8" s="290"/>
      <c r="H8" s="1"/>
      <c r="I8" s="1"/>
      <c r="J8" s="295">
        <v>3.99</v>
      </c>
      <c r="K8" s="292">
        <v>4</v>
      </c>
      <c r="L8" s="293">
        <v>5.99</v>
      </c>
      <c r="M8" s="1"/>
      <c r="N8" s="293">
        <v>5.99</v>
      </c>
      <c r="O8" s="1"/>
      <c r="P8" s="295">
        <v>4.99</v>
      </c>
      <c r="Q8" s="292">
        <v>2</v>
      </c>
      <c r="R8" s="1"/>
      <c r="S8" s="290"/>
      <c r="T8" s="290"/>
      <c r="U8" s="301" t="s">
        <v>222</v>
      </c>
      <c r="V8" s="271"/>
      <c r="W8" s="271">
        <f>COUNTA(H8,J8,L8,N8,P8,R8,T8)</f>
        <v>4</v>
      </c>
      <c r="X8" s="271">
        <v>0</v>
      </c>
      <c r="Y8" s="271">
        <v>0</v>
      </c>
      <c r="Z8" s="296" t="s">
        <v>223</v>
      </c>
      <c r="AA8" s="286"/>
      <c r="AC8" s="341" t="s">
        <v>148</v>
      </c>
      <c r="AD8" s="1">
        <v>17</v>
      </c>
      <c r="AE8" s="288">
        <v>1752</v>
      </c>
      <c r="AF8" s="73"/>
      <c r="AG8" s="316"/>
      <c r="AH8" s="316">
        <v>1.99</v>
      </c>
      <c r="AI8" s="319">
        <v>6</v>
      </c>
      <c r="AJ8" s="320">
        <v>6.99</v>
      </c>
      <c r="AK8" s="319">
        <v>4</v>
      </c>
      <c r="AL8" s="319">
        <v>4.99</v>
      </c>
      <c r="AM8" s="317">
        <v>3</v>
      </c>
      <c r="AN8" s="317">
        <v>3.99</v>
      </c>
      <c r="AO8" s="318">
        <v>2</v>
      </c>
      <c r="AP8" s="318">
        <v>3.99</v>
      </c>
      <c r="AQ8" s="317">
        <v>2</v>
      </c>
      <c r="AR8" s="317">
        <v>2.99</v>
      </c>
      <c r="AS8" s="316"/>
      <c r="AT8" s="316"/>
    </row>
    <row r="9" spans="1:46" ht="15.75" x14ac:dyDescent="0.25">
      <c r="A9" s="313" t="s">
        <v>224</v>
      </c>
      <c r="B9" s="1">
        <v>15</v>
      </c>
      <c r="C9" s="288">
        <f ca="1">3+$A$33-$A$32-78</f>
        <v>320</v>
      </c>
      <c r="D9" s="73"/>
      <c r="E9" s="297">
        <f ca="1">F9-$A$33</f>
        <v>-96</v>
      </c>
      <c r="F9" s="289">
        <v>43943</v>
      </c>
      <c r="G9" s="1"/>
      <c r="H9" s="1"/>
      <c r="I9" s="1"/>
      <c r="J9" s="295">
        <v>4.99</v>
      </c>
      <c r="K9" s="292">
        <v>4</v>
      </c>
      <c r="L9" s="294">
        <v>6.99</v>
      </c>
      <c r="M9" s="291">
        <v>2</v>
      </c>
      <c r="N9" s="298">
        <v>2.99</v>
      </c>
      <c r="O9" s="1"/>
      <c r="P9" s="295">
        <v>3.99</v>
      </c>
      <c r="Q9" s="1"/>
      <c r="R9" s="1"/>
      <c r="S9" s="1"/>
      <c r="T9" s="1"/>
      <c r="U9" s="271" t="s">
        <v>216</v>
      </c>
      <c r="V9" s="1"/>
      <c r="W9" s="271">
        <f>COUNTA(H9,J9,L9,N9,P9,R9,T9)</f>
        <v>4</v>
      </c>
      <c r="X9" s="271">
        <v>0</v>
      </c>
      <c r="Y9" s="271">
        <v>0</v>
      </c>
      <c r="Z9" s="296" t="s">
        <v>217</v>
      </c>
      <c r="AA9" s="66"/>
      <c r="AC9" s="341" t="s">
        <v>225</v>
      </c>
      <c r="AD9" s="1">
        <v>17</v>
      </c>
      <c r="AE9" s="288">
        <v>1701</v>
      </c>
      <c r="AF9" s="73"/>
      <c r="AG9" s="316"/>
      <c r="AH9" s="316"/>
      <c r="AI9" s="317">
        <v>1</v>
      </c>
      <c r="AJ9" s="317">
        <v>1.99</v>
      </c>
      <c r="AK9" s="319">
        <v>5</v>
      </c>
      <c r="AL9" s="321">
        <v>5.99</v>
      </c>
      <c r="AM9" s="317">
        <v>2</v>
      </c>
      <c r="AN9" s="317">
        <v>2.99</v>
      </c>
      <c r="AO9" s="317">
        <v>2</v>
      </c>
      <c r="AP9" s="317">
        <v>2.99</v>
      </c>
      <c r="AQ9" s="317">
        <v>2</v>
      </c>
      <c r="AR9" s="317">
        <v>2.99</v>
      </c>
      <c r="AS9" s="316"/>
      <c r="AT9" s="316"/>
    </row>
    <row r="10" spans="1:46" ht="15.75" x14ac:dyDescent="0.25">
      <c r="A10" s="481" t="s">
        <v>226</v>
      </c>
      <c r="B10" s="481"/>
      <c r="C10" s="481"/>
      <c r="D10" s="481"/>
      <c r="E10" s="481"/>
      <c r="F10" s="306"/>
      <c r="G10" s="306"/>
      <c r="H10" s="306"/>
      <c r="I10" s="306"/>
      <c r="J10" s="306"/>
      <c r="K10" s="306"/>
      <c r="L10" s="306"/>
      <c r="M10" s="306"/>
      <c r="N10" s="306"/>
      <c r="O10" s="306"/>
      <c r="P10" s="306"/>
      <c r="Q10" s="306"/>
      <c r="R10" s="306"/>
      <c r="S10" s="306"/>
      <c r="T10" s="306"/>
      <c r="U10" s="307"/>
      <c r="V10" s="307"/>
      <c r="W10" s="307"/>
      <c r="X10" s="307"/>
      <c r="Y10" s="307"/>
      <c r="Z10" s="308"/>
      <c r="AA10" s="2"/>
      <c r="AC10" s="341" t="s">
        <v>227</v>
      </c>
      <c r="AD10" s="1">
        <v>17</v>
      </c>
      <c r="AE10" s="288">
        <v>1714</v>
      </c>
      <c r="AF10" s="73" t="s">
        <v>146</v>
      </c>
      <c r="AG10" s="322"/>
      <c r="AH10" s="322"/>
      <c r="AI10" s="323">
        <v>5</v>
      </c>
      <c r="AJ10" s="324">
        <v>5.99</v>
      </c>
      <c r="AK10" s="325">
        <v>2</v>
      </c>
      <c r="AL10" s="325">
        <v>2.99</v>
      </c>
      <c r="AM10" s="325">
        <v>4</v>
      </c>
      <c r="AN10" s="325">
        <v>4.99</v>
      </c>
      <c r="AO10" s="325">
        <v>5</v>
      </c>
      <c r="AP10" s="326">
        <v>5.99</v>
      </c>
      <c r="AQ10" s="322"/>
      <c r="AR10" s="327">
        <v>5.99</v>
      </c>
      <c r="AS10" s="322"/>
      <c r="AT10" s="318">
        <v>2.99</v>
      </c>
    </row>
    <row r="11" spans="1:46" ht="15.75" x14ac:dyDescent="0.25">
      <c r="A11" s="309" t="s">
        <v>205</v>
      </c>
      <c r="B11" s="309"/>
      <c r="C11" s="309"/>
      <c r="D11" s="309"/>
      <c r="E11" s="309"/>
      <c r="F11" s="309"/>
      <c r="G11" s="309" t="s">
        <v>206</v>
      </c>
      <c r="H11" s="309"/>
      <c r="I11" s="309"/>
      <c r="J11" s="309"/>
      <c r="K11" s="309"/>
      <c r="L11" s="309"/>
      <c r="M11" s="309"/>
      <c r="N11" s="309"/>
      <c r="O11" s="309"/>
      <c r="P11" s="309"/>
      <c r="Q11" s="309"/>
      <c r="R11" s="309"/>
      <c r="S11" s="309"/>
      <c r="T11" s="309"/>
      <c r="U11" s="310"/>
      <c r="V11" s="310"/>
      <c r="W11" s="310"/>
      <c r="X11" s="310"/>
      <c r="Y11" s="310"/>
      <c r="Z11" s="311"/>
      <c r="AA11" s="2"/>
      <c r="AC11" s="341" t="s">
        <v>228</v>
      </c>
      <c r="AD11" s="1">
        <v>17</v>
      </c>
      <c r="AE11" s="288">
        <v>1719</v>
      </c>
      <c r="AF11" s="73" t="s">
        <v>159</v>
      </c>
      <c r="AG11" s="322"/>
      <c r="AH11" s="322"/>
      <c r="AI11" s="328">
        <v>2</v>
      </c>
      <c r="AJ11" s="322"/>
      <c r="AK11" s="328">
        <v>2</v>
      </c>
      <c r="AL11" s="322"/>
      <c r="AM11" s="322"/>
      <c r="AN11" s="328">
        <v>2.99</v>
      </c>
      <c r="AO11" s="323">
        <v>5</v>
      </c>
      <c r="AP11" s="324">
        <v>5.99</v>
      </c>
      <c r="AQ11" s="323">
        <v>4</v>
      </c>
      <c r="AR11" s="323">
        <v>4.99</v>
      </c>
      <c r="AS11" s="322"/>
      <c r="AT11" s="322"/>
    </row>
    <row r="12" spans="1:46" ht="15.75" x14ac:dyDescent="0.25">
      <c r="A12" s="309" t="s">
        <v>87</v>
      </c>
      <c r="B12" s="309" t="s">
        <v>191</v>
      </c>
      <c r="C12" s="309" t="s">
        <v>89</v>
      </c>
      <c r="D12" s="310" t="s">
        <v>192</v>
      </c>
      <c r="E12" s="309" t="s">
        <v>193</v>
      </c>
      <c r="F12" s="309" t="s">
        <v>194</v>
      </c>
      <c r="G12" s="309" t="s">
        <v>14</v>
      </c>
      <c r="H12" s="309" t="s">
        <v>195</v>
      </c>
      <c r="I12" s="309" t="s">
        <v>37</v>
      </c>
      <c r="J12" s="309" t="s">
        <v>195</v>
      </c>
      <c r="K12" s="309" t="s">
        <v>196</v>
      </c>
      <c r="L12" s="309" t="s">
        <v>195</v>
      </c>
      <c r="M12" s="309" t="s">
        <v>197</v>
      </c>
      <c r="N12" s="309" t="s">
        <v>195</v>
      </c>
      <c r="O12" s="309" t="s">
        <v>198</v>
      </c>
      <c r="P12" s="309" t="s">
        <v>195</v>
      </c>
      <c r="Q12" s="309" t="s">
        <v>199</v>
      </c>
      <c r="R12" s="309" t="s">
        <v>195</v>
      </c>
      <c r="S12" s="309" t="s">
        <v>200</v>
      </c>
      <c r="T12" s="309" t="s">
        <v>195</v>
      </c>
      <c r="U12" s="310" t="s">
        <v>201</v>
      </c>
      <c r="V12" s="310" t="s">
        <v>91</v>
      </c>
      <c r="W12" s="310" t="s">
        <v>182</v>
      </c>
      <c r="X12" s="310" t="s">
        <v>202</v>
      </c>
      <c r="Y12" s="310" t="s">
        <v>200</v>
      </c>
      <c r="Z12" s="311" t="s">
        <v>203</v>
      </c>
      <c r="AA12" s="1"/>
      <c r="AC12" s="341" t="s">
        <v>229</v>
      </c>
      <c r="AD12" s="1">
        <v>18</v>
      </c>
      <c r="AE12" s="288">
        <v>1715</v>
      </c>
      <c r="AF12" s="73"/>
      <c r="AG12" s="322"/>
      <c r="AH12" s="322"/>
      <c r="AI12" s="322"/>
      <c r="AJ12" s="328">
        <v>2.99</v>
      </c>
      <c r="AK12" s="325">
        <v>2</v>
      </c>
      <c r="AL12" s="325">
        <v>2.99</v>
      </c>
      <c r="AM12" s="328">
        <v>5</v>
      </c>
      <c r="AN12" s="329">
        <v>6.99</v>
      </c>
      <c r="AO12" s="323">
        <v>3</v>
      </c>
      <c r="AP12" s="323">
        <v>3.99</v>
      </c>
      <c r="AQ12" s="322"/>
      <c r="AR12" s="327">
        <v>5.99</v>
      </c>
      <c r="AS12" s="322"/>
      <c r="AT12" s="322"/>
    </row>
    <row r="13" spans="1:46" ht="15.75" x14ac:dyDescent="0.25">
      <c r="A13" s="313" t="s">
        <v>230</v>
      </c>
      <c r="B13" s="1">
        <v>15</v>
      </c>
      <c r="C13" s="288">
        <f ca="1">-18+$A$33-$A$32</f>
        <v>377</v>
      </c>
      <c r="D13" s="73"/>
      <c r="E13" s="297">
        <f ca="1">F13-A33</f>
        <v>-153</v>
      </c>
      <c r="F13" s="289">
        <v>43886</v>
      </c>
      <c r="G13" s="1"/>
      <c r="H13" s="1"/>
      <c r="I13" s="1"/>
      <c r="J13" s="295">
        <v>1.99</v>
      </c>
      <c r="K13" s="299">
        <v>4</v>
      </c>
      <c r="L13" s="300">
        <v>4.99</v>
      </c>
      <c r="M13" s="1"/>
      <c r="N13" s="1"/>
      <c r="O13" s="1"/>
      <c r="P13" s="295">
        <v>2.99</v>
      </c>
      <c r="Q13" s="292">
        <v>3</v>
      </c>
      <c r="R13" s="295">
        <v>4.99</v>
      </c>
      <c r="S13" s="1"/>
      <c r="T13" s="1"/>
      <c r="U13" s="1"/>
      <c r="V13" s="271"/>
      <c r="W13" s="271">
        <f>COUNTA(H13,J13,L13,N13,P13,R13,T13)</f>
        <v>4</v>
      </c>
      <c r="X13" s="271">
        <v>0</v>
      </c>
      <c r="Y13" s="271">
        <v>0</v>
      </c>
      <c r="Z13" s="296" t="s">
        <v>223</v>
      </c>
      <c r="AA13" s="1"/>
      <c r="AC13" s="341" t="s">
        <v>231</v>
      </c>
      <c r="AD13" s="1">
        <v>18</v>
      </c>
      <c r="AE13" s="288">
        <v>1707</v>
      </c>
      <c r="AF13" s="73" t="s">
        <v>156</v>
      </c>
      <c r="AG13" s="322"/>
      <c r="AH13" s="322"/>
      <c r="AI13" s="328">
        <v>1</v>
      </c>
      <c r="AJ13" s="328">
        <v>2.99</v>
      </c>
      <c r="AK13" s="328">
        <v>6</v>
      </c>
      <c r="AL13" s="329">
        <v>7</v>
      </c>
      <c r="AM13" s="323">
        <v>4</v>
      </c>
      <c r="AN13" s="323">
        <v>4.99</v>
      </c>
      <c r="AO13" s="322"/>
      <c r="AP13" s="322"/>
      <c r="AQ13" s="325">
        <v>3</v>
      </c>
      <c r="AR13" s="325">
        <v>3.99</v>
      </c>
      <c r="AS13" s="322"/>
      <c r="AT13" s="328">
        <v>4.99</v>
      </c>
    </row>
    <row r="14" spans="1:46" ht="15.75" x14ac:dyDescent="0.25">
      <c r="A14" s="313" t="s">
        <v>232</v>
      </c>
      <c r="B14" s="1">
        <v>15</v>
      </c>
      <c r="C14" s="288">
        <f ca="1">-39+$A$33-$A$32</f>
        <v>356</v>
      </c>
      <c r="D14" s="73"/>
      <c r="E14" s="297">
        <f ca="1">F14-$A$33</f>
        <v>-132</v>
      </c>
      <c r="F14" s="289">
        <v>43907</v>
      </c>
      <c r="G14" s="290"/>
      <c r="H14" s="290"/>
      <c r="I14" s="292">
        <v>3</v>
      </c>
      <c r="J14" s="290"/>
      <c r="K14" s="292">
        <v>4</v>
      </c>
      <c r="L14" s="290"/>
      <c r="M14" s="290"/>
      <c r="N14" s="295">
        <v>3.99</v>
      </c>
      <c r="O14" s="290"/>
      <c r="P14" s="295">
        <v>4.99</v>
      </c>
      <c r="Q14" s="290"/>
      <c r="R14" s="290"/>
      <c r="S14" s="290"/>
      <c r="T14" s="290"/>
      <c r="U14" s="271" t="s">
        <v>216</v>
      </c>
      <c r="V14" s="271" t="s">
        <v>233</v>
      </c>
      <c r="W14" s="271">
        <f>COUNTA(H14,J14,L14,N14,P14,R14,T14)</f>
        <v>2</v>
      </c>
      <c r="X14" s="271">
        <v>0</v>
      </c>
      <c r="Y14" s="271">
        <v>0</v>
      </c>
      <c r="Z14" s="296" t="s">
        <v>223</v>
      </c>
      <c r="AA14" s="2"/>
      <c r="AC14" s="341" t="s">
        <v>234</v>
      </c>
      <c r="AD14" s="1">
        <v>17</v>
      </c>
      <c r="AE14" s="288">
        <v>1601</v>
      </c>
      <c r="AF14" s="73" t="s">
        <v>163</v>
      </c>
      <c r="AG14" s="322"/>
      <c r="AH14" s="328">
        <v>1.99</v>
      </c>
      <c r="AI14" s="328">
        <v>4</v>
      </c>
      <c r="AJ14" s="327">
        <v>5.99</v>
      </c>
      <c r="AK14" s="325">
        <v>2</v>
      </c>
      <c r="AL14" s="325">
        <v>2.99</v>
      </c>
      <c r="AM14" s="325">
        <v>2</v>
      </c>
      <c r="AN14" s="325">
        <v>2.99</v>
      </c>
      <c r="AO14" s="325">
        <v>6</v>
      </c>
      <c r="AP14" s="330">
        <v>6.99</v>
      </c>
      <c r="AQ14" s="325">
        <v>2</v>
      </c>
      <c r="AR14" s="325">
        <v>2.99</v>
      </c>
      <c r="AS14" s="322"/>
      <c r="AT14" s="329">
        <v>7</v>
      </c>
    </row>
    <row r="15" spans="1:46" ht="15.75" x14ac:dyDescent="0.25">
      <c r="A15" s="476" t="s">
        <v>235</v>
      </c>
      <c r="B15" s="476"/>
      <c r="C15" s="476"/>
      <c r="D15" s="476"/>
      <c r="E15" s="476"/>
      <c r="F15" s="273"/>
      <c r="G15" s="273"/>
      <c r="H15" s="273"/>
      <c r="I15" s="273"/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2"/>
      <c r="V15" s="272"/>
      <c r="W15" s="272"/>
      <c r="X15" s="272"/>
      <c r="Y15" s="272"/>
      <c r="Z15" s="302"/>
      <c r="AA15" s="275"/>
      <c r="AC15" s="341" t="s">
        <v>236</v>
      </c>
      <c r="AD15" s="1">
        <v>18</v>
      </c>
      <c r="AE15" s="288">
        <v>1658</v>
      </c>
      <c r="AF15" s="73"/>
      <c r="AG15" s="322"/>
      <c r="AH15" s="322"/>
      <c r="AI15" s="323">
        <v>4</v>
      </c>
      <c r="AJ15" s="323">
        <v>4.99</v>
      </c>
      <c r="AK15" s="323">
        <v>2</v>
      </c>
      <c r="AL15" s="323">
        <v>2.99</v>
      </c>
      <c r="AM15" s="323">
        <v>4</v>
      </c>
      <c r="AN15" s="323">
        <v>4.99</v>
      </c>
      <c r="AO15" s="328">
        <v>6</v>
      </c>
      <c r="AP15" s="329">
        <v>6.99</v>
      </c>
      <c r="AQ15" s="323">
        <v>5</v>
      </c>
      <c r="AR15" s="324">
        <v>5.99</v>
      </c>
      <c r="AS15" s="325">
        <v>4</v>
      </c>
      <c r="AT15" s="325">
        <v>4.99</v>
      </c>
    </row>
    <row r="16" spans="1:46" ht="15.75" x14ac:dyDescent="0.25">
      <c r="A16" s="276" t="s">
        <v>205</v>
      </c>
      <c r="B16" s="276"/>
      <c r="C16" s="276"/>
      <c r="D16" s="276"/>
      <c r="E16" s="276"/>
      <c r="F16" s="276"/>
      <c r="G16" s="276" t="s">
        <v>206</v>
      </c>
      <c r="H16" s="276"/>
      <c r="I16" s="276"/>
      <c r="J16" s="276"/>
      <c r="K16" s="276"/>
      <c r="L16" s="276"/>
      <c r="M16" s="276"/>
      <c r="N16" s="276"/>
      <c r="O16" s="276"/>
      <c r="P16" s="276"/>
      <c r="Q16" s="276"/>
      <c r="R16" s="276"/>
      <c r="S16" s="276"/>
      <c r="T16" s="276"/>
      <c r="U16" s="277"/>
      <c r="V16" s="277"/>
      <c r="W16" s="277"/>
      <c r="X16" s="277"/>
      <c r="Y16" s="277"/>
      <c r="Z16" s="302"/>
      <c r="AA16" s="286"/>
      <c r="AC16" s="341" t="s">
        <v>237</v>
      </c>
      <c r="AD16" s="1">
        <v>17</v>
      </c>
      <c r="AE16" s="288">
        <v>1676</v>
      </c>
      <c r="AF16" s="73"/>
      <c r="AG16" s="331"/>
      <c r="AH16" s="328">
        <v>1.99</v>
      </c>
      <c r="AI16" s="328">
        <v>1</v>
      </c>
      <c r="AJ16" s="331"/>
      <c r="AK16" s="325">
        <v>6</v>
      </c>
      <c r="AL16" s="330">
        <v>6.99</v>
      </c>
      <c r="AM16" s="331"/>
      <c r="AN16" s="328">
        <v>1.99</v>
      </c>
      <c r="AO16" s="328">
        <v>5</v>
      </c>
      <c r="AP16" s="329">
        <v>6.99</v>
      </c>
      <c r="AQ16" s="325">
        <v>1</v>
      </c>
      <c r="AR16" s="325">
        <v>1.99</v>
      </c>
      <c r="AS16" s="331"/>
      <c r="AT16" s="328">
        <v>2.99</v>
      </c>
    </row>
    <row r="17" spans="1:46" ht="15.75" x14ac:dyDescent="0.25">
      <c r="A17" s="276" t="s">
        <v>87</v>
      </c>
      <c r="B17" s="276" t="s">
        <v>191</v>
      </c>
      <c r="C17" s="276" t="s">
        <v>89</v>
      </c>
      <c r="D17" s="277" t="s">
        <v>192</v>
      </c>
      <c r="E17" s="276" t="s">
        <v>193</v>
      </c>
      <c r="F17" s="276" t="s">
        <v>194</v>
      </c>
      <c r="G17" s="276" t="s">
        <v>14</v>
      </c>
      <c r="H17" s="276" t="s">
        <v>195</v>
      </c>
      <c r="I17" s="278" t="s">
        <v>37</v>
      </c>
      <c r="J17" s="278" t="s">
        <v>195</v>
      </c>
      <c r="K17" s="276" t="s">
        <v>196</v>
      </c>
      <c r="L17" s="276" t="s">
        <v>195</v>
      </c>
      <c r="M17" s="278" t="s">
        <v>197</v>
      </c>
      <c r="N17" s="278" t="s">
        <v>195</v>
      </c>
      <c r="O17" s="276" t="s">
        <v>198</v>
      </c>
      <c r="P17" s="276" t="s">
        <v>195</v>
      </c>
      <c r="Q17" s="278" t="s">
        <v>199</v>
      </c>
      <c r="R17" s="278" t="s">
        <v>195</v>
      </c>
      <c r="S17" s="276" t="s">
        <v>200</v>
      </c>
      <c r="T17" s="276" t="s">
        <v>195</v>
      </c>
      <c r="U17" s="277" t="s">
        <v>201</v>
      </c>
      <c r="V17" s="277" t="s">
        <v>91</v>
      </c>
      <c r="W17" s="277" t="s">
        <v>182</v>
      </c>
      <c r="X17" s="277" t="s">
        <v>202</v>
      </c>
      <c r="Y17" s="277" t="s">
        <v>200</v>
      </c>
      <c r="Z17" s="302" t="s">
        <v>203</v>
      </c>
      <c r="AA17" s="66"/>
      <c r="AC17" s="341" t="s">
        <v>238</v>
      </c>
      <c r="AD17" s="1">
        <v>18</v>
      </c>
      <c r="AE17" s="288">
        <v>1549</v>
      </c>
      <c r="AF17" s="73" t="s">
        <v>156</v>
      </c>
      <c r="AG17" s="322"/>
      <c r="AH17" s="322"/>
      <c r="AI17" s="323">
        <v>3</v>
      </c>
      <c r="AJ17" s="323">
        <v>3.99</v>
      </c>
      <c r="AK17" s="325">
        <v>3</v>
      </c>
      <c r="AL17" s="325">
        <v>3.99</v>
      </c>
      <c r="AM17" s="323">
        <v>5</v>
      </c>
      <c r="AN17" s="324">
        <v>5.99</v>
      </c>
      <c r="AO17" s="322"/>
      <c r="AP17" s="328">
        <v>2.99</v>
      </c>
      <c r="AQ17" s="325">
        <v>4</v>
      </c>
      <c r="AR17" s="325">
        <v>4.99</v>
      </c>
      <c r="AS17" s="325">
        <v>4</v>
      </c>
      <c r="AT17" s="325">
        <v>4.99</v>
      </c>
    </row>
    <row r="18" spans="1:46" ht="15.75" x14ac:dyDescent="0.25">
      <c r="A18" s="313" t="s">
        <v>239</v>
      </c>
      <c r="B18" s="1">
        <v>15</v>
      </c>
      <c r="C18" s="288">
        <f ca="1">9+$A$33-$A$32-74-34</f>
        <v>296</v>
      </c>
      <c r="D18" s="73"/>
      <c r="E18" s="297">
        <f ca="1">F18-$A$33</f>
        <v>-72</v>
      </c>
      <c r="F18" s="289">
        <v>43967</v>
      </c>
      <c r="G18" s="292">
        <v>3</v>
      </c>
      <c r="H18" s="1"/>
      <c r="I18" s="1"/>
      <c r="J18" s="295">
        <v>2.99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271" t="s">
        <v>216</v>
      </c>
      <c r="V18" s="271"/>
      <c r="W18" s="271">
        <f t="shared" ref="W18:W29" si="0">COUNTA(H18,J18,L18,N18,P18,R18,T18)</f>
        <v>1</v>
      </c>
      <c r="X18" s="271">
        <v>0</v>
      </c>
      <c r="Y18" s="271">
        <v>0</v>
      </c>
      <c r="Z18" s="296" t="s">
        <v>223</v>
      </c>
      <c r="AC18" s="341" t="s">
        <v>240</v>
      </c>
      <c r="AD18" s="1">
        <v>16</v>
      </c>
      <c r="AE18" s="288">
        <v>1633</v>
      </c>
      <c r="AF18" s="73" t="s">
        <v>146</v>
      </c>
      <c r="AG18" s="86"/>
      <c r="AH18" s="86"/>
      <c r="AI18" s="325">
        <v>2</v>
      </c>
      <c r="AJ18" s="325">
        <v>2.99</v>
      </c>
      <c r="AK18" s="323">
        <v>5</v>
      </c>
      <c r="AL18" s="324">
        <v>5.99</v>
      </c>
      <c r="AM18" s="325">
        <v>2</v>
      </c>
      <c r="AN18" s="325">
        <v>2.99</v>
      </c>
      <c r="AO18" s="323">
        <v>4</v>
      </c>
      <c r="AP18" s="323">
        <v>4.99</v>
      </c>
      <c r="AQ18" s="86"/>
      <c r="AR18" s="328">
        <v>4.99</v>
      </c>
      <c r="AS18" s="86"/>
      <c r="AT18" s="328">
        <v>1.99</v>
      </c>
    </row>
    <row r="19" spans="1:46" ht="15.75" x14ac:dyDescent="0.25">
      <c r="A19" s="313" t="s">
        <v>241</v>
      </c>
      <c r="B19" s="1">
        <v>16</v>
      </c>
      <c r="C19" s="288">
        <f ca="1">-2+$A$33-$A$32-112</f>
        <v>281</v>
      </c>
      <c r="D19" s="73"/>
      <c r="E19" s="297">
        <f ca="1">F19-$A$33</f>
        <v>-169</v>
      </c>
      <c r="F19" s="289">
        <v>43870</v>
      </c>
      <c r="G19" s="1"/>
      <c r="H19" s="294">
        <v>6.99</v>
      </c>
      <c r="I19" s="1"/>
      <c r="J19" s="295">
        <v>1.99</v>
      </c>
      <c r="K19" s="1"/>
      <c r="L19" s="1"/>
      <c r="M19" s="1"/>
      <c r="N19" s="1"/>
      <c r="O19" s="1"/>
      <c r="P19" s="1"/>
      <c r="Q19" s="292">
        <v>0</v>
      </c>
      <c r="R19" s="295">
        <v>1.99</v>
      </c>
      <c r="S19" s="1"/>
      <c r="T19" s="1"/>
      <c r="U19" s="301" t="s">
        <v>242</v>
      </c>
      <c r="V19" s="271"/>
      <c r="W19" s="271">
        <f t="shared" si="0"/>
        <v>3</v>
      </c>
      <c r="X19" s="271">
        <v>0</v>
      </c>
      <c r="Y19" s="271">
        <v>0</v>
      </c>
      <c r="Z19" s="296" t="s">
        <v>223</v>
      </c>
      <c r="AA19" s="1"/>
      <c r="AC19" s="341" t="s">
        <v>243</v>
      </c>
      <c r="AD19" s="1">
        <v>16</v>
      </c>
      <c r="AE19" s="288">
        <v>1626</v>
      </c>
      <c r="AF19" s="73"/>
      <c r="AG19" s="331"/>
      <c r="AH19" s="331"/>
      <c r="AI19" s="325">
        <v>4</v>
      </c>
      <c r="AJ19" s="325">
        <v>4.99</v>
      </c>
      <c r="AK19" s="325">
        <v>5</v>
      </c>
      <c r="AL19" s="326">
        <v>5.99</v>
      </c>
      <c r="AM19" s="325">
        <v>4</v>
      </c>
      <c r="AN19" s="325">
        <v>4.99</v>
      </c>
      <c r="AO19" s="331"/>
      <c r="AP19" s="331"/>
      <c r="AQ19" s="323">
        <v>2</v>
      </c>
      <c r="AR19" s="323">
        <v>2.99</v>
      </c>
      <c r="AS19" s="325">
        <v>1</v>
      </c>
      <c r="AT19" s="325">
        <v>1.99</v>
      </c>
    </row>
    <row r="20" spans="1:46" ht="15.75" x14ac:dyDescent="0.25">
      <c r="A20" s="313" t="s">
        <v>244</v>
      </c>
      <c r="B20" s="1">
        <v>16</v>
      </c>
      <c r="C20" s="288">
        <f ca="1">9+$A$33-$A$32-74</f>
        <v>330</v>
      </c>
      <c r="D20" s="73"/>
      <c r="E20" s="297">
        <f ca="1">F20-$A$33</f>
        <v>-217</v>
      </c>
      <c r="F20" s="289">
        <v>43822</v>
      </c>
      <c r="G20" s="1"/>
      <c r="H20" s="1"/>
      <c r="I20" s="292">
        <v>3</v>
      </c>
      <c r="J20" s="295">
        <v>4.99</v>
      </c>
      <c r="K20" s="292">
        <v>3</v>
      </c>
      <c r="L20" s="295">
        <v>4.99</v>
      </c>
      <c r="M20" s="292">
        <v>3</v>
      </c>
      <c r="N20" s="295">
        <v>3.99</v>
      </c>
      <c r="O20" s="291">
        <v>2</v>
      </c>
      <c r="P20" s="298">
        <v>2.99</v>
      </c>
      <c r="Q20" s="1"/>
      <c r="R20" s="295">
        <v>4.99</v>
      </c>
      <c r="S20" s="1"/>
      <c r="T20" s="1"/>
      <c r="U20" s="271" t="s">
        <v>216</v>
      </c>
      <c r="V20" s="271"/>
      <c r="W20" s="271">
        <f t="shared" si="0"/>
        <v>5</v>
      </c>
      <c r="X20" s="271">
        <v>0</v>
      </c>
      <c r="Y20" s="271">
        <v>0</v>
      </c>
      <c r="Z20" s="296" t="s">
        <v>217</v>
      </c>
      <c r="AA20" s="2"/>
      <c r="AC20" s="341" t="s">
        <v>245</v>
      </c>
      <c r="AD20" s="1">
        <v>17</v>
      </c>
      <c r="AE20" s="288">
        <v>1561</v>
      </c>
      <c r="AF20" s="73" t="s">
        <v>156</v>
      </c>
      <c r="AG20" s="322"/>
      <c r="AH20" s="322"/>
      <c r="AI20" s="325">
        <v>4</v>
      </c>
      <c r="AJ20" s="325">
        <v>4.99</v>
      </c>
      <c r="AK20" s="323">
        <v>5</v>
      </c>
      <c r="AL20" s="324">
        <v>5.99</v>
      </c>
      <c r="AM20" s="325">
        <v>4</v>
      </c>
      <c r="AN20" s="325">
        <v>4.99</v>
      </c>
      <c r="AO20" s="322"/>
      <c r="AP20" s="322"/>
      <c r="AQ20" s="322"/>
      <c r="AR20" s="328">
        <v>2.99</v>
      </c>
      <c r="AS20" s="325">
        <v>3</v>
      </c>
      <c r="AT20" s="325">
        <v>3.99</v>
      </c>
    </row>
    <row r="21" spans="1:46" ht="15.75" x14ac:dyDescent="0.25">
      <c r="A21" s="312" t="s">
        <v>246</v>
      </c>
      <c r="B21" s="1">
        <v>17</v>
      </c>
      <c r="C21" s="288">
        <f ca="1">2+$A$33-$A$32-112</f>
        <v>285</v>
      </c>
      <c r="D21" s="73"/>
      <c r="E21" s="297">
        <f ca="1">F21-$A$33</f>
        <v>-259</v>
      </c>
      <c r="F21" s="289">
        <v>43780</v>
      </c>
      <c r="G21" s="1"/>
      <c r="H21" s="295">
        <v>1.99</v>
      </c>
      <c r="I21" s="292">
        <v>3</v>
      </c>
      <c r="J21" s="293">
        <v>5.99</v>
      </c>
      <c r="K21" s="299">
        <v>4</v>
      </c>
      <c r="L21" s="300">
        <v>4.99</v>
      </c>
      <c r="M21" s="291">
        <v>2</v>
      </c>
      <c r="N21" s="298">
        <v>2.99</v>
      </c>
      <c r="O21" s="1"/>
      <c r="P21" s="294">
        <v>6.99</v>
      </c>
      <c r="Q21" s="292">
        <v>4</v>
      </c>
      <c r="R21" s="293">
        <v>5.99</v>
      </c>
      <c r="S21" s="1"/>
      <c r="T21" s="1"/>
      <c r="U21" s="301" t="s">
        <v>247</v>
      </c>
      <c r="V21" s="271"/>
      <c r="W21" s="271">
        <f t="shared" si="0"/>
        <v>6</v>
      </c>
      <c r="X21" s="271">
        <v>0</v>
      </c>
      <c r="Y21" s="271">
        <v>0</v>
      </c>
      <c r="Z21" s="296" t="s">
        <v>217</v>
      </c>
      <c r="AA21" s="2"/>
      <c r="AC21" s="341" t="s">
        <v>248</v>
      </c>
      <c r="AD21" s="1">
        <v>17</v>
      </c>
      <c r="AE21" s="288">
        <v>1515</v>
      </c>
      <c r="AF21" s="73"/>
      <c r="AG21" s="331"/>
      <c r="AH21" s="331"/>
      <c r="AI21" s="323">
        <v>3</v>
      </c>
      <c r="AJ21" s="323">
        <v>3.99</v>
      </c>
      <c r="AK21" s="325">
        <v>4</v>
      </c>
      <c r="AL21" s="325">
        <v>4.99</v>
      </c>
      <c r="AM21" s="325">
        <v>5</v>
      </c>
      <c r="AN21" s="326">
        <v>5.99</v>
      </c>
      <c r="AO21" s="331"/>
      <c r="AP21" s="331"/>
      <c r="AQ21" s="325">
        <v>3</v>
      </c>
      <c r="AR21" s="325">
        <v>3.99</v>
      </c>
      <c r="AS21" s="331"/>
      <c r="AT21" s="331"/>
    </row>
    <row r="22" spans="1:46" ht="15.75" x14ac:dyDescent="0.25">
      <c r="A22" s="312" t="s">
        <v>249</v>
      </c>
      <c r="B22" s="1">
        <v>18</v>
      </c>
      <c r="C22" s="288">
        <f ca="1">103+$A$33-$A$32-112</f>
        <v>386</v>
      </c>
      <c r="D22" s="73"/>
      <c r="E22" s="297">
        <v>0</v>
      </c>
      <c r="F22" s="289">
        <f t="shared" ref="F22:F29" ca="1" si="1">TODAY()</f>
        <v>44039</v>
      </c>
      <c r="G22" s="299">
        <v>1</v>
      </c>
      <c r="H22" s="300">
        <v>1.99</v>
      </c>
      <c r="I22" s="291">
        <v>4</v>
      </c>
      <c r="J22" s="298">
        <v>4.99</v>
      </c>
      <c r="K22" s="291">
        <v>3</v>
      </c>
      <c r="L22" s="298">
        <v>3.99</v>
      </c>
      <c r="M22" s="291">
        <v>1</v>
      </c>
      <c r="N22" s="298">
        <v>1.99</v>
      </c>
      <c r="O22" s="1"/>
      <c r="P22" s="293">
        <v>5.99</v>
      </c>
      <c r="Q22" s="292">
        <v>4</v>
      </c>
      <c r="R22" s="293">
        <v>5.99</v>
      </c>
      <c r="S22" s="1"/>
      <c r="T22" s="293">
        <v>5.99</v>
      </c>
      <c r="U22" s="301" t="s">
        <v>250</v>
      </c>
      <c r="V22" s="271"/>
      <c r="W22" s="271">
        <f t="shared" si="0"/>
        <v>7</v>
      </c>
      <c r="X22" s="271">
        <v>3</v>
      </c>
      <c r="Y22" s="271">
        <v>6</v>
      </c>
      <c r="Z22" s="296" t="s">
        <v>217</v>
      </c>
      <c r="AA22" s="2"/>
      <c r="AC22" s="341" t="s">
        <v>251</v>
      </c>
      <c r="AD22" s="1">
        <v>19</v>
      </c>
      <c r="AE22" s="288">
        <v>1502</v>
      </c>
      <c r="AF22" s="73"/>
      <c r="AG22" s="331"/>
      <c r="AH22" s="328">
        <v>1.99</v>
      </c>
      <c r="AI22" s="331"/>
      <c r="AJ22" s="328">
        <v>2.99</v>
      </c>
      <c r="AK22" s="328">
        <v>3</v>
      </c>
      <c r="AL22" s="331"/>
      <c r="AM22" s="331"/>
      <c r="AN22" s="331"/>
      <c r="AO22" s="323">
        <v>5</v>
      </c>
      <c r="AP22" s="324">
        <v>5.99</v>
      </c>
      <c r="AQ22" s="331"/>
      <c r="AR22" s="328">
        <v>2.99</v>
      </c>
      <c r="AS22" s="331"/>
      <c r="AT22" s="331"/>
    </row>
    <row r="23" spans="1:46" ht="15.75" x14ac:dyDescent="0.25">
      <c r="A23" s="312" t="s">
        <v>252</v>
      </c>
      <c r="B23" s="1">
        <v>18</v>
      </c>
      <c r="C23" s="288">
        <f ca="1">92+$A$33-$A$32-112</f>
        <v>375</v>
      </c>
      <c r="D23" s="73"/>
      <c r="E23" s="297">
        <v>0</v>
      </c>
      <c r="F23" s="289">
        <f t="shared" ca="1" si="1"/>
        <v>44039</v>
      </c>
      <c r="G23" s="1"/>
      <c r="H23" s="295">
        <v>1.99</v>
      </c>
      <c r="I23" s="291">
        <v>4</v>
      </c>
      <c r="J23" s="298">
        <v>4.99</v>
      </c>
      <c r="K23" s="291">
        <v>3</v>
      </c>
      <c r="L23" s="298">
        <v>3.99</v>
      </c>
      <c r="M23" s="1"/>
      <c r="N23" s="295">
        <v>2.99</v>
      </c>
      <c r="O23" s="1"/>
      <c r="P23" s="293">
        <v>5.99</v>
      </c>
      <c r="Q23" s="299">
        <v>3</v>
      </c>
      <c r="R23" s="300">
        <v>3.99</v>
      </c>
      <c r="S23" s="1"/>
      <c r="T23" s="295">
        <v>4.99</v>
      </c>
      <c r="U23" s="301" t="s">
        <v>253</v>
      </c>
      <c r="V23" s="271"/>
      <c r="W23" s="271">
        <f t="shared" si="0"/>
        <v>7</v>
      </c>
      <c r="X23" s="271">
        <v>0</v>
      </c>
      <c r="Y23" s="271">
        <v>0</v>
      </c>
      <c r="Z23" s="296" t="s">
        <v>217</v>
      </c>
      <c r="AA23" s="2"/>
      <c r="AC23" s="341" t="s">
        <v>254</v>
      </c>
      <c r="AD23" s="1">
        <v>18</v>
      </c>
      <c r="AE23" s="288">
        <v>1561</v>
      </c>
      <c r="AF23" s="73"/>
      <c r="AG23" s="322"/>
      <c r="AH23" s="322"/>
      <c r="AI23" s="328">
        <v>1</v>
      </c>
      <c r="AJ23" s="328">
        <v>2.99</v>
      </c>
      <c r="AK23" s="323">
        <v>3</v>
      </c>
      <c r="AL23" s="323">
        <v>3.99</v>
      </c>
      <c r="AM23" s="322"/>
      <c r="AN23" s="327">
        <v>5.99</v>
      </c>
      <c r="AO23" s="328">
        <v>3</v>
      </c>
      <c r="AP23" s="328">
        <v>4.99</v>
      </c>
      <c r="AQ23" s="325">
        <v>1</v>
      </c>
      <c r="AR23" s="325">
        <v>1.99</v>
      </c>
      <c r="AS23" s="322"/>
      <c r="AT23" s="322"/>
    </row>
    <row r="24" spans="1:46" ht="15.75" x14ac:dyDescent="0.25">
      <c r="A24" s="312" t="s">
        <v>255</v>
      </c>
      <c r="B24" s="1">
        <v>18</v>
      </c>
      <c r="C24" s="288">
        <f ca="1">75+$A$33-$A$32-112</f>
        <v>358</v>
      </c>
      <c r="D24" s="2"/>
      <c r="E24" s="297">
        <v>0</v>
      </c>
      <c r="F24" s="289">
        <f t="shared" ca="1" si="1"/>
        <v>44039</v>
      </c>
      <c r="G24" s="2"/>
      <c r="H24" s="295">
        <v>1.99</v>
      </c>
      <c r="I24" s="291">
        <v>3</v>
      </c>
      <c r="J24" s="298">
        <v>3.99</v>
      </c>
      <c r="K24" s="291">
        <v>3</v>
      </c>
      <c r="L24" s="298">
        <v>3.99</v>
      </c>
      <c r="M24" s="292">
        <v>4</v>
      </c>
      <c r="N24" s="293">
        <v>5.99</v>
      </c>
      <c r="O24" s="291">
        <v>4</v>
      </c>
      <c r="P24" s="298">
        <v>4.99</v>
      </c>
      <c r="Q24" s="2"/>
      <c r="R24" s="295">
        <v>3.99</v>
      </c>
      <c r="S24" s="291">
        <v>1</v>
      </c>
      <c r="T24" s="298">
        <v>1.99</v>
      </c>
      <c r="U24" s="271" t="s">
        <v>216</v>
      </c>
      <c r="V24" s="2"/>
      <c r="W24" s="271">
        <f t="shared" si="0"/>
        <v>7</v>
      </c>
      <c r="X24" s="271">
        <v>0</v>
      </c>
      <c r="Y24" s="271">
        <v>0</v>
      </c>
      <c r="Z24" s="296" t="s">
        <v>217</v>
      </c>
      <c r="AA24" s="1"/>
      <c r="AC24" s="341" t="s">
        <v>256</v>
      </c>
      <c r="AD24" s="1">
        <v>18</v>
      </c>
      <c r="AE24" s="288">
        <v>1540</v>
      </c>
      <c r="AF24" s="73" t="s">
        <v>163</v>
      </c>
      <c r="AG24" s="331"/>
      <c r="AH24" s="331"/>
      <c r="AI24" s="331"/>
      <c r="AJ24" s="328">
        <v>4.99</v>
      </c>
      <c r="AK24" s="325">
        <v>5.5</v>
      </c>
      <c r="AL24" s="326">
        <v>5.99</v>
      </c>
      <c r="AM24" s="325">
        <v>1</v>
      </c>
      <c r="AN24" s="325">
        <v>1.99</v>
      </c>
      <c r="AO24" s="325">
        <v>2</v>
      </c>
      <c r="AP24" s="325">
        <v>2.99</v>
      </c>
      <c r="AQ24" s="325">
        <v>3</v>
      </c>
      <c r="AR24" s="325">
        <v>3.99</v>
      </c>
      <c r="AS24" s="331"/>
      <c r="AT24" s="331"/>
    </row>
    <row r="25" spans="1:46" ht="15.75" x14ac:dyDescent="0.25">
      <c r="A25" s="312" t="s">
        <v>257</v>
      </c>
      <c r="B25" s="1">
        <v>18</v>
      </c>
      <c r="C25" s="288">
        <f ca="1">75+$A$33-$A$32-112</f>
        <v>358</v>
      </c>
      <c r="D25" s="73" t="s">
        <v>156</v>
      </c>
      <c r="E25" s="297">
        <v>0</v>
      </c>
      <c r="F25" s="289">
        <f t="shared" ca="1" si="1"/>
        <v>44039</v>
      </c>
      <c r="G25" s="1"/>
      <c r="H25" s="1"/>
      <c r="I25" s="291">
        <v>2</v>
      </c>
      <c r="J25" s="298">
        <v>2.99</v>
      </c>
      <c r="K25" s="291">
        <v>2</v>
      </c>
      <c r="L25" s="298">
        <v>2.99</v>
      </c>
      <c r="M25" s="292">
        <v>5</v>
      </c>
      <c r="N25" s="294">
        <v>6.99</v>
      </c>
      <c r="O25" s="1"/>
      <c r="P25" s="293">
        <v>5.99</v>
      </c>
      <c r="Q25" s="292">
        <v>2</v>
      </c>
      <c r="R25" s="295">
        <v>3.99</v>
      </c>
      <c r="S25" s="1"/>
      <c r="T25" s="295">
        <v>3.99</v>
      </c>
      <c r="U25" s="271" t="s">
        <v>216</v>
      </c>
      <c r="V25" s="271"/>
      <c r="W25" s="271">
        <f t="shared" si="0"/>
        <v>6</v>
      </c>
      <c r="X25" s="271">
        <v>0</v>
      </c>
      <c r="Y25" s="271">
        <v>0</v>
      </c>
      <c r="Z25" s="296" t="s">
        <v>223</v>
      </c>
      <c r="AA25" s="2"/>
      <c r="AC25" s="341" t="s">
        <v>258</v>
      </c>
      <c r="AD25" s="1">
        <v>18</v>
      </c>
      <c r="AE25" s="288">
        <v>1501</v>
      </c>
      <c r="AF25" s="73" t="s">
        <v>182</v>
      </c>
      <c r="AG25" s="331"/>
      <c r="AH25" s="328">
        <v>1.99</v>
      </c>
      <c r="AI25" s="331"/>
      <c r="AJ25" s="328">
        <v>1.99</v>
      </c>
      <c r="AK25" s="323">
        <v>5</v>
      </c>
      <c r="AL25" s="324">
        <v>5.99</v>
      </c>
      <c r="AM25" s="331"/>
      <c r="AN25" s="328">
        <v>3.99</v>
      </c>
      <c r="AO25" s="325">
        <v>3</v>
      </c>
      <c r="AP25" s="325">
        <v>3.99</v>
      </c>
      <c r="AQ25" s="323">
        <v>2</v>
      </c>
      <c r="AR25" s="323">
        <v>2.99</v>
      </c>
      <c r="AS25" s="331"/>
      <c r="AT25" s="331"/>
    </row>
    <row r="26" spans="1:46" ht="15.75" x14ac:dyDescent="0.25">
      <c r="A26" s="312" t="s">
        <v>259</v>
      </c>
      <c r="B26" s="1">
        <v>18</v>
      </c>
      <c r="C26" s="288">
        <f ca="1">48+$A$33-$A$32-112</f>
        <v>331</v>
      </c>
      <c r="D26" s="73" t="s">
        <v>182</v>
      </c>
      <c r="E26" s="297">
        <v>0</v>
      </c>
      <c r="F26" s="289">
        <f t="shared" ca="1" si="1"/>
        <v>44039</v>
      </c>
      <c r="G26" s="290"/>
      <c r="H26" s="295">
        <v>1.99</v>
      </c>
      <c r="I26" s="291">
        <v>4</v>
      </c>
      <c r="J26" s="298">
        <v>4.99</v>
      </c>
      <c r="K26" s="291">
        <v>3</v>
      </c>
      <c r="L26" s="298">
        <v>3.99</v>
      </c>
      <c r="M26" s="291">
        <v>2</v>
      </c>
      <c r="N26" s="298">
        <v>2.99</v>
      </c>
      <c r="O26" s="291">
        <v>2</v>
      </c>
      <c r="P26" s="298">
        <v>2.99</v>
      </c>
      <c r="Q26" s="292">
        <v>4</v>
      </c>
      <c r="R26" s="294">
        <v>6.99</v>
      </c>
      <c r="S26" s="290"/>
      <c r="T26" s="295">
        <v>2.99</v>
      </c>
      <c r="U26" s="271" t="s">
        <v>216</v>
      </c>
      <c r="V26" s="271" t="s">
        <v>233</v>
      </c>
      <c r="W26" s="271">
        <f t="shared" si="0"/>
        <v>7</v>
      </c>
      <c r="X26" s="271">
        <v>0</v>
      </c>
      <c r="Y26" s="271">
        <v>0</v>
      </c>
      <c r="Z26" s="296" t="s">
        <v>217</v>
      </c>
      <c r="AA26" s="1"/>
      <c r="AC26" s="341" t="s">
        <v>260</v>
      </c>
      <c r="AD26" s="1">
        <v>16</v>
      </c>
      <c r="AE26" s="288">
        <v>1510</v>
      </c>
      <c r="AF26" s="73"/>
      <c r="AG26" s="322"/>
      <c r="AH26" s="328">
        <v>1.99</v>
      </c>
      <c r="AI26" s="325">
        <v>3</v>
      </c>
      <c r="AJ26" s="326">
        <v>3.99</v>
      </c>
      <c r="AK26" s="325">
        <v>5.4</v>
      </c>
      <c r="AL26" s="326">
        <v>5.99</v>
      </c>
      <c r="AM26" s="325">
        <v>2</v>
      </c>
      <c r="AN26" s="325">
        <v>2.99</v>
      </c>
      <c r="AO26" s="322"/>
      <c r="AP26" s="322"/>
      <c r="AQ26" s="325">
        <v>4</v>
      </c>
      <c r="AR26" s="325">
        <v>4.99</v>
      </c>
      <c r="AS26" s="331"/>
      <c r="AT26" s="328">
        <v>3.99</v>
      </c>
    </row>
    <row r="27" spans="1:46" ht="15.75" x14ac:dyDescent="0.25">
      <c r="A27" s="312" t="s">
        <v>261</v>
      </c>
      <c r="B27" s="1">
        <v>17</v>
      </c>
      <c r="C27" s="288">
        <f ca="1">76+$A$33-$A$32-112</f>
        <v>359</v>
      </c>
      <c r="D27" s="73" t="s">
        <v>182</v>
      </c>
      <c r="E27" s="297">
        <v>0</v>
      </c>
      <c r="F27" s="289">
        <f t="shared" ca="1" si="1"/>
        <v>44039</v>
      </c>
      <c r="G27" s="290"/>
      <c r="H27" s="295">
        <v>0.99</v>
      </c>
      <c r="I27" s="291">
        <v>3</v>
      </c>
      <c r="J27" s="298">
        <v>3.99</v>
      </c>
      <c r="K27" s="291">
        <v>4</v>
      </c>
      <c r="L27" s="298">
        <v>4.99</v>
      </c>
      <c r="M27" s="290"/>
      <c r="N27" s="295">
        <v>3.99</v>
      </c>
      <c r="O27" s="290"/>
      <c r="P27" s="294">
        <v>6.99</v>
      </c>
      <c r="Q27" s="290"/>
      <c r="R27" s="295">
        <v>4.99</v>
      </c>
      <c r="S27" s="290"/>
      <c r="T27" s="290"/>
      <c r="U27" s="301" t="s">
        <v>262</v>
      </c>
      <c r="V27" s="271" t="s">
        <v>233</v>
      </c>
      <c r="W27" s="271">
        <f t="shared" si="0"/>
        <v>6</v>
      </c>
      <c r="X27" s="271">
        <v>0</v>
      </c>
      <c r="Y27" s="271">
        <v>0</v>
      </c>
      <c r="Z27" s="296" t="s">
        <v>223</v>
      </c>
      <c r="AA27" s="2"/>
      <c r="AC27" s="341" t="s">
        <v>263</v>
      </c>
      <c r="AD27" s="1">
        <v>17</v>
      </c>
      <c r="AE27" s="288">
        <v>1456</v>
      </c>
      <c r="AF27" s="73"/>
      <c r="AG27" s="86"/>
      <c r="AH27" s="86"/>
      <c r="AI27" s="86"/>
      <c r="AJ27" s="328">
        <v>3.99</v>
      </c>
      <c r="AK27" s="325">
        <v>2</v>
      </c>
      <c r="AL27" s="325">
        <v>2.99</v>
      </c>
      <c r="AM27" s="325">
        <v>4</v>
      </c>
      <c r="AN27" s="325">
        <v>4.99</v>
      </c>
      <c r="AO27" s="325">
        <v>5</v>
      </c>
      <c r="AP27" s="326">
        <v>5.99</v>
      </c>
      <c r="AQ27" s="325">
        <v>6</v>
      </c>
      <c r="AR27" s="330">
        <v>6.99</v>
      </c>
      <c r="AS27" s="86"/>
      <c r="AT27" s="86"/>
    </row>
    <row r="28" spans="1:46" ht="15.75" x14ac:dyDescent="0.25">
      <c r="A28" s="312" t="s">
        <v>264</v>
      </c>
      <c r="B28" s="1">
        <v>18</v>
      </c>
      <c r="C28" s="288">
        <f ca="1">27+$A$33-$A$32-112</f>
        <v>310</v>
      </c>
      <c r="D28" s="73"/>
      <c r="E28" s="297">
        <v>0</v>
      </c>
      <c r="F28" s="289">
        <f t="shared" ca="1" si="1"/>
        <v>44039</v>
      </c>
      <c r="G28" s="290"/>
      <c r="H28" s="290"/>
      <c r="I28" s="290"/>
      <c r="J28" s="290"/>
      <c r="K28" s="292">
        <v>3</v>
      </c>
      <c r="L28" s="290"/>
      <c r="M28" s="290"/>
      <c r="N28" s="290"/>
      <c r="O28" s="290"/>
      <c r="P28" s="294">
        <v>7</v>
      </c>
      <c r="Q28" s="290"/>
      <c r="R28" s="295">
        <v>1.99</v>
      </c>
      <c r="S28" s="290"/>
      <c r="T28" s="293">
        <v>5.99</v>
      </c>
      <c r="U28" s="271" t="s">
        <v>216</v>
      </c>
      <c r="V28" s="271" t="s">
        <v>233</v>
      </c>
      <c r="W28" s="271">
        <f t="shared" si="0"/>
        <v>3</v>
      </c>
      <c r="X28" s="271">
        <v>0</v>
      </c>
      <c r="Y28" s="271">
        <v>0</v>
      </c>
      <c r="Z28" s="296" t="s">
        <v>217</v>
      </c>
      <c r="AA28" s="2"/>
      <c r="AC28" s="341" t="s">
        <v>265</v>
      </c>
      <c r="AD28" s="1">
        <v>17</v>
      </c>
      <c r="AE28" s="288">
        <v>1439</v>
      </c>
      <c r="AF28" s="73" t="s">
        <v>159</v>
      </c>
      <c r="AG28" s="331"/>
      <c r="AH28" s="331"/>
      <c r="AI28" s="325">
        <v>2</v>
      </c>
      <c r="AJ28" s="325">
        <v>2.99</v>
      </c>
      <c r="AK28" s="323">
        <v>4</v>
      </c>
      <c r="AL28" s="323">
        <v>4.99</v>
      </c>
      <c r="AM28" s="331"/>
      <c r="AN28" s="328">
        <v>3.99</v>
      </c>
      <c r="AO28" s="331"/>
      <c r="AP28" s="328">
        <v>3.99</v>
      </c>
      <c r="AQ28" s="325">
        <v>4</v>
      </c>
      <c r="AR28" s="325">
        <v>4.99</v>
      </c>
      <c r="AS28" s="331"/>
      <c r="AT28" s="331"/>
    </row>
    <row r="29" spans="1:46" ht="15.75" x14ac:dyDescent="0.25">
      <c r="A29" s="312" t="s">
        <v>266</v>
      </c>
      <c r="B29" s="1">
        <v>17</v>
      </c>
      <c r="C29" s="288">
        <f ca="1">68+$A$33-$A$32-112</f>
        <v>351</v>
      </c>
      <c r="D29" s="73"/>
      <c r="E29" s="297">
        <v>0</v>
      </c>
      <c r="F29" s="289">
        <f t="shared" ca="1" si="1"/>
        <v>44039</v>
      </c>
      <c r="G29" s="1"/>
      <c r="H29" s="294">
        <v>6.99</v>
      </c>
      <c r="I29" s="291">
        <v>2</v>
      </c>
      <c r="J29" s="298">
        <v>2.99</v>
      </c>
      <c r="K29" s="291">
        <v>1</v>
      </c>
      <c r="L29" s="298">
        <v>1.99</v>
      </c>
      <c r="M29" s="291">
        <v>0</v>
      </c>
      <c r="N29" s="298">
        <v>0.99</v>
      </c>
      <c r="O29" s="1"/>
      <c r="P29" s="295">
        <v>0.99</v>
      </c>
      <c r="Q29" s="1"/>
      <c r="R29" s="295">
        <v>1.99</v>
      </c>
      <c r="S29" s="1"/>
      <c r="T29" s="295">
        <v>1.99</v>
      </c>
      <c r="U29" s="301" t="s">
        <v>242</v>
      </c>
      <c r="V29" s="271"/>
      <c r="W29" s="271">
        <f t="shared" si="0"/>
        <v>7</v>
      </c>
      <c r="X29" s="271">
        <v>0</v>
      </c>
      <c r="Y29" s="271">
        <v>0</v>
      </c>
      <c r="Z29" s="296" t="s">
        <v>217</v>
      </c>
      <c r="AA29" s="1"/>
      <c r="AC29" s="341" t="s">
        <v>186</v>
      </c>
      <c r="AD29" s="1">
        <v>17</v>
      </c>
      <c r="AE29" s="288">
        <v>1340</v>
      </c>
      <c r="AF29" s="73" t="s">
        <v>159</v>
      </c>
      <c r="AG29" s="331"/>
      <c r="AH29" s="331"/>
      <c r="AI29" s="323">
        <v>2</v>
      </c>
      <c r="AJ29" s="323">
        <v>2.99</v>
      </c>
      <c r="AK29" s="325">
        <v>6.1</v>
      </c>
      <c r="AL29" s="330">
        <v>6.2</v>
      </c>
      <c r="AM29" s="325">
        <v>4</v>
      </c>
      <c r="AN29" s="325">
        <v>4.99</v>
      </c>
      <c r="AO29" s="325">
        <v>4</v>
      </c>
      <c r="AP29" s="325">
        <v>4.99</v>
      </c>
      <c r="AQ29" s="326">
        <v>5</v>
      </c>
      <c r="AR29" s="326">
        <v>5.99</v>
      </c>
      <c r="AS29" s="331"/>
      <c r="AT29" s="331"/>
    </row>
    <row r="30" spans="1:46" ht="15.75" x14ac:dyDescent="0.25">
      <c r="A30" s="1"/>
      <c r="B30" s="1"/>
      <c r="C30" s="288"/>
      <c r="D30" s="27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271"/>
      <c r="V30" s="271"/>
      <c r="W30" s="271"/>
      <c r="X30" s="271"/>
      <c r="Y30" s="271"/>
      <c r="Z30" s="296"/>
      <c r="AA30" s="2"/>
      <c r="AC30" s="341" t="s">
        <v>267</v>
      </c>
      <c r="AD30" s="1">
        <v>19</v>
      </c>
      <c r="AE30" s="288">
        <v>1416</v>
      </c>
      <c r="AF30" s="73" t="s">
        <v>182</v>
      </c>
      <c r="AG30" s="86"/>
      <c r="AH30" s="328">
        <v>1.99</v>
      </c>
      <c r="AI30" s="328">
        <v>5</v>
      </c>
      <c r="AJ30" s="329">
        <v>6.99</v>
      </c>
      <c r="AK30" s="325">
        <v>1</v>
      </c>
      <c r="AL30" s="325">
        <v>1.99</v>
      </c>
      <c r="AM30" s="325">
        <v>3</v>
      </c>
      <c r="AN30" s="325">
        <v>3.99</v>
      </c>
      <c r="AO30" s="86"/>
      <c r="AP30" s="328">
        <v>3.99</v>
      </c>
      <c r="AQ30" s="325">
        <v>2</v>
      </c>
      <c r="AR30" s="325">
        <v>2.99</v>
      </c>
      <c r="AS30" s="86"/>
      <c r="AT30" s="328">
        <v>2.99</v>
      </c>
    </row>
    <row r="31" spans="1:46" ht="15.75" x14ac:dyDescent="0.25">
      <c r="A31" s="66" t="s">
        <v>268</v>
      </c>
      <c r="B31" s="2"/>
      <c r="C31" s="2"/>
      <c r="D31" s="1"/>
      <c r="E31" s="28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1"/>
      <c r="S31" s="2"/>
      <c r="T31" s="2"/>
      <c r="U31" s="2"/>
      <c r="V31" s="2"/>
      <c r="W31" s="2"/>
      <c r="X31" s="2"/>
      <c r="Y31" s="2"/>
      <c r="Z31" s="2"/>
      <c r="AA31" s="2"/>
      <c r="AC31" s="341" t="s">
        <v>269</v>
      </c>
      <c r="AD31" s="1">
        <v>19</v>
      </c>
      <c r="AE31" s="288">
        <v>1289</v>
      </c>
      <c r="AF31" s="73"/>
      <c r="AG31" s="86"/>
      <c r="AH31" s="86"/>
      <c r="AI31" s="86"/>
      <c r="AJ31" s="327">
        <v>5.99</v>
      </c>
      <c r="AK31" s="323">
        <v>4</v>
      </c>
      <c r="AL31" s="323">
        <v>4.99</v>
      </c>
      <c r="AM31" s="86"/>
      <c r="AN31" s="328">
        <v>2.99</v>
      </c>
      <c r="AO31" s="328">
        <v>5</v>
      </c>
      <c r="AP31" s="327">
        <v>5.99</v>
      </c>
      <c r="AQ31" s="325">
        <v>5</v>
      </c>
      <c r="AR31" s="326">
        <v>5.99</v>
      </c>
      <c r="AS31" s="325">
        <v>2</v>
      </c>
      <c r="AT31" s="325">
        <v>2.99</v>
      </c>
    </row>
    <row r="32" spans="1:46" ht="15.75" x14ac:dyDescent="0.25">
      <c r="A32" s="314">
        <v>43644</v>
      </c>
      <c r="B32" s="289"/>
      <c r="C32" s="2"/>
      <c r="D32" s="1"/>
      <c r="E32" s="288"/>
      <c r="F32" s="66" t="s">
        <v>270</v>
      </c>
      <c r="G32" s="271"/>
      <c r="H32" s="2"/>
      <c r="I32" s="2"/>
      <c r="J32" s="2"/>
      <c r="K32" s="2"/>
      <c r="L32" s="2"/>
      <c r="M32" s="2"/>
      <c r="N32" s="2"/>
      <c r="O32" s="2"/>
      <c r="P32" s="2"/>
      <c r="Q32" s="1"/>
      <c r="R32" s="1"/>
      <c r="S32" s="2"/>
      <c r="T32" s="2"/>
      <c r="U32" s="2"/>
      <c r="V32" s="2"/>
      <c r="W32" s="2"/>
      <c r="X32" s="2"/>
      <c r="Y32" s="2"/>
      <c r="Z32" s="89"/>
      <c r="AA32" s="2"/>
      <c r="AC32" s="341" t="s">
        <v>271</v>
      </c>
      <c r="AD32" s="1">
        <v>17</v>
      </c>
      <c r="AE32" s="288">
        <v>1296</v>
      </c>
      <c r="AF32" s="73"/>
      <c r="AG32" s="332"/>
      <c r="AH32" s="328">
        <v>1.99</v>
      </c>
      <c r="AI32" s="325">
        <v>2</v>
      </c>
      <c r="AJ32" s="325">
        <v>2.99</v>
      </c>
      <c r="AK32" s="323">
        <v>3</v>
      </c>
      <c r="AL32" s="323">
        <v>3.99</v>
      </c>
      <c r="AM32" s="325">
        <v>3</v>
      </c>
      <c r="AN32" s="325">
        <v>3.99</v>
      </c>
      <c r="AO32" s="325">
        <v>6</v>
      </c>
      <c r="AP32" s="330">
        <v>6.99</v>
      </c>
      <c r="AQ32" s="323">
        <v>6</v>
      </c>
      <c r="AR32" s="333">
        <v>6.99</v>
      </c>
      <c r="AS32" s="332"/>
      <c r="AT32" s="332"/>
    </row>
    <row r="33" spans="1:46" ht="15.75" x14ac:dyDescent="0.25">
      <c r="A33" s="304">
        <f ca="1">TODAY()</f>
        <v>44039</v>
      </c>
      <c r="B33" s="1"/>
      <c r="C33" s="1"/>
      <c r="D33" s="1"/>
      <c r="E33" s="1"/>
      <c r="F33" s="1" t="s">
        <v>272</v>
      </c>
      <c r="G33" s="2"/>
      <c r="H33" s="2"/>
      <c r="I33" s="2"/>
      <c r="J33" s="2"/>
      <c r="K33" s="2"/>
      <c r="L33" s="2"/>
      <c r="M33" s="2"/>
      <c r="N33" s="2"/>
      <c r="O33" s="2"/>
      <c r="P33" s="1"/>
      <c r="Q33" s="1"/>
      <c r="R33" s="1"/>
      <c r="S33" s="2"/>
      <c r="T33" s="2"/>
      <c r="U33" s="2"/>
      <c r="V33" s="2"/>
      <c r="W33" s="2"/>
      <c r="X33" s="2"/>
      <c r="Y33" s="2"/>
      <c r="Z33" s="2"/>
      <c r="AC33" s="341" t="s">
        <v>273</v>
      </c>
      <c r="AD33" s="1">
        <v>17</v>
      </c>
      <c r="AE33" s="288">
        <v>1291</v>
      </c>
      <c r="AF33" s="73"/>
      <c r="AG33" s="331"/>
      <c r="AH33" s="331"/>
      <c r="AI33" s="325">
        <v>1</v>
      </c>
      <c r="AJ33" s="325">
        <v>1.99</v>
      </c>
      <c r="AK33" s="328">
        <v>4</v>
      </c>
      <c r="AL33" s="329">
        <v>6.99</v>
      </c>
      <c r="AM33" s="325">
        <v>3</v>
      </c>
      <c r="AN33" s="325">
        <v>3.99</v>
      </c>
      <c r="AO33" s="331"/>
      <c r="AP33" s="328">
        <v>2.99</v>
      </c>
      <c r="AQ33" s="325">
        <v>3</v>
      </c>
      <c r="AR33" s="325">
        <v>3.99</v>
      </c>
      <c r="AS33" s="331"/>
      <c r="AT33" s="331"/>
    </row>
    <row r="34" spans="1:46" ht="15.75" x14ac:dyDescent="0.25">
      <c r="A34" s="304"/>
      <c r="B34" s="305"/>
      <c r="C34" s="305"/>
      <c r="D34" s="1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  <c r="Q34" s="1"/>
      <c r="R34" s="1"/>
      <c r="AC34" s="341" t="s">
        <v>274</v>
      </c>
      <c r="AD34" s="1">
        <v>17</v>
      </c>
      <c r="AE34" s="288">
        <v>1328</v>
      </c>
      <c r="AF34" s="73"/>
      <c r="AG34" s="331"/>
      <c r="AH34" s="331"/>
      <c r="AI34" s="325">
        <v>3</v>
      </c>
      <c r="AJ34" s="325">
        <v>3.99</v>
      </c>
      <c r="AK34" s="325">
        <v>6</v>
      </c>
      <c r="AL34" s="330">
        <v>6.99</v>
      </c>
      <c r="AM34" s="325">
        <v>3</v>
      </c>
      <c r="AN34" s="325">
        <v>3.99</v>
      </c>
      <c r="AO34" s="323">
        <v>4</v>
      </c>
      <c r="AP34" s="323">
        <v>4.99</v>
      </c>
      <c r="AQ34" s="325">
        <v>4</v>
      </c>
      <c r="AR34" s="325">
        <v>4.99</v>
      </c>
      <c r="AS34" s="331"/>
      <c r="AT34" s="331"/>
    </row>
    <row r="35" spans="1:46" ht="15.75" x14ac:dyDescent="0.25">
      <c r="A35" s="1"/>
      <c r="B35" s="1"/>
      <c r="C35" s="1"/>
      <c r="D35" s="1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  <c r="Q35" s="1"/>
      <c r="R35" s="1"/>
      <c r="AC35" s="341" t="s">
        <v>275</v>
      </c>
      <c r="AD35" s="1">
        <v>17</v>
      </c>
      <c r="AE35" s="288">
        <v>-628</v>
      </c>
      <c r="AF35" s="73"/>
      <c r="AG35" s="331"/>
      <c r="AH35" s="331"/>
      <c r="AI35" s="323">
        <v>6</v>
      </c>
      <c r="AJ35" s="333">
        <v>6.99</v>
      </c>
      <c r="AK35" s="323">
        <v>4</v>
      </c>
      <c r="AL35" s="323">
        <v>4.99</v>
      </c>
      <c r="AM35" s="325">
        <v>1</v>
      </c>
      <c r="AN35" s="325">
        <v>1.99</v>
      </c>
      <c r="AO35" s="331"/>
      <c r="AP35" s="328">
        <v>3.99</v>
      </c>
      <c r="AQ35" s="325">
        <v>1</v>
      </c>
      <c r="AR35" s="325">
        <v>1.99</v>
      </c>
      <c r="AS35" s="331"/>
      <c r="AT35" s="328">
        <v>4.99</v>
      </c>
    </row>
    <row r="36" spans="1:46" ht="15.75" x14ac:dyDescent="0.25">
      <c r="AC36" s="341" t="s">
        <v>276</v>
      </c>
      <c r="AD36" s="1">
        <v>17</v>
      </c>
      <c r="AE36" s="288">
        <v>1272</v>
      </c>
      <c r="AF36" s="73"/>
      <c r="AG36" s="322"/>
      <c r="AH36" s="322"/>
      <c r="AI36" s="325">
        <v>2</v>
      </c>
      <c r="AJ36" s="325">
        <v>2.99</v>
      </c>
      <c r="AK36" s="323">
        <v>6</v>
      </c>
      <c r="AL36" s="333">
        <v>6.99</v>
      </c>
      <c r="AM36" s="325">
        <v>3</v>
      </c>
      <c r="AN36" s="325">
        <v>3.99</v>
      </c>
      <c r="AO36" s="325">
        <v>3</v>
      </c>
      <c r="AP36" s="325">
        <v>3.99</v>
      </c>
      <c r="AQ36" s="325">
        <v>2</v>
      </c>
      <c r="AR36" s="325">
        <v>2.99</v>
      </c>
      <c r="AS36" s="325">
        <v>2</v>
      </c>
      <c r="AT36" s="325">
        <v>2.99</v>
      </c>
    </row>
    <row r="37" spans="1:46" ht="15.75" x14ac:dyDescent="0.25">
      <c r="AC37" s="341" t="s">
        <v>151</v>
      </c>
      <c r="AD37" s="1">
        <v>18</v>
      </c>
      <c r="AE37" s="288">
        <v>1200</v>
      </c>
      <c r="AF37" s="73"/>
      <c r="AG37" s="86"/>
      <c r="AH37" s="86"/>
      <c r="AI37" s="325">
        <v>6</v>
      </c>
      <c r="AJ37" s="330">
        <v>6.99</v>
      </c>
      <c r="AK37" s="325">
        <v>6.7</v>
      </c>
      <c r="AL37" s="330">
        <v>6.99</v>
      </c>
      <c r="AM37" s="325">
        <v>5</v>
      </c>
      <c r="AN37" s="326">
        <v>5.99</v>
      </c>
      <c r="AO37" s="325">
        <v>2</v>
      </c>
      <c r="AP37" s="325">
        <v>2.99</v>
      </c>
      <c r="AQ37" s="325">
        <v>3</v>
      </c>
      <c r="AR37" s="325">
        <v>3.99</v>
      </c>
      <c r="AS37" s="86"/>
      <c r="AT37" s="328">
        <v>2.99</v>
      </c>
    </row>
    <row r="38" spans="1:46" ht="15.75" x14ac:dyDescent="0.25">
      <c r="AC38" s="341" t="s">
        <v>277</v>
      </c>
      <c r="AD38" s="1">
        <v>18</v>
      </c>
      <c r="AE38" s="288">
        <v>1220</v>
      </c>
      <c r="AF38" s="73"/>
      <c r="AG38" s="331"/>
      <c r="AH38" s="328">
        <v>1.99</v>
      </c>
      <c r="AI38" s="323">
        <v>6</v>
      </c>
      <c r="AJ38" s="333">
        <v>6.99</v>
      </c>
      <c r="AK38" s="331"/>
      <c r="AL38" s="328">
        <v>3.99</v>
      </c>
      <c r="AM38" s="325">
        <v>3</v>
      </c>
      <c r="AN38" s="325">
        <v>3.99</v>
      </c>
      <c r="AO38" s="325">
        <v>2</v>
      </c>
      <c r="AP38" s="325">
        <v>2.99</v>
      </c>
      <c r="AQ38" s="325">
        <v>4</v>
      </c>
      <c r="AR38" s="325">
        <v>4.99</v>
      </c>
      <c r="AS38" s="331"/>
      <c r="AT38" s="327">
        <v>5.99</v>
      </c>
    </row>
    <row r="39" spans="1:46" ht="15.75" x14ac:dyDescent="0.25">
      <c r="AC39" s="341" t="s">
        <v>278</v>
      </c>
      <c r="AD39" s="1">
        <v>18</v>
      </c>
      <c r="AE39" s="288">
        <v>-673</v>
      </c>
      <c r="AF39" s="73"/>
      <c r="AG39" s="331"/>
      <c r="AH39" s="328">
        <v>1.99</v>
      </c>
      <c r="AI39" s="325">
        <v>2</v>
      </c>
      <c r="AJ39" s="325">
        <v>2.99</v>
      </c>
      <c r="AK39" s="325">
        <v>2</v>
      </c>
      <c r="AL39" s="325">
        <v>2.99</v>
      </c>
      <c r="AM39" s="325">
        <v>5</v>
      </c>
      <c r="AN39" s="326">
        <v>5.99</v>
      </c>
      <c r="AO39" s="328">
        <v>5</v>
      </c>
      <c r="AP39" s="329">
        <v>6.99</v>
      </c>
      <c r="AQ39" s="325">
        <v>4</v>
      </c>
      <c r="AR39" s="325">
        <v>4.99</v>
      </c>
      <c r="AS39" s="331"/>
      <c r="AT39" s="328">
        <v>4.99</v>
      </c>
    </row>
    <row r="40" spans="1:46" ht="15.75" x14ac:dyDescent="0.25">
      <c r="AC40" s="341" t="s">
        <v>78</v>
      </c>
      <c r="AD40" s="1">
        <v>17</v>
      </c>
      <c r="AE40" s="288">
        <v>1145</v>
      </c>
      <c r="AF40" s="73" t="s">
        <v>159</v>
      </c>
      <c r="AG40" s="331"/>
      <c r="AH40" s="328">
        <v>1.99</v>
      </c>
      <c r="AI40" s="325">
        <v>5</v>
      </c>
      <c r="AJ40" s="326">
        <v>5.99</v>
      </c>
      <c r="AK40" s="334">
        <v>7</v>
      </c>
      <c r="AL40" s="335">
        <v>7</v>
      </c>
      <c r="AM40" s="325">
        <v>1</v>
      </c>
      <c r="AN40" s="325">
        <v>1.99</v>
      </c>
      <c r="AO40" s="331"/>
      <c r="AP40" s="328">
        <v>2.99</v>
      </c>
      <c r="AQ40" s="325">
        <v>1</v>
      </c>
      <c r="AR40" s="325">
        <v>1.99</v>
      </c>
      <c r="AS40" s="331"/>
      <c r="AT40" s="331"/>
    </row>
    <row r="41" spans="1:46" ht="15.75" x14ac:dyDescent="0.25">
      <c r="AC41" s="341" t="s">
        <v>279</v>
      </c>
      <c r="AD41" s="1">
        <v>19</v>
      </c>
      <c r="AE41" s="288">
        <v>1042</v>
      </c>
      <c r="AF41" s="73" t="s">
        <v>156</v>
      </c>
      <c r="AG41" s="331"/>
      <c r="AH41" s="328">
        <v>1.99</v>
      </c>
      <c r="AI41" s="328">
        <v>5</v>
      </c>
      <c r="AJ41" s="329">
        <v>6.99</v>
      </c>
      <c r="AK41" s="323">
        <v>4</v>
      </c>
      <c r="AL41" s="323">
        <v>4.99</v>
      </c>
      <c r="AM41" s="325">
        <v>1</v>
      </c>
      <c r="AN41" s="325">
        <v>1.99</v>
      </c>
      <c r="AO41" s="331"/>
      <c r="AP41" s="328">
        <v>2.99</v>
      </c>
      <c r="AQ41" s="328">
        <v>2</v>
      </c>
      <c r="AR41" s="328">
        <v>3.99</v>
      </c>
      <c r="AS41" s="331"/>
      <c r="AT41" s="328">
        <v>1.99</v>
      </c>
    </row>
    <row r="42" spans="1:46" ht="15.75" x14ac:dyDescent="0.25">
      <c r="AC42" s="341" t="s">
        <v>280</v>
      </c>
      <c r="AD42" s="1">
        <v>19</v>
      </c>
      <c r="AE42" s="288">
        <v>-813</v>
      </c>
      <c r="AF42" s="73"/>
      <c r="AG42" s="86"/>
      <c r="AH42" s="328">
        <v>0.99</v>
      </c>
      <c r="AI42" s="325">
        <v>3</v>
      </c>
      <c r="AJ42" s="325">
        <v>3.99</v>
      </c>
      <c r="AK42" s="323">
        <v>5</v>
      </c>
      <c r="AL42" s="324">
        <v>5.99</v>
      </c>
      <c r="AM42" s="325">
        <v>5</v>
      </c>
      <c r="AN42" s="326">
        <v>5.99</v>
      </c>
      <c r="AO42" s="86"/>
      <c r="AP42" s="86">
        <v>3.99</v>
      </c>
      <c r="AQ42" s="86"/>
      <c r="AR42" s="327">
        <v>5.99</v>
      </c>
      <c r="AS42" s="86"/>
      <c r="AT42" s="86"/>
    </row>
    <row r="43" spans="1:46" ht="15.75" x14ac:dyDescent="0.25">
      <c r="Z43" s="28"/>
      <c r="AC43" s="341" t="s">
        <v>281</v>
      </c>
      <c r="AD43" s="1">
        <v>18</v>
      </c>
      <c r="AE43" s="288">
        <v>4</v>
      </c>
      <c r="AF43" s="73" t="s">
        <v>156</v>
      </c>
      <c r="AG43" s="331"/>
      <c r="AH43" s="328">
        <v>1.99</v>
      </c>
      <c r="AI43" s="325">
        <v>4</v>
      </c>
      <c r="AJ43" s="325">
        <v>4.99</v>
      </c>
      <c r="AK43" s="325">
        <v>3</v>
      </c>
      <c r="AL43" s="325">
        <v>3.99</v>
      </c>
      <c r="AM43" s="331"/>
      <c r="AN43" s="329">
        <v>6.99</v>
      </c>
      <c r="AO43" s="331"/>
      <c r="AP43" s="328">
        <v>3.99</v>
      </c>
      <c r="AQ43" s="325">
        <v>2</v>
      </c>
      <c r="AR43" s="325">
        <v>2.99</v>
      </c>
      <c r="AS43" s="331"/>
      <c r="AT43" s="331">
        <v>3.99</v>
      </c>
    </row>
    <row r="44" spans="1:46" ht="15.75" x14ac:dyDescent="0.25">
      <c r="AC44" s="341" t="s">
        <v>282</v>
      </c>
      <c r="AD44" s="1">
        <v>16</v>
      </c>
      <c r="AE44" s="288">
        <v>-718</v>
      </c>
      <c r="AF44" s="73" t="s">
        <v>159</v>
      </c>
      <c r="AG44" s="86"/>
      <c r="AH44" s="328">
        <v>1.99</v>
      </c>
      <c r="AI44" s="325">
        <v>1</v>
      </c>
      <c r="AJ44" s="325">
        <v>1.99</v>
      </c>
      <c r="AK44" s="323">
        <v>6</v>
      </c>
      <c r="AL44" s="333">
        <v>6.99</v>
      </c>
      <c r="AM44" s="86"/>
      <c r="AN44" s="328">
        <v>3.99</v>
      </c>
      <c r="AO44" s="86"/>
      <c r="AP44" s="328">
        <v>3.99</v>
      </c>
      <c r="AQ44" s="325">
        <v>2</v>
      </c>
      <c r="AR44" s="325">
        <v>2.99</v>
      </c>
      <c r="AS44" s="86"/>
      <c r="AT44" s="328">
        <v>2.99</v>
      </c>
    </row>
    <row r="45" spans="1:46" ht="15.75" x14ac:dyDescent="0.25">
      <c r="AC45" s="341" t="s">
        <v>283</v>
      </c>
      <c r="AD45" s="1">
        <v>18</v>
      </c>
      <c r="AE45" s="288">
        <v>1028</v>
      </c>
      <c r="AF45" s="73"/>
      <c r="AG45" s="331"/>
      <c r="AH45" s="331"/>
      <c r="AI45" s="323">
        <v>5</v>
      </c>
      <c r="AJ45" s="324">
        <v>5.99</v>
      </c>
      <c r="AK45" s="325">
        <v>6</v>
      </c>
      <c r="AL45" s="330">
        <v>6.99</v>
      </c>
      <c r="AM45" s="325">
        <v>2</v>
      </c>
      <c r="AN45" s="325">
        <v>2.99</v>
      </c>
      <c r="AO45" s="331"/>
      <c r="AP45" s="328">
        <v>2.99</v>
      </c>
      <c r="AQ45" s="325">
        <v>4</v>
      </c>
      <c r="AR45" s="325">
        <v>4.99</v>
      </c>
      <c r="AS45" s="331"/>
      <c r="AT45" s="331"/>
    </row>
    <row r="46" spans="1:46" ht="15.75" x14ac:dyDescent="0.25">
      <c r="AC46" s="341" t="s">
        <v>284</v>
      </c>
      <c r="AD46" s="1">
        <v>17</v>
      </c>
      <c r="AE46" s="288">
        <v>932</v>
      </c>
      <c r="AF46" s="73"/>
      <c r="AG46" s="331"/>
      <c r="AH46" s="331"/>
      <c r="AI46" s="325">
        <v>2</v>
      </c>
      <c r="AJ46" s="325">
        <v>2.99</v>
      </c>
      <c r="AK46" s="323">
        <v>7</v>
      </c>
      <c r="AL46" s="333">
        <v>7</v>
      </c>
      <c r="AM46" s="323">
        <v>3</v>
      </c>
      <c r="AN46" s="323">
        <v>3.99</v>
      </c>
      <c r="AO46" s="325">
        <v>1</v>
      </c>
      <c r="AP46" s="325">
        <v>1.99</v>
      </c>
      <c r="AQ46" s="331"/>
      <c r="AR46" s="328">
        <v>3.99</v>
      </c>
      <c r="AS46" s="331"/>
      <c r="AT46" s="331"/>
    </row>
    <row r="47" spans="1:46" ht="15.75" x14ac:dyDescent="0.25">
      <c r="AC47" s="341" t="s">
        <v>285</v>
      </c>
      <c r="AD47" s="1">
        <v>18</v>
      </c>
      <c r="AE47" s="288">
        <v>1032</v>
      </c>
      <c r="AF47" s="73" t="s">
        <v>163</v>
      </c>
      <c r="AG47" s="331"/>
      <c r="AH47" s="328">
        <v>1.99</v>
      </c>
      <c r="AI47" s="331"/>
      <c r="AJ47" s="328">
        <v>2.99</v>
      </c>
      <c r="AK47" s="325">
        <v>3</v>
      </c>
      <c r="AL47" s="325">
        <v>3.99</v>
      </c>
      <c r="AM47" s="325">
        <v>5</v>
      </c>
      <c r="AN47" s="326">
        <v>5.99</v>
      </c>
      <c r="AO47" s="325">
        <v>6</v>
      </c>
      <c r="AP47" s="330">
        <v>6.99</v>
      </c>
      <c r="AQ47" s="325">
        <v>2</v>
      </c>
      <c r="AR47" s="325">
        <v>2.99</v>
      </c>
      <c r="AS47" s="325">
        <v>4</v>
      </c>
      <c r="AT47" s="325">
        <v>4.99</v>
      </c>
    </row>
    <row r="48" spans="1:46" ht="15.75" x14ac:dyDescent="0.25">
      <c r="AC48" s="341" t="s">
        <v>286</v>
      </c>
      <c r="AD48" s="1">
        <v>17</v>
      </c>
      <c r="AE48" s="288">
        <v>959</v>
      </c>
      <c r="AF48" s="73"/>
      <c r="AG48" s="336"/>
      <c r="AH48" s="336">
        <v>1.99</v>
      </c>
      <c r="AI48" s="336"/>
      <c r="AJ48" s="328">
        <v>3.99</v>
      </c>
      <c r="AK48" s="323">
        <v>5</v>
      </c>
      <c r="AL48" s="324">
        <v>5.99</v>
      </c>
      <c r="AM48" s="331"/>
      <c r="AN48" s="328">
        <v>2.99</v>
      </c>
      <c r="AO48" s="325">
        <v>5</v>
      </c>
      <c r="AP48" s="326">
        <v>5.99</v>
      </c>
      <c r="AQ48" s="323">
        <v>4</v>
      </c>
      <c r="AR48" s="323">
        <v>4.99</v>
      </c>
      <c r="AS48" s="331"/>
      <c r="AT48" s="331">
        <v>3.99</v>
      </c>
    </row>
    <row r="49" spans="29:46" ht="15.75" x14ac:dyDescent="0.25">
      <c r="AC49" s="341" t="s">
        <v>287</v>
      </c>
      <c r="AD49" s="1">
        <v>17</v>
      </c>
      <c r="AE49" s="288">
        <v>852</v>
      </c>
      <c r="AF49" s="73"/>
      <c r="AG49" s="86"/>
      <c r="AH49" s="86"/>
      <c r="AI49" s="86"/>
      <c r="AJ49" s="328">
        <v>4.99</v>
      </c>
      <c r="AK49" s="325">
        <v>3</v>
      </c>
      <c r="AL49" s="325">
        <v>3.99</v>
      </c>
      <c r="AM49" s="323">
        <v>5</v>
      </c>
      <c r="AN49" s="324">
        <v>5.99</v>
      </c>
      <c r="AO49" s="86"/>
      <c r="AP49" s="328">
        <v>2.99</v>
      </c>
      <c r="AQ49" s="325">
        <v>4</v>
      </c>
      <c r="AR49" s="325">
        <v>4.99</v>
      </c>
      <c r="AS49" s="86"/>
      <c r="AT49" s="86"/>
    </row>
    <row r="50" spans="29:46" ht="15.75" x14ac:dyDescent="0.25">
      <c r="AC50" s="341" t="s">
        <v>288</v>
      </c>
      <c r="AD50" s="1">
        <v>18</v>
      </c>
      <c r="AE50" s="288">
        <v>908</v>
      </c>
      <c r="AF50" s="73" t="s">
        <v>159</v>
      </c>
      <c r="AG50" s="331"/>
      <c r="AH50" s="331"/>
      <c r="AI50" s="328">
        <v>4</v>
      </c>
      <c r="AJ50" s="327">
        <v>5.99</v>
      </c>
      <c r="AK50" s="325">
        <v>3</v>
      </c>
      <c r="AL50" s="325">
        <v>3.99</v>
      </c>
      <c r="AM50" s="323">
        <v>6</v>
      </c>
      <c r="AN50" s="333">
        <v>6.99</v>
      </c>
      <c r="AO50" s="328">
        <v>6</v>
      </c>
      <c r="AP50" s="329">
        <v>7</v>
      </c>
      <c r="AQ50" s="325">
        <v>4</v>
      </c>
      <c r="AR50" s="325">
        <v>4.99</v>
      </c>
      <c r="AS50" s="331"/>
      <c r="AT50" s="328">
        <v>2.99</v>
      </c>
    </row>
    <row r="51" spans="29:46" ht="15.75" x14ac:dyDescent="0.25">
      <c r="AC51" s="341" t="s">
        <v>289</v>
      </c>
      <c r="AD51" s="1">
        <v>17</v>
      </c>
      <c r="AE51" s="288">
        <v>856</v>
      </c>
      <c r="AF51" s="73" t="s">
        <v>159</v>
      </c>
      <c r="AG51" s="331"/>
      <c r="AH51" s="328">
        <v>0.99</v>
      </c>
      <c r="AI51" s="328">
        <v>4</v>
      </c>
      <c r="AJ51" s="327">
        <v>5.99</v>
      </c>
      <c r="AK51" s="325">
        <v>3</v>
      </c>
      <c r="AL51" s="325">
        <v>3.99</v>
      </c>
      <c r="AM51" s="325">
        <v>3</v>
      </c>
      <c r="AN51" s="325">
        <v>3.99</v>
      </c>
      <c r="AO51" s="325">
        <v>5.3</v>
      </c>
      <c r="AP51" s="326">
        <v>5.99</v>
      </c>
      <c r="AQ51" s="328">
        <v>5</v>
      </c>
      <c r="AR51" s="329">
        <v>6.99</v>
      </c>
      <c r="AS51" s="331"/>
      <c r="AT51" s="331"/>
    </row>
    <row r="52" spans="29:46" ht="15.75" x14ac:dyDescent="0.25">
      <c r="AC52" s="341" t="s">
        <v>290</v>
      </c>
      <c r="AD52" s="1">
        <v>18</v>
      </c>
      <c r="AE52" s="288">
        <v>-975</v>
      </c>
      <c r="AF52" s="73" t="s">
        <v>163</v>
      </c>
      <c r="AG52" s="331"/>
      <c r="AH52" s="328">
        <v>1.99</v>
      </c>
      <c r="AI52" s="328">
        <v>4</v>
      </c>
      <c r="AJ52" s="327">
        <v>5.99</v>
      </c>
      <c r="AK52" s="323">
        <v>5</v>
      </c>
      <c r="AL52" s="324">
        <v>5.99</v>
      </c>
      <c r="AM52" s="323">
        <v>4</v>
      </c>
      <c r="AN52" s="323">
        <v>4.99</v>
      </c>
      <c r="AO52" s="325">
        <v>4</v>
      </c>
      <c r="AP52" s="325">
        <v>4.99</v>
      </c>
      <c r="AQ52" s="323">
        <v>3</v>
      </c>
      <c r="AR52" s="323">
        <v>3.99</v>
      </c>
      <c r="AS52" s="331"/>
      <c r="AT52" s="331"/>
    </row>
    <row r="53" spans="29:46" ht="15.75" x14ac:dyDescent="0.25">
      <c r="AC53" s="341" t="s">
        <v>291</v>
      </c>
      <c r="AD53" s="1">
        <v>17</v>
      </c>
      <c r="AE53" s="288">
        <v>724</v>
      </c>
      <c r="AF53" s="73"/>
      <c r="AG53" s="331"/>
      <c r="AH53" s="328">
        <v>1.99</v>
      </c>
      <c r="AI53" s="325">
        <v>4</v>
      </c>
      <c r="AJ53" s="325">
        <v>4.99</v>
      </c>
      <c r="AK53" s="323">
        <v>6</v>
      </c>
      <c r="AL53" s="333">
        <v>6.99</v>
      </c>
      <c r="AM53" s="331"/>
      <c r="AN53" s="328">
        <v>3.99</v>
      </c>
      <c r="AO53" s="325">
        <v>2</v>
      </c>
      <c r="AP53" s="325">
        <v>2.99</v>
      </c>
      <c r="AQ53" s="325">
        <v>3</v>
      </c>
      <c r="AR53" s="325">
        <v>3.99</v>
      </c>
      <c r="AS53" s="331"/>
      <c r="AT53" s="327">
        <v>5.99</v>
      </c>
    </row>
    <row r="54" spans="29:46" ht="15.75" x14ac:dyDescent="0.25">
      <c r="AC54" s="341" t="s">
        <v>292</v>
      </c>
      <c r="AD54" s="1">
        <v>17</v>
      </c>
      <c r="AE54" s="288">
        <v>789</v>
      </c>
      <c r="AF54" s="73" t="s">
        <v>163</v>
      </c>
      <c r="AG54" s="86"/>
      <c r="AH54" s="86"/>
      <c r="AI54" s="323">
        <v>5</v>
      </c>
      <c r="AJ54" s="324">
        <v>5.99</v>
      </c>
      <c r="AK54" s="86"/>
      <c r="AL54" s="328">
        <v>2.99</v>
      </c>
      <c r="AM54" s="328">
        <v>5</v>
      </c>
      <c r="AN54" s="329">
        <v>7</v>
      </c>
      <c r="AO54" s="325">
        <v>3</v>
      </c>
      <c r="AP54" s="325">
        <v>3.99</v>
      </c>
      <c r="AQ54" s="325">
        <v>3</v>
      </c>
      <c r="AR54" s="325">
        <v>3.99</v>
      </c>
      <c r="AS54" s="86"/>
      <c r="AT54" s="328">
        <v>3.99</v>
      </c>
    </row>
    <row r="55" spans="29:46" ht="15.75" x14ac:dyDescent="0.25">
      <c r="AC55" s="341" t="s">
        <v>293</v>
      </c>
      <c r="AD55" s="1">
        <v>16</v>
      </c>
      <c r="AE55" s="288">
        <v>796</v>
      </c>
      <c r="AF55" s="73" t="s">
        <v>159</v>
      </c>
      <c r="AG55" s="331"/>
      <c r="AH55" s="331"/>
      <c r="AI55" s="325">
        <v>2</v>
      </c>
      <c r="AJ55" s="325">
        <v>2.99</v>
      </c>
      <c r="AK55" s="323">
        <v>5</v>
      </c>
      <c r="AL55" s="324">
        <v>5.99</v>
      </c>
      <c r="AM55" s="323">
        <v>5</v>
      </c>
      <c r="AN55" s="324">
        <v>5.99</v>
      </c>
      <c r="AO55" s="325">
        <v>4</v>
      </c>
      <c r="AP55" s="325">
        <v>4.99</v>
      </c>
      <c r="AQ55" s="325">
        <v>3</v>
      </c>
      <c r="AR55" s="325">
        <v>3.99</v>
      </c>
      <c r="AS55" s="331"/>
      <c r="AT55" s="331"/>
    </row>
    <row r="56" spans="29:46" ht="15.75" x14ac:dyDescent="0.25">
      <c r="AC56" s="341" t="s">
        <v>294</v>
      </c>
      <c r="AD56" s="1">
        <v>17</v>
      </c>
      <c r="AE56" s="288">
        <v>681</v>
      </c>
      <c r="AF56" s="73" t="s">
        <v>182</v>
      </c>
      <c r="AG56" s="331"/>
      <c r="AH56" s="328">
        <v>1.99</v>
      </c>
      <c r="AI56" s="325">
        <v>3</v>
      </c>
      <c r="AJ56" s="325">
        <v>3.99</v>
      </c>
      <c r="AK56" s="323">
        <v>5</v>
      </c>
      <c r="AL56" s="324">
        <v>5.99</v>
      </c>
      <c r="AM56" s="331"/>
      <c r="AN56" s="328">
        <v>2.99</v>
      </c>
      <c r="AO56" s="325">
        <v>4</v>
      </c>
      <c r="AP56" s="325">
        <v>4.99</v>
      </c>
      <c r="AQ56" s="325">
        <v>4</v>
      </c>
      <c r="AR56" s="325">
        <v>4.99</v>
      </c>
      <c r="AS56" s="325">
        <v>2</v>
      </c>
      <c r="AT56" s="325">
        <v>2.99</v>
      </c>
    </row>
    <row r="57" spans="29:46" ht="15.75" x14ac:dyDescent="0.25">
      <c r="AC57" s="341" t="s">
        <v>295</v>
      </c>
      <c r="AD57" s="1">
        <v>19</v>
      </c>
      <c r="AE57" s="288">
        <v>686</v>
      </c>
      <c r="AF57" s="73" t="s">
        <v>156</v>
      </c>
      <c r="AG57" s="331"/>
      <c r="AH57" s="328">
        <v>1.99</v>
      </c>
      <c r="AI57" s="325">
        <v>2</v>
      </c>
      <c r="AJ57" s="325">
        <v>2.99</v>
      </c>
      <c r="AK57" s="325">
        <v>3</v>
      </c>
      <c r="AL57" s="325">
        <v>3.99</v>
      </c>
      <c r="AM57" s="328">
        <v>4</v>
      </c>
      <c r="AN57" s="327">
        <v>5.99</v>
      </c>
      <c r="AO57" s="325">
        <v>4</v>
      </c>
      <c r="AP57" s="325">
        <v>4.99</v>
      </c>
      <c r="AQ57" s="325">
        <v>5</v>
      </c>
      <c r="AR57" s="326">
        <v>5.99</v>
      </c>
      <c r="AS57" s="331"/>
      <c r="AT57" s="328">
        <v>3.99</v>
      </c>
    </row>
    <row r="58" spans="29:46" ht="15.75" x14ac:dyDescent="0.25">
      <c r="AC58" s="341" t="s">
        <v>296</v>
      </c>
      <c r="AD58" s="1">
        <v>17</v>
      </c>
      <c r="AE58" s="288">
        <v>736</v>
      </c>
      <c r="AF58" s="73" t="s">
        <v>182</v>
      </c>
      <c r="AG58" s="331"/>
      <c r="AH58" s="328">
        <v>1.99</v>
      </c>
      <c r="AI58" s="325">
        <v>1</v>
      </c>
      <c r="AJ58" s="325">
        <v>1.99</v>
      </c>
      <c r="AK58" s="323">
        <v>6</v>
      </c>
      <c r="AL58" s="333">
        <v>6.99</v>
      </c>
      <c r="AM58" s="331"/>
      <c r="AN58" s="328">
        <v>2.99</v>
      </c>
      <c r="AO58" s="331"/>
      <c r="AP58" s="328">
        <v>3.99</v>
      </c>
      <c r="AQ58" s="331"/>
      <c r="AR58" s="328">
        <v>3.99</v>
      </c>
      <c r="AS58" s="331"/>
      <c r="AT58" s="328">
        <v>2.99</v>
      </c>
    </row>
    <row r="59" spans="29:46" ht="15.75" x14ac:dyDescent="0.25">
      <c r="AC59" s="341" t="s">
        <v>297</v>
      </c>
      <c r="AD59" s="1">
        <v>16</v>
      </c>
      <c r="AE59" s="288">
        <v>774</v>
      </c>
      <c r="AF59" s="73"/>
      <c r="AG59" s="331"/>
      <c r="AH59" s="328">
        <v>1.99</v>
      </c>
      <c r="AI59" s="328">
        <v>4</v>
      </c>
      <c r="AJ59" s="327">
        <v>5.99</v>
      </c>
      <c r="AK59" s="328">
        <v>4</v>
      </c>
      <c r="AL59" s="327">
        <v>5.99</v>
      </c>
      <c r="AM59" s="325">
        <v>5</v>
      </c>
      <c r="AN59" s="326">
        <v>5.99</v>
      </c>
      <c r="AO59" s="331"/>
      <c r="AP59" s="328">
        <v>3.99</v>
      </c>
      <c r="AQ59" s="331"/>
      <c r="AR59" s="328">
        <v>3.99</v>
      </c>
      <c r="AS59" s="331"/>
      <c r="AT59" s="328">
        <v>2.99</v>
      </c>
    </row>
    <row r="60" spans="29:46" ht="15.75" x14ac:dyDescent="0.25">
      <c r="AC60" s="341" t="s">
        <v>298</v>
      </c>
      <c r="AD60" s="1">
        <v>17</v>
      </c>
      <c r="AE60" s="288">
        <v>761</v>
      </c>
      <c r="AF60" s="73" t="s">
        <v>159</v>
      </c>
      <c r="AG60" s="86"/>
      <c r="AH60" s="328">
        <v>1.99</v>
      </c>
      <c r="AI60" s="323">
        <v>3</v>
      </c>
      <c r="AJ60" s="323">
        <v>3.99</v>
      </c>
      <c r="AK60" s="328">
        <v>5</v>
      </c>
      <c r="AL60" s="329">
        <v>6.99</v>
      </c>
      <c r="AM60" s="86"/>
      <c r="AN60" s="328">
        <v>2.99</v>
      </c>
      <c r="AO60" s="325">
        <v>2</v>
      </c>
      <c r="AP60" s="325">
        <v>2.99</v>
      </c>
      <c r="AQ60" s="86"/>
      <c r="AR60" s="327">
        <v>5.99</v>
      </c>
      <c r="AS60" s="325">
        <v>2</v>
      </c>
      <c r="AT60" s="325">
        <v>2.99</v>
      </c>
    </row>
    <row r="61" spans="29:46" ht="15.75" x14ac:dyDescent="0.25">
      <c r="AC61" s="341" t="s">
        <v>299</v>
      </c>
      <c r="AD61" s="1">
        <v>19</v>
      </c>
      <c r="AE61" s="288">
        <v>633</v>
      </c>
      <c r="AF61" s="73"/>
      <c r="AG61" s="331"/>
      <c r="AH61" s="331"/>
      <c r="AI61" s="328">
        <v>5</v>
      </c>
      <c r="AJ61" s="329">
        <v>6.99</v>
      </c>
      <c r="AK61" s="323">
        <v>4</v>
      </c>
      <c r="AL61" s="323">
        <v>4.99</v>
      </c>
      <c r="AM61" s="323">
        <v>4</v>
      </c>
      <c r="AN61" s="323">
        <v>4.99</v>
      </c>
      <c r="AO61" s="325">
        <v>3</v>
      </c>
      <c r="AP61" s="325">
        <v>3.99</v>
      </c>
      <c r="AQ61" s="325">
        <v>3</v>
      </c>
      <c r="AR61" s="325">
        <v>3.99</v>
      </c>
      <c r="AS61" s="331"/>
      <c r="AT61" s="331"/>
    </row>
    <row r="62" spans="29:46" ht="15.75" x14ac:dyDescent="0.25">
      <c r="AC62" s="341" t="s">
        <v>300</v>
      </c>
      <c r="AD62" s="1">
        <v>16</v>
      </c>
      <c r="AE62" s="288">
        <v>679</v>
      </c>
      <c r="AF62" s="73"/>
      <c r="AG62" s="331"/>
      <c r="AH62" s="328">
        <v>1.99</v>
      </c>
      <c r="AI62" s="323">
        <v>5</v>
      </c>
      <c r="AJ62" s="324">
        <v>5.99</v>
      </c>
      <c r="AK62" s="325">
        <v>3</v>
      </c>
      <c r="AL62" s="325">
        <v>3.99</v>
      </c>
      <c r="AM62" s="325">
        <v>4</v>
      </c>
      <c r="AN62" s="325">
        <v>4.99</v>
      </c>
      <c r="AO62" s="328">
        <v>3</v>
      </c>
      <c r="AP62" s="328">
        <v>4.99</v>
      </c>
      <c r="AQ62" s="325">
        <v>1</v>
      </c>
      <c r="AR62" s="325">
        <v>1.99</v>
      </c>
      <c r="AS62" s="331"/>
      <c r="AT62" s="328">
        <v>2.99</v>
      </c>
    </row>
    <row r="63" spans="29:46" ht="15.75" x14ac:dyDescent="0.25">
      <c r="AC63" s="341" t="s">
        <v>301</v>
      </c>
      <c r="AD63" s="1">
        <v>16</v>
      </c>
      <c r="AE63" s="288">
        <v>663</v>
      </c>
      <c r="AF63" s="73" t="s">
        <v>146</v>
      </c>
      <c r="AG63" s="331"/>
      <c r="AH63" s="331"/>
      <c r="AI63" s="325">
        <v>4</v>
      </c>
      <c r="AJ63" s="325">
        <v>4.99</v>
      </c>
      <c r="AK63" s="325">
        <v>5</v>
      </c>
      <c r="AL63" s="326">
        <v>5.99</v>
      </c>
      <c r="AM63" s="323">
        <v>4</v>
      </c>
      <c r="AN63" s="323">
        <v>4.99</v>
      </c>
      <c r="AO63" s="331"/>
      <c r="AP63" s="328">
        <v>3.99</v>
      </c>
      <c r="AQ63" s="325">
        <v>3</v>
      </c>
      <c r="AR63" s="325">
        <v>3.99</v>
      </c>
      <c r="AS63" s="331"/>
      <c r="AT63" s="331"/>
    </row>
    <row r="64" spans="29:46" ht="15.75" x14ac:dyDescent="0.25">
      <c r="AC64" s="341" t="s">
        <v>302</v>
      </c>
      <c r="AD64" s="1">
        <v>16</v>
      </c>
      <c r="AE64" s="288">
        <v>644</v>
      </c>
      <c r="AF64" s="73"/>
      <c r="AG64" s="331"/>
      <c r="AH64" s="328">
        <v>1.99</v>
      </c>
      <c r="AI64" s="323">
        <v>3</v>
      </c>
      <c r="AJ64" s="323">
        <v>3.99</v>
      </c>
      <c r="AK64" s="323">
        <v>6</v>
      </c>
      <c r="AL64" s="333">
        <v>6.99</v>
      </c>
      <c r="AM64" s="323">
        <v>5</v>
      </c>
      <c r="AN64" s="324">
        <v>5.99</v>
      </c>
      <c r="AO64" s="331"/>
      <c r="AP64" s="328">
        <v>2.99</v>
      </c>
      <c r="AQ64" s="325">
        <v>3</v>
      </c>
      <c r="AR64" s="325">
        <v>3.99</v>
      </c>
      <c r="AS64" s="331"/>
      <c r="AT64" s="331"/>
    </row>
    <row r="65" spans="29:46" ht="15.75" x14ac:dyDescent="0.25">
      <c r="AC65" s="341" t="s">
        <v>303</v>
      </c>
      <c r="AD65" s="1">
        <v>16</v>
      </c>
      <c r="AE65" s="288">
        <v>607</v>
      </c>
      <c r="AF65" s="73" t="s">
        <v>156</v>
      </c>
      <c r="AG65" s="331"/>
      <c r="AH65" s="331"/>
      <c r="AI65" s="325">
        <v>4</v>
      </c>
      <c r="AJ65" s="325">
        <v>4.99</v>
      </c>
      <c r="AK65" s="323">
        <v>4</v>
      </c>
      <c r="AL65" s="323">
        <v>4.99</v>
      </c>
      <c r="AM65" s="325">
        <v>4</v>
      </c>
      <c r="AN65" s="325">
        <v>4.99</v>
      </c>
      <c r="AO65" s="323">
        <v>4</v>
      </c>
      <c r="AP65" s="323">
        <v>4.99</v>
      </c>
      <c r="AQ65" s="323">
        <v>5</v>
      </c>
      <c r="AR65" s="324">
        <v>5.99</v>
      </c>
      <c r="AS65" s="331"/>
      <c r="AT65" s="328">
        <v>2.99</v>
      </c>
    </row>
    <row r="66" spans="29:46" ht="15.75" x14ac:dyDescent="0.25">
      <c r="AC66" s="341" t="s">
        <v>304</v>
      </c>
      <c r="AD66" s="1">
        <v>17</v>
      </c>
      <c r="AE66" s="288">
        <v>621</v>
      </c>
      <c r="AF66" s="73" t="s">
        <v>156</v>
      </c>
      <c r="AG66" s="86"/>
      <c r="AH66" s="86"/>
      <c r="AI66" s="328">
        <v>3</v>
      </c>
      <c r="AJ66" s="328">
        <v>4.99</v>
      </c>
      <c r="AK66" s="328">
        <v>5</v>
      </c>
      <c r="AL66" s="329">
        <v>6.99</v>
      </c>
      <c r="AM66" s="325">
        <v>5</v>
      </c>
      <c r="AN66" s="326">
        <v>5.99</v>
      </c>
      <c r="AO66" s="86"/>
      <c r="AP66" s="328">
        <v>2.99</v>
      </c>
      <c r="AQ66" s="323">
        <v>5</v>
      </c>
      <c r="AR66" s="324">
        <v>5.99</v>
      </c>
      <c r="AS66" s="86"/>
      <c r="AT66" s="328">
        <v>3.99</v>
      </c>
    </row>
    <row r="67" spans="29:46" ht="15.75" x14ac:dyDescent="0.25">
      <c r="AC67" s="341" t="s">
        <v>305</v>
      </c>
      <c r="AD67" s="1">
        <v>16</v>
      </c>
      <c r="AE67" s="288">
        <v>571</v>
      </c>
      <c r="AF67" s="73"/>
      <c r="AG67" s="331"/>
      <c r="AH67" s="328">
        <v>1.99</v>
      </c>
      <c r="AI67" s="323">
        <v>4</v>
      </c>
      <c r="AJ67" s="323">
        <v>4.99</v>
      </c>
      <c r="AK67" s="325">
        <v>3</v>
      </c>
      <c r="AL67" s="325">
        <v>3.99</v>
      </c>
      <c r="AM67" s="328">
        <v>7</v>
      </c>
      <c r="AN67" s="329">
        <v>7</v>
      </c>
      <c r="AO67" s="325">
        <v>2</v>
      </c>
      <c r="AP67" s="325">
        <v>2.99</v>
      </c>
      <c r="AQ67" s="323">
        <v>4</v>
      </c>
      <c r="AR67" s="323">
        <v>4.99</v>
      </c>
      <c r="AS67" s="331"/>
      <c r="AT67" s="331"/>
    </row>
    <row r="68" spans="29:46" ht="15.75" x14ac:dyDescent="0.25">
      <c r="AC68" s="341" t="s">
        <v>306</v>
      </c>
      <c r="AD68" s="1">
        <v>17</v>
      </c>
      <c r="AE68" s="288">
        <v>467</v>
      </c>
      <c r="AF68" s="73"/>
      <c r="AG68" s="86"/>
      <c r="AH68" s="86"/>
      <c r="AI68" s="86"/>
      <c r="AJ68" s="328">
        <v>2.99</v>
      </c>
      <c r="AK68" s="325">
        <v>2</v>
      </c>
      <c r="AL68" s="325">
        <v>2.99</v>
      </c>
      <c r="AM68" s="325">
        <v>5</v>
      </c>
      <c r="AN68" s="326">
        <v>5.99</v>
      </c>
      <c r="AO68" s="86"/>
      <c r="AP68" s="327">
        <v>5.99</v>
      </c>
      <c r="AQ68" s="323">
        <v>3</v>
      </c>
      <c r="AR68" s="323">
        <v>3.99</v>
      </c>
      <c r="AS68" s="86"/>
      <c r="AT68" s="86"/>
    </row>
    <row r="69" spans="29:46" ht="15.75" x14ac:dyDescent="0.25">
      <c r="AC69" s="341" t="s">
        <v>307</v>
      </c>
      <c r="AD69" s="1">
        <v>16</v>
      </c>
      <c r="AE69" s="288">
        <v>475</v>
      </c>
      <c r="AF69" s="73"/>
      <c r="AG69" s="331"/>
      <c r="AH69" s="328">
        <v>1.99</v>
      </c>
      <c r="AI69" s="331"/>
      <c r="AJ69" s="328">
        <v>3.99</v>
      </c>
      <c r="AK69" s="323">
        <v>5</v>
      </c>
      <c r="AL69" s="324">
        <v>5.99</v>
      </c>
      <c r="AM69" s="323">
        <v>6</v>
      </c>
      <c r="AN69" s="333">
        <v>6.99</v>
      </c>
      <c r="AO69" s="331"/>
      <c r="AP69" s="331"/>
      <c r="AQ69" s="325">
        <v>2</v>
      </c>
      <c r="AR69" s="325">
        <v>2.99</v>
      </c>
      <c r="AS69" s="331"/>
      <c r="AT69" s="331"/>
    </row>
    <row r="70" spans="29:46" ht="15.75" x14ac:dyDescent="0.25">
      <c r="AC70" s="341" t="s">
        <v>308</v>
      </c>
      <c r="AD70" s="1">
        <v>16</v>
      </c>
      <c r="AE70" s="288">
        <v>422</v>
      </c>
      <c r="AF70" s="73"/>
      <c r="AG70" s="331"/>
      <c r="AH70" s="331"/>
      <c r="AI70" s="325">
        <v>1</v>
      </c>
      <c r="AJ70" s="325">
        <v>1.99</v>
      </c>
      <c r="AK70" s="323">
        <v>5</v>
      </c>
      <c r="AL70" s="324">
        <v>5.99</v>
      </c>
      <c r="AM70" s="323">
        <v>4</v>
      </c>
      <c r="AN70" s="323">
        <v>4.99</v>
      </c>
      <c r="AO70" s="331"/>
      <c r="AP70" s="328">
        <v>2.99</v>
      </c>
      <c r="AQ70" s="331"/>
      <c r="AR70" s="328">
        <v>2.99</v>
      </c>
      <c r="AS70" s="331"/>
      <c r="AT70" s="331"/>
    </row>
    <row r="71" spans="29:46" ht="15.75" x14ac:dyDescent="0.25">
      <c r="AC71" s="341" t="s">
        <v>309</v>
      </c>
      <c r="AD71" s="1">
        <v>16</v>
      </c>
      <c r="AE71" s="288">
        <v>434</v>
      </c>
      <c r="AF71" s="73"/>
      <c r="AG71" s="331"/>
      <c r="AH71" s="328">
        <v>1.99</v>
      </c>
      <c r="AI71" s="328">
        <v>3</v>
      </c>
      <c r="AJ71" s="328">
        <v>4.99</v>
      </c>
      <c r="AK71" s="323">
        <v>2</v>
      </c>
      <c r="AL71" s="323">
        <v>2.99</v>
      </c>
      <c r="AM71" s="328">
        <v>4</v>
      </c>
      <c r="AN71" s="329">
        <v>6.99</v>
      </c>
      <c r="AO71" s="331"/>
      <c r="AP71" s="328">
        <v>2.99</v>
      </c>
      <c r="AQ71" s="331"/>
      <c r="AR71" s="329">
        <v>6.99</v>
      </c>
      <c r="AS71" s="331"/>
      <c r="AT71" s="331"/>
    </row>
    <row r="72" spans="29:46" ht="15.75" x14ac:dyDescent="0.25">
      <c r="AC72" s="341" t="s">
        <v>310</v>
      </c>
      <c r="AD72" s="1">
        <v>16</v>
      </c>
      <c r="AE72" s="288">
        <v>454</v>
      </c>
      <c r="AF72" s="73"/>
      <c r="AG72" s="331"/>
      <c r="AH72" s="328">
        <v>1.99</v>
      </c>
      <c r="AI72" s="331"/>
      <c r="AJ72" s="327">
        <v>5.99</v>
      </c>
      <c r="AK72" s="323">
        <v>5</v>
      </c>
      <c r="AL72" s="324">
        <v>5.99</v>
      </c>
      <c r="AM72" s="325">
        <v>4</v>
      </c>
      <c r="AN72" s="325">
        <v>4.99</v>
      </c>
      <c r="AO72" s="328">
        <v>3</v>
      </c>
      <c r="AP72" s="327">
        <v>5.99</v>
      </c>
      <c r="AQ72" s="328">
        <v>4</v>
      </c>
      <c r="AR72" s="327">
        <v>5.99</v>
      </c>
      <c r="AS72" s="331"/>
      <c r="AT72" s="331"/>
    </row>
    <row r="73" spans="29:46" ht="15.75" x14ac:dyDescent="0.25">
      <c r="AC73" s="341" t="s">
        <v>311</v>
      </c>
      <c r="AD73" s="1">
        <v>16</v>
      </c>
      <c r="AE73" s="288">
        <v>458</v>
      </c>
      <c r="AF73" s="73"/>
      <c r="AG73" s="331"/>
      <c r="AH73" s="331"/>
      <c r="AI73" s="331"/>
      <c r="AJ73" s="328">
        <v>2.99</v>
      </c>
      <c r="AK73" s="323">
        <v>5</v>
      </c>
      <c r="AL73" s="324">
        <v>5.99</v>
      </c>
      <c r="AM73" s="328">
        <v>4</v>
      </c>
      <c r="AN73" s="327">
        <v>5.99</v>
      </c>
      <c r="AO73" s="331"/>
      <c r="AP73" s="328">
        <v>3.99</v>
      </c>
      <c r="AQ73" s="325">
        <v>2</v>
      </c>
      <c r="AR73" s="325">
        <v>2.99</v>
      </c>
      <c r="AS73" s="331"/>
      <c r="AT73" s="331"/>
    </row>
    <row r="74" spans="29:46" ht="15.75" x14ac:dyDescent="0.25">
      <c r="AC74" s="341" t="s">
        <v>312</v>
      </c>
      <c r="AD74" s="1">
        <v>15</v>
      </c>
      <c r="AE74" s="288">
        <v>517</v>
      </c>
      <c r="AF74" s="73"/>
      <c r="AG74" s="331"/>
      <c r="AH74" s="331"/>
      <c r="AI74" s="331"/>
      <c r="AJ74" s="328">
        <v>4.99</v>
      </c>
      <c r="AK74" s="331"/>
      <c r="AL74" s="331"/>
      <c r="AM74" s="331"/>
      <c r="AN74" s="328">
        <v>4.99</v>
      </c>
      <c r="AO74" s="328">
        <v>3</v>
      </c>
      <c r="AP74" s="331"/>
      <c r="AQ74" s="331"/>
      <c r="AR74" s="327">
        <v>5.99</v>
      </c>
      <c r="AS74" s="331"/>
      <c r="AT74" s="331"/>
    </row>
    <row r="75" spans="29:46" ht="15.75" x14ac:dyDescent="0.25">
      <c r="AC75" s="341" t="s">
        <v>313</v>
      </c>
      <c r="AD75" s="1">
        <v>17</v>
      </c>
      <c r="AE75" s="288">
        <v>499</v>
      </c>
      <c r="AF75" s="73"/>
      <c r="AG75" s="331"/>
      <c r="AH75" s="331"/>
      <c r="AI75" s="328">
        <v>4</v>
      </c>
      <c r="AJ75" s="327">
        <v>5.99</v>
      </c>
      <c r="AK75" s="325">
        <v>4</v>
      </c>
      <c r="AL75" s="325">
        <v>4.99</v>
      </c>
      <c r="AM75" s="325">
        <v>4</v>
      </c>
      <c r="AN75" s="325">
        <v>4.99</v>
      </c>
      <c r="AO75" s="331"/>
      <c r="AP75" s="329">
        <v>6.99</v>
      </c>
      <c r="AQ75" s="325">
        <v>2</v>
      </c>
      <c r="AR75" s="325">
        <v>2.99</v>
      </c>
      <c r="AS75" s="331"/>
      <c r="AT75" s="331"/>
    </row>
    <row r="76" spans="29:46" ht="15.75" x14ac:dyDescent="0.25">
      <c r="AC76" s="341" t="s">
        <v>314</v>
      </c>
      <c r="AD76" s="1">
        <v>16</v>
      </c>
      <c r="AE76" s="288">
        <v>-1491</v>
      </c>
      <c r="AF76" s="73"/>
      <c r="AG76" s="86"/>
      <c r="AH76" s="86"/>
      <c r="AI76" s="337">
        <v>1</v>
      </c>
      <c r="AJ76" s="325">
        <v>1.99</v>
      </c>
      <c r="AK76" s="338">
        <v>5</v>
      </c>
      <c r="AL76" s="324">
        <v>5.99</v>
      </c>
      <c r="AM76" s="86"/>
      <c r="AN76" s="328">
        <v>2.99</v>
      </c>
      <c r="AO76" s="338" t="s">
        <v>315</v>
      </c>
      <c r="AP76" s="324">
        <v>5.99</v>
      </c>
      <c r="AQ76" s="338">
        <v>4</v>
      </c>
      <c r="AR76" s="324">
        <v>4.99</v>
      </c>
      <c r="AS76" s="86"/>
      <c r="AT76" s="86"/>
    </row>
    <row r="77" spans="29:46" ht="15.75" x14ac:dyDescent="0.25">
      <c r="AC77" s="341" t="s">
        <v>316</v>
      </c>
      <c r="AD77" s="1">
        <v>16</v>
      </c>
      <c r="AE77" s="288">
        <v>336</v>
      </c>
      <c r="AF77" s="73" t="s">
        <v>182</v>
      </c>
      <c r="AG77" s="86"/>
      <c r="AH77" s="328">
        <v>1.99</v>
      </c>
      <c r="AI77" s="338">
        <v>6</v>
      </c>
      <c r="AJ77" s="333">
        <v>6.99</v>
      </c>
      <c r="AK77" s="338">
        <v>5</v>
      </c>
      <c r="AL77" s="324">
        <v>5.99</v>
      </c>
      <c r="AM77" s="338">
        <v>3</v>
      </c>
      <c r="AN77" s="323">
        <v>3.99</v>
      </c>
      <c r="AO77" s="337">
        <v>1</v>
      </c>
      <c r="AP77" s="325">
        <v>1.99</v>
      </c>
      <c r="AQ77" s="337">
        <v>2</v>
      </c>
      <c r="AR77" s="325">
        <v>2.99</v>
      </c>
      <c r="AS77" s="86"/>
      <c r="AT77" s="86"/>
    </row>
    <row r="78" spans="29:46" ht="15.75" x14ac:dyDescent="0.25">
      <c r="AC78" s="341" t="s">
        <v>317</v>
      </c>
      <c r="AD78" s="1">
        <v>16</v>
      </c>
      <c r="AE78" s="288">
        <v>305</v>
      </c>
      <c r="AF78" s="73" t="s">
        <v>182</v>
      </c>
      <c r="AG78" s="86"/>
      <c r="AH78" s="328">
        <v>1.99</v>
      </c>
      <c r="AI78" s="86"/>
      <c r="AJ78" s="328">
        <v>3.99</v>
      </c>
      <c r="AK78" s="86"/>
      <c r="AL78" s="328">
        <v>2.99</v>
      </c>
      <c r="AM78" s="86"/>
      <c r="AN78" s="328">
        <v>2.99</v>
      </c>
      <c r="AO78" s="337">
        <v>3</v>
      </c>
      <c r="AP78" s="325">
        <v>3.99</v>
      </c>
      <c r="AQ78" s="338">
        <v>5</v>
      </c>
      <c r="AR78" s="324">
        <v>5.99</v>
      </c>
      <c r="AS78" s="86"/>
      <c r="AT78" s="86"/>
    </row>
    <row r="79" spans="29:46" ht="15.75" x14ac:dyDescent="0.25">
      <c r="AC79" s="341" t="s">
        <v>318</v>
      </c>
      <c r="AD79" s="1">
        <v>16</v>
      </c>
      <c r="AE79" s="288">
        <v>262</v>
      </c>
      <c r="AF79" s="73"/>
      <c r="AG79" s="86"/>
      <c r="AH79" s="328">
        <v>1.99</v>
      </c>
      <c r="AI79" s="337">
        <v>1</v>
      </c>
      <c r="AJ79" s="325">
        <v>1.99</v>
      </c>
      <c r="AK79" s="338">
        <v>4</v>
      </c>
      <c r="AL79" s="323">
        <v>4.99</v>
      </c>
      <c r="AM79" s="337">
        <v>5</v>
      </c>
      <c r="AN79" s="326">
        <v>5.99</v>
      </c>
      <c r="AO79" s="338">
        <v>6</v>
      </c>
      <c r="AP79" s="333">
        <v>6.99</v>
      </c>
      <c r="AQ79" s="338">
        <v>2</v>
      </c>
      <c r="AR79" s="323">
        <v>2.99</v>
      </c>
      <c r="AS79" s="86"/>
      <c r="AT79" s="86"/>
    </row>
    <row r="80" spans="29:46" ht="15.75" x14ac:dyDescent="0.25">
      <c r="AC80" s="341" t="s">
        <v>319</v>
      </c>
      <c r="AD80" s="1">
        <v>17</v>
      </c>
      <c r="AE80" s="288">
        <v>208</v>
      </c>
      <c r="AF80" s="73"/>
      <c r="AG80" s="86"/>
      <c r="AH80" s="328">
        <v>1.99</v>
      </c>
      <c r="AI80" s="337">
        <v>2</v>
      </c>
      <c r="AJ80" s="325">
        <v>2.99</v>
      </c>
      <c r="AK80" s="339">
        <v>5</v>
      </c>
      <c r="AL80" s="329">
        <v>7</v>
      </c>
      <c r="AM80" s="337">
        <v>3</v>
      </c>
      <c r="AN80" s="325">
        <v>3.99</v>
      </c>
      <c r="AO80" s="339">
        <v>4</v>
      </c>
      <c r="AP80" s="329">
        <v>6.99</v>
      </c>
      <c r="AQ80" s="86"/>
      <c r="AR80" s="328">
        <v>2.99</v>
      </c>
      <c r="AS80" s="86"/>
      <c r="AT80" s="86"/>
    </row>
    <row r="81" spans="29:46" x14ac:dyDescent="0.25">
      <c r="AC81" s="341" t="s">
        <v>320</v>
      </c>
      <c r="AD81" s="1"/>
      <c r="AE81" s="288"/>
      <c r="AF81" s="73"/>
      <c r="AG81" s="340"/>
      <c r="AH81" s="340"/>
      <c r="AI81" s="340"/>
      <c r="AJ81" s="340"/>
      <c r="AK81" s="340"/>
      <c r="AL81" s="340"/>
      <c r="AM81" s="340"/>
      <c r="AN81" s="340"/>
      <c r="AO81" s="340"/>
      <c r="AP81" s="340"/>
      <c r="AQ81" s="340"/>
      <c r="AR81" s="340"/>
      <c r="AS81" s="340"/>
      <c r="AT81" s="340"/>
    </row>
    <row r="82" spans="29:46" x14ac:dyDescent="0.25">
      <c r="AC82" s="341" t="s">
        <v>321</v>
      </c>
      <c r="AD82" s="1"/>
      <c r="AE82" s="288"/>
      <c r="AF82" s="73"/>
      <c r="AG82" s="340"/>
      <c r="AH82" s="340"/>
      <c r="AI82" s="340"/>
      <c r="AJ82" s="340"/>
      <c r="AK82" s="340"/>
      <c r="AL82" s="340"/>
      <c r="AM82" s="340"/>
      <c r="AN82" s="340"/>
      <c r="AO82" s="340"/>
      <c r="AP82" s="340"/>
      <c r="AQ82" s="340"/>
      <c r="AR82" s="340"/>
      <c r="AS82" s="340"/>
      <c r="AT82" s="340"/>
    </row>
    <row r="83" spans="29:46" x14ac:dyDescent="0.25">
      <c r="AC83" s="341" t="s">
        <v>322</v>
      </c>
      <c r="AD83" s="1"/>
      <c r="AE83" s="288"/>
      <c r="AF83" s="73"/>
      <c r="AG83" s="340"/>
      <c r="AH83" s="340"/>
      <c r="AI83" s="340"/>
      <c r="AJ83" s="340"/>
      <c r="AK83" s="340"/>
      <c r="AL83" s="340"/>
      <c r="AM83" s="340"/>
      <c r="AN83" s="340"/>
      <c r="AO83" s="340"/>
      <c r="AP83" s="340"/>
      <c r="AQ83" s="340"/>
      <c r="AR83" s="340"/>
      <c r="AS83" s="340"/>
      <c r="AT83" s="340"/>
    </row>
    <row r="84" spans="29:46" ht="15.75" x14ac:dyDescent="0.25">
      <c r="AC84" s="341" t="s">
        <v>323</v>
      </c>
      <c r="AD84" s="1">
        <v>16</v>
      </c>
      <c r="AE84" s="288">
        <v>146</v>
      </c>
      <c r="AF84" s="73"/>
      <c r="AG84" s="86"/>
      <c r="AH84" s="86"/>
      <c r="AI84" s="337">
        <v>3</v>
      </c>
      <c r="AJ84" s="325">
        <v>3.99</v>
      </c>
      <c r="AK84" s="337">
        <v>5</v>
      </c>
      <c r="AL84" s="326">
        <v>5.99</v>
      </c>
      <c r="AM84" s="337">
        <v>3</v>
      </c>
      <c r="AN84" s="325">
        <v>3.99</v>
      </c>
      <c r="AO84" s="337">
        <v>1</v>
      </c>
      <c r="AP84" s="325">
        <v>1.99</v>
      </c>
      <c r="AQ84" s="86"/>
      <c r="AR84" s="328">
        <v>1.99</v>
      </c>
      <c r="AS84" s="86"/>
      <c r="AT84" s="86"/>
    </row>
    <row r="85" spans="29:46" ht="15.75" x14ac:dyDescent="0.25">
      <c r="AC85" s="341" t="s">
        <v>324</v>
      </c>
      <c r="AD85" s="1">
        <v>16</v>
      </c>
      <c r="AE85" s="288">
        <v>210</v>
      </c>
      <c r="AF85" s="73"/>
      <c r="AG85" s="338">
        <v>6</v>
      </c>
      <c r="AH85" s="333">
        <v>6.99</v>
      </c>
      <c r="AI85" s="337">
        <v>2.6</v>
      </c>
      <c r="AJ85" s="325">
        <v>2.99</v>
      </c>
      <c r="AK85" s="86"/>
      <c r="AL85" s="328">
        <v>3.99</v>
      </c>
      <c r="AM85" s="86"/>
      <c r="AN85" s="328">
        <v>1.99</v>
      </c>
      <c r="AO85" s="86"/>
      <c r="AP85" s="328">
        <v>0.99</v>
      </c>
      <c r="AQ85" s="86"/>
      <c r="AR85" s="328">
        <v>2.99</v>
      </c>
      <c r="AS85" s="86"/>
      <c r="AT85" s="86"/>
    </row>
    <row r="86" spans="29:46" ht="15.75" x14ac:dyDescent="0.25">
      <c r="AC86" s="341" t="s">
        <v>325</v>
      </c>
      <c r="AD86" s="1">
        <v>17</v>
      </c>
      <c r="AE86" s="288">
        <v>384</v>
      </c>
      <c r="AF86" s="73" t="s">
        <v>163</v>
      </c>
      <c r="AG86" s="86"/>
      <c r="AH86" s="328">
        <v>1.99</v>
      </c>
      <c r="AI86" s="337">
        <v>3</v>
      </c>
      <c r="AJ86" s="325">
        <v>3.99</v>
      </c>
      <c r="AK86" s="337">
        <v>5</v>
      </c>
      <c r="AL86" s="326">
        <v>5.99</v>
      </c>
      <c r="AM86" s="337">
        <v>1</v>
      </c>
      <c r="AN86" s="325">
        <v>1.99</v>
      </c>
      <c r="AO86" s="337">
        <v>4</v>
      </c>
      <c r="AP86" s="325">
        <v>4.99</v>
      </c>
      <c r="AQ86" s="338">
        <v>4</v>
      </c>
      <c r="AR86" s="323">
        <v>4.99</v>
      </c>
      <c r="AS86" s="86"/>
      <c r="AT86" s="86"/>
    </row>
    <row r="87" spans="29:46" ht="15.75" x14ac:dyDescent="0.25">
      <c r="AC87" s="341" t="s">
        <v>326</v>
      </c>
      <c r="AD87" s="1">
        <v>17</v>
      </c>
      <c r="AE87" s="288">
        <v>382</v>
      </c>
      <c r="AF87" s="73"/>
      <c r="AG87" s="331"/>
      <c r="AH87" s="328">
        <v>1.99</v>
      </c>
      <c r="AI87" s="338">
        <v>5</v>
      </c>
      <c r="AJ87" s="324">
        <v>5.99</v>
      </c>
      <c r="AK87" s="337">
        <v>4</v>
      </c>
      <c r="AL87" s="325">
        <v>4.99</v>
      </c>
      <c r="AM87" s="339">
        <v>2</v>
      </c>
      <c r="AN87" s="328">
        <v>3.99</v>
      </c>
      <c r="AO87" s="337">
        <v>4</v>
      </c>
      <c r="AP87" s="325">
        <v>4.99</v>
      </c>
      <c r="AQ87" s="331"/>
      <c r="AR87" s="328">
        <v>4.99</v>
      </c>
      <c r="AS87" s="331"/>
      <c r="AT87" s="331"/>
    </row>
    <row r="88" spans="29:46" ht="15.75" x14ac:dyDescent="0.25">
      <c r="AC88" s="341" t="s">
        <v>327</v>
      </c>
      <c r="AD88" s="1">
        <v>18</v>
      </c>
      <c r="AE88" s="288">
        <v>408</v>
      </c>
      <c r="AF88" s="73"/>
      <c r="AG88" s="86"/>
      <c r="AH88" s="328">
        <v>1.99</v>
      </c>
      <c r="AI88" s="337">
        <v>2</v>
      </c>
      <c r="AJ88" s="325">
        <v>2.99</v>
      </c>
      <c r="AK88" s="86"/>
      <c r="AL88" s="328">
        <v>4.99</v>
      </c>
      <c r="AM88" s="86"/>
      <c r="AN88" s="327">
        <v>5.99</v>
      </c>
      <c r="AO88" s="337">
        <v>4</v>
      </c>
      <c r="AP88" s="325">
        <v>4.99</v>
      </c>
      <c r="AQ88" s="337">
        <v>3</v>
      </c>
      <c r="AR88" s="325">
        <v>3.99</v>
      </c>
      <c r="AS88" s="86"/>
      <c r="AT88" s="86"/>
    </row>
    <row r="89" spans="29:46" ht="15.75" x14ac:dyDescent="0.25">
      <c r="AC89" s="341" t="s">
        <v>328</v>
      </c>
      <c r="AD89" s="1">
        <v>18</v>
      </c>
      <c r="AE89" s="288">
        <v>423</v>
      </c>
      <c r="AF89" s="73" t="s">
        <v>156</v>
      </c>
      <c r="AG89" s="331"/>
      <c r="AH89" s="328">
        <v>1.99</v>
      </c>
      <c r="AI89" s="337">
        <v>2</v>
      </c>
      <c r="AJ89" s="325">
        <v>2.99</v>
      </c>
      <c r="AK89" s="338">
        <v>4</v>
      </c>
      <c r="AL89" s="323">
        <v>4.99</v>
      </c>
      <c r="AM89" s="337">
        <v>5</v>
      </c>
      <c r="AN89" s="326">
        <v>5.99</v>
      </c>
      <c r="AO89" s="337">
        <v>3</v>
      </c>
      <c r="AP89" s="325">
        <v>3.99</v>
      </c>
      <c r="AQ89" s="339">
        <v>3</v>
      </c>
      <c r="AR89" s="329">
        <v>7</v>
      </c>
      <c r="AS89" s="331"/>
      <c r="AT89" s="331"/>
    </row>
    <row r="90" spans="29:46" ht="15.75" x14ac:dyDescent="0.25">
      <c r="AC90" s="341" t="s">
        <v>329</v>
      </c>
      <c r="AD90" s="1">
        <v>17</v>
      </c>
      <c r="AE90" s="288">
        <v>408</v>
      </c>
      <c r="AF90" s="73" t="s">
        <v>163</v>
      </c>
      <c r="AG90" s="86"/>
      <c r="AH90" s="328">
        <v>0.99</v>
      </c>
      <c r="AI90" s="337">
        <v>4</v>
      </c>
      <c r="AJ90" s="325">
        <v>4.99</v>
      </c>
      <c r="AK90" s="337">
        <v>2</v>
      </c>
      <c r="AL90" s="325">
        <v>2.99</v>
      </c>
      <c r="AM90" s="339">
        <v>4</v>
      </c>
      <c r="AN90" s="327">
        <v>5.99</v>
      </c>
      <c r="AO90" s="337">
        <v>2</v>
      </c>
      <c r="AP90" s="325">
        <v>2.99</v>
      </c>
      <c r="AQ90" s="337">
        <v>2</v>
      </c>
      <c r="AR90" s="325">
        <v>2.99</v>
      </c>
      <c r="AS90" s="86"/>
      <c r="AT90" s="86"/>
    </row>
    <row r="91" spans="29:46" ht="15.75" x14ac:dyDescent="0.25">
      <c r="AC91" s="341" t="s">
        <v>330</v>
      </c>
      <c r="AD91" s="1">
        <v>17</v>
      </c>
      <c r="AE91" s="288">
        <v>330</v>
      </c>
      <c r="AF91" s="73"/>
      <c r="AG91" s="331"/>
      <c r="AH91" s="331"/>
      <c r="AI91" s="331"/>
      <c r="AJ91" s="328">
        <v>2.99</v>
      </c>
      <c r="AK91" s="337">
        <v>3</v>
      </c>
      <c r="AL91" s="325">
        <v>3.99</v>
      </c>
      <c r="AM91" s="339">
        <v>5</v>
      </c>
      <c r="AN91" s="329">
        <v>6.99</v>
      </c>
      <c r="AO91" s="338">
        <v>4</v>
      </c>
      <c r="AP91" s="323">
        <v>4.99</v>
      </c>
      <c r="AQ91" s="338">
        <v>4</v>
      </c>
      <c r="AR91" s="323">
        <v>4.99</v>
      </c>
      <c r="AS91" s="331"/>
      <c r="AT91" s="331"/>
    </row>
    <row r="92" spans="29:46" ht="15.75" x14ac:dyDescent="0.25">
      <c r="AC92" s="341" t="s">
        <v>331</v>
      </c>
      <c r="AD92" s="1">
        <v>16</v>
      </c>
      <c r="AE92" s="288">
        <v>329</v>
      </c>
      <c r="AF92" s="73"/>
      <c r="AG92" s="331"/>
      <c r="AH92" s="331"/>
      <c r="AI92" s="338">
        <v>3</v>
      </c>
      <c r="AJ92" s="323">
        <v>3.99</v>
      </c>
      <c r="AK92" s="339">
        <v>4</v>
      </c>
      <c r="AL92" s="329">
        <v>6.99</v>
      </c>
      <c r="AM92" s="331"/>
      <c r="AN92" s="328">
        <v>3.99</v>
      </c>
      <c r="AO92" s="338">
        <v>3</v>
      </c>
      <c r="AP92" s="323">
        <v>3.99</v>
      </c>
      <c r="AQ92" s="331"/>
      <c r="AR92" s="328">
        <v>3.99</v>
      </c>
      <c r="AS92" s="331"/>
      <c r="AT92" s="331"/>
    </row>
    <row r="93" spans="29:46" ht="15.75" x14ac:dyDescent="0.25">
      <c r="AC93" s="341" t="s">
        <v>332</v>
      </c>
      <c r="AD93" s="1">
        <v>16</v>
      </c>
      <c r="AE93" s="288">
        <v>331</v>
      </c>
      <c r="AF93" s="73"/>
      <c r="AG93" s="331"/>
      <c r="AH93" s="331"/>
      <c r="AI93" s="337">
        <v>2</v>
      </c>
      <c r="AJ93" s="325">
        <v>2.99</v>
      </c>
      <c r="AK93" s="338">
        <v>4</v>
      </c>
      <c r="AL93" s="323">
        <v>4.99</v>
      </c>
      <c r="AM93" s="337">
        <v>2</v>
      </c>
      <c r="AN93" s="325">
        <v>2.99</v>
      </c>
      <c r="AO93" s="337">
        <v>3</v>
      </c>
      <c r="AP93" s="325">
        <v>3.99</v>
      </c>
      <c r="AQ93" s="339">
        <v>4</v>
      </c>
      <c r="AR93" s="329">
        <v>6.99</v>
      </c>
      <c r="AS93" s="331"/>
      <c r="AT93" s="331"/>
    </row>
    <row r="94" spans="29:46" ht="15.75" x14ac:dyDescent="0.25">
      <c r="AC94" s="341" t="s">
        <v>333</v>
      </c>
      <c r="AD94" s="1">
        <v>16</v>
      </c>
      <c r="AE94" s="288">
        <v>342</v>
      </c>
      <c r="AF94" s="73"/>
      <c r="AG94" s="331"/>
      <c r="AH94" s="331"/>
      <c r="AI94" s="339">
        <v>4</v>
      </c>
      <c r="AJ94" s="329">
        <v>6.99</v>
      </c>
      <c r="AK94" s="337">
        <v>2</v>
      </c>
      <c r="AL94" s="325">
        <v>2.99</v>
      </c>
      <c r="AM94" s="338">
        <v>2</v>
      </c>
      <c r="AN94" s="323">
        <v>2.99</v>
      </c>
      <c r="AO94" s="338">
        <v>5</v>
      </c>
      <c r="AP94" s="324">
        <v>5.99</v>
      </c>
      <c r="AQ94" s="339">
        <v>1</v>
      </c>
      <c r="AR94" s="328">
        <v>2.99</v>
      </c>
      <c r="AS94" s="331"/>
      <c r="AT94" s="328">
        <v>3.99</v>
      </c>
    </row>
    <row r="95" spans="29:46" ht="15.75" x14ac:dyDescent="0.25">
      <c r="AC95" s="341" t="s">
        <v>334</v>
      </c>
      <c r="AD95" s="1">
        <v>16</v>
      </c>
      <c r="AE95" s="288">
        <v>373</v>
      </c>
      <c r="AF95" s="73"/>
      <c r="AG95" s="86"/>
      <c r="AH95" s="86"/>
      <c r="AI95" s="338">
        <v>5</v>
      </c>
      <c r="AJ95" s="324">
        <v>5.99</v>
      </c>
      <c r="AK95" s="337">
        <v>5</v>
      </c>
      <c r="AL95" s="326">
        <v>5.99</v>
      </c>
      <c r="AM95" s="86"/>
      <c r="AN95" s="328">
        <v>4.99</v>
      </c>
      <c r="AO95" s="86"/>
      <c r="AP95" s="328">
        <v>4.99</v>
      </c>
      <c r="AQ95" s="86"/>
      <c r="AR95" s="328">
        <v>4.99</v>
      </c>
      <c r="AS95" s="86"/>
      <c r="AT95" s="86"/>
    </row>
    <row r="96" spans="29:46" ht="15.75" x14ac:dyDescent="0.25">
      <c r="AC96" s="341" t="s">
        <v>335</v>
      </c>
      <c r="AD96" s="1">
        <v>16</v>
      </c>
      <c r="AE96" s="288">
        <v>390</v>
      </c>
      <c r="AF96" s="73" t="s">
        <v>182</v>
      </c>
      <c r="AG96" s="86"/>
      <c r="AH96" s="86"/>
      <c r="AI96" s="337">
        <v>1</v>
      </c>
      <c r="AJ96" s="325">
        <v>1.99</v>
      </c>
      <c r="AK96" s="337">
        <v>6</v>
      </c>
      <c r="AL96" s="330">
        <v>6.99</v>
      </c>
      <c r="AM96" s="338">
        <v>2</v>
      </c>
      <c r="AN96" s="323">
        <v>2.99</v>
      </c>
      <c r="AO96" s="337">
        <v>5</v>
      </c>
      <c r="AP96" s="326">
        <v>5.99</v>
      </c>
      <c r="AQ96" s="338">
        <v>4</v>
      </c>
      <c r="AR96" s="323">
        <v>4.99</v>
      </c>
      <c r="AS96" s="86"/>
      <c r="AT96" s="328">
        <v>3.99</v>
      </c>
    </row>
    <row r="97" spans="29:46" ht="15.75" x14ac:dyDescent="0.25">
      <c r="AC97" s="341" t="s">
        <v>336</v>
      </c>
      <c r="AD97" s="1">
        <v>16</v>
      </c>
      <c r="AE97" s="288">
        <v>262</v>
      </c>
      <c r="AF97" s="73"/>
      <c r="AG97" s="86"/>
      <c r="AH97" s="86"/>
      <c r="AI97" s="338">
        <v>6</v>
      </c>
      <c r="AJ97" s="333">
        <v>6.99</v>
      </c>
      <c r="AK97" s="338">
        <v>3</v>
      </c>
      <c r="AL97" s="323">
        <v>3.99</v>
      </c>
      <c r="AM97" s="338">
        <v>5</v>
      </c>
      <c r="AN97" s="324">
        <v>5.99</v>
      </c>
      <c r="AO97" s="86"/>
      <c r="AP97" s="328">
        <v>2.99</v>
      </c>
      <c r="AQ97" s="339">
        <v>3</v>
      </c>
      <c r="AR97" s="328">
        <v>4.99</v>
      </c>
      <c r="AS97" s="86"/>
      <c r="AT97" s="86"/>
    </row>
    <row r="98" spans="29:46" ht="15.75" x14ac:dyDescent="0.25">
      <c r="AC98" s="341" t="s">
        <v>337</v>
      </c>
      <c r="AD98" s="1">
        <v>16</v>
      </c>
      <c r="AE98" s="288">
        <v>240</v>
      </c>
      <c r="AF98" s="73" t="s">
        <v>182</v>
      </c>
      <c r="AG98" s="86"/>
      <c r="AH98" s="86"/>
      <c r="AI98" s="86"/>
      <c r="AJ98" s="328">
        <v>2.99</v>
      </c>
      <c r="AK98" s="338">
        <v>5</v>
      </c>
      <c r="AL98" s="324">
        <v>5.99</v>
      </c>
      <c r="AM98" s="337">
        <v>2</v>
      </c>
      <c r="AN98" s="325">
        <v>2.99</v>
      </c>
      <c r="AO98" s="337">
        <v>3</v>
      </c>
      <c r="AP98" s="325">
        <v>3.99</v>
      </c>
      <c r="AQ98" s="339">
        <v>3</v>
      </c>
      <c r="AR98" s="328">
        <v>4.99</v>
      </c>
      <c r="AS98" s="86"/>
      <c r="AT98" s="86"/>
    </row>
    <row r="99" spans="29:46" ht="15.75" x14ac:dyDescent="0.25">
      <c r="AC99" s="341" t="s">
        <v>338</v>
      </c>
      <c r="AD99" s="1">
        <v>16</v>
      </c>
      <c r="AE99" s="288">
        <v>255</v>
      </c>
      <c r="AF99" s="73"/>
      <c r="AG99" s="86"/>
      <c r="AH99" s="328">
        <v>0.99</v>
      </c>
      <c r="AI99" s="337">
        <v>2</v>
      </c>
      <c r="AJ99" s="325">
        <v>2.99</v>
      </c>
      <c r="AK99" s="339">
        <v>5</v>
      </c>
      <c r="AL99" s="329">
        <v>6.99</v>
      </c>
      <c r="AM99" s="338">
        <v>2</v>
      </c>
      <c r="AN99" s="323">
        <v>2.99</v>
      </c>
      <c r="AO99" s="337">
        <v>2</v>
      </c>
      <c r="AP99" s="325">
        <v>2.99</v>
      </c>
      <c r="AQ99" s="337">
        <v>2</v>
      </c>
      <c r="AR99" s="325">
        <v>2.99</v>
      </c>
      <c r="AS99" s="86"/>
      <c r="AT99" s="86"/>
    </row>
    <row r="100" spans="29:46" ht="15.75" x14ac:dyDescent="0.25">
      <c r="AC100" s="341" t="s">
        <v>339</v>
      </c>
      <c r="AD100" s="1">
        <v>18</v>
      </c>
      <c r="AE100" s="288">
        <v>238</v>
      </c>
      <c r="AF100" s="73" t="s">
        <v>156</v>
      </c>
      <c r="AG100" s="331"/>
      <c r="AH100" s="328">
        <v>1.99</v>
      </c>
      <c r="AI100" s="338">
        <v>4</v>
      </c>
      <c r="AJ100" s="323">
        <v>4.99</v>
      </c>
      <c r="AK100" s="337">
        <v>2</v>
      </c>
      <c r="AL100" s="325">
        <v>2.99</v>
      </c>
      <c r="AM100" s="337">
        <v>3</v>
      </c>
      <c r="AN100" s="325">
        <v>3.99</v>
      </c>
      <c r="AO100" s="337">
        <v>1</v>
      </c>
      <c r="AP100" s="325">
        <v>1.99</v>
      </c>
      <c r="AQ100" s="339">
        <v>4</v>
      </c>
      <c r="AR100" s="329">
        <v>6.99</v>
      </c>
      <c r="AS100" s="331"/>
      <c r="AT100" s="331"/>
    </row>
    <row r="101" spans="29:46" ht="15.75" x14ac:dyDescent="0.25">
      <c r="AC101" s="341" t="s">
        <v>340</v>
      </c>
      <c r="AD101" s="1">
        <v>17</v>
      </c>
      <c r="AE101" s="288">
        <v>105</v>
      </c>
      <c r="AF101" s="73" t="s">
        <v>156</v>
      </c>
      <c r="AG101" s="86"/>
      <c r="AH101" s="328">
        <v>1.99</v>
      </c>
      <c r="AI101" s="337">
        <v>3</v>
      </c>
      <c r="AJ101" s="325">
        <v>3.99</v>
      </c>
      <c r="AK101" s="338">
        <v>5</v>
      </c>
      <c r="AL101" s="324">
        <v>5.99</v>
      </c>
      <c r="AM101" s="337">
        <v>4</v>
      </c>
      <c r="AN101" s="325">
        <v>4.99</v>
      </c>
      <c r="AO101" s="337">
        <v>4</v>
      </c>
      <c r="AP101" s="325">
        <v>4.99</v>
      </c>
      <c r="AQ101" s="86"/>
      <c r="AR101" s="328">
        <v>2.99</v>
      </c>
      <c r="AS101" s="86"/>
      <c r="AT101" s="86"/>
    </row>
    <row r="102" spans="29:46" ht="15.75" x14ac:dyDescent="0.25">
      <c r="AC102" s="341" t="s">
        <v>341</v>
      </c>
      <c r="AD102" s="1">
        <v>17</v>
      </c>
      <c r="AE102" s="288">
        <v>181</v>
      </c>
      <c r="AF102" s="73" t="s">
        <v>163</v>
      </c>
      <c r="AG102" s="86"/>
      <c r="AH102" s="86"/>
      <c r="AI102" s="338">
        <v>5</v>
      </c>
      <c r="AJ102" s="324">
        <v>5.99</v>
      </c>
      <c r="AK102" s="338">
        <v>4</v>
      </c>
      <c r="AL102" s="323">
        <v>4.99</v>
      </c>
      <c r="AM102" s="86"/>
      <c r="AN102" s="327">
        <v>5.99</v>
      </c>
      <c r="AO102" s="337">
        <v>3</v>
      </c>
      <c r="AP102" s="325">
        <v>3.99</v>
      </c>
      <c r="AQ102" s="86"/>
      <c r="AR102" s="328">
        <v>2.99</v>
      </c>
      <c r="AS102" s="86"/>
      <c r="AT102" s="86"/>
    </row>
    <row r="103" spans="29:46" ht="15.75" x14ac:dyDescent="0.25">
      <c r="AC103" s="341" t="s">
        <v>342</v>
      </c>
      <c r="AD103" s="1">
        <v>17</v>
      </c>
      <c r="AE103" s="288">
        <v>34</v>
      </c>
      <c r="AF103" s="73" t="s">
        <v>159</v>
      </c>
      <c r="AG103" s="331"/>
      <c r="AH103" s="328">
        <v>0.99</v>
      </c>
      <c r="AI103" s="337">
        <v>5</v>
      </c>
      <c r="AJ103" s="326">
        <v>5.99</v>
      </c>
      <c r="AK103" s="339">
        <v>4</v>
      </c>
      <c r="AL103" s="327">
        <v>5.99</v>
      </c>
      <c r="AM103" s="338">
        <v>6</v>
      </c>
      <c r="AN103" s="333">
        <v>6.99</v>
      </c>
      <c r="AO103" s="331"/>
      <c r="AP103" s="328">
        <v>2.99</v>
      </c>
      <c r="AQ103" s="338">
        <v>5</v>
      </c>
      <c r="AR103" s="324">
        <v>5.99</v>
      </c>
      <c r="AS103" s="331"/>
      <c r="AT103" s="331"/>
    </row>
    <row r="104" spans="29:46" ht="15.75" x14ac:dyDescent="0.25">
      <c r="AC104" s="341" t="s">
        <v>343</v>
      </c>
      <c r="AD104" s="1">
        <v>17</v>
      </c>
      <c r="AE104" s="288">
        <v>51</v>
      </c>
      <c r="AF104" s="73" t="s">
        <v>182</v>
      </c>
      <c r="AG104" s="86"/>
      <c r="AH104" s="86"/>
      <c r="AI104" s="337">
        <v>5</v>
      </c>
      <c r="AJ104" s="326">
        <v>5.99</v>
      </c>
      <c r="AK104" s="338">
        <v>4</v>
      </c>
      <c r="AL104" s="323">
        <v>4.99</v>
      </c>
      <c r="AM104" s="86"/>
      <c r="AN104" s="328">
        <v>2.99</v>
      </c>
      <c r="AO104" s="86"/>
      <c r="AP104" s="328">
        <v>3.99</v>
      </c>
      <c r="AQ104" s="338">
        <v>3</v>
      </c>
      <c r="AR104" s="323">
        <v>3.99</v>
      </c>
      <c r="AS104" s="86"/>
      <c r="AT104" s="86"/>
    </row>
    <row r="105" spans="29:46" ht="15.75" x14ac:dyDescent="0.25">
      <c r="AC105" s="341" t="s">
        <v>344</v>
      </c>
      <c r="AD105" s="1">
        <v>18</v>
      </c>
      <c r="AE105" s="288">
        <v>26</v>
      </c>
      <c r="AF105" s="73"/>
      <c r="AG105" s="86"/>
      <c r="AH105" s="328">
        <v>0.99</v>
      </c>
      <c r="AI105" s="338">
        <v>6</v>
      </c>
      <c r="AJ105" s="333">
        <v>6.99</v>
      </c>
      <c r="AK105" s="338">
        <v>4</v>
      </c>
      <c r="AL105" s="323">
        <v>4.99</v>
      </c>
      <c r="AM105" s="86"/>
      <c r="AN105" s="328">
        <v>3.99</v>
      </c>
      <c r="AO105" s="86"/>
      <c r="AP105" s="328">
        <v>2.99</v>
      </c>
      <c r="AQ105" s="86"/>
      <c r="AR105" s="328">
        <v>2.99</v>
      </c>
      <c r="AS105" s="86"/>
      <c r="AT105" s="86"/>
    </row>
    <row r="106" spans="29:46" x14ac:dyDescent="0.25">
      <c r="AC106" s="341" t="s">
        <v>345</v>
      </c>
      <c r="AD106" s="1">
        <v>17</v>
      </c>
      <c r="AE106" s="288">
        <v>43</v>
      </c>
      <c r="AF106" s="73" t="s">
        <v>156</v>
      </c>
      <c r="AG106" s="5"/>
      <c r="AH106" s="5"/>
      <c r="AI106" s="457">
        <v>6</v>
      </c>
      <c r="AJ106" s="320">
        <v>6.99</v>
      </c>
      <c r="AK106" s="458">
        <v>5</v>
      </c>
      <c r="AL106" s="459">
        <v>5.99</v>
      </c>
      <c r="AM106" s="457">
        <v>6</v>
      </c>
      <c r="AN106" s="320">
        <v>6.99</v>
      </c>
      <c r="AO106" s="458">
        <v>2</v>
      </c>
      <c r="AP106" s="317">
        <v>2.99</v>
      </c>
      <c r="AQ106" s="457">
        <v>3</v>
      </c>
      <c r="AR106" s="319">
        <v>3.99</v>
      </c>
      <c r="AS106" s="86"/>
      <c r="AT106" s="86"/>
    </row>
    <row r="107" spans="29:46" ht="15.75" x14ac:dyDescent="0.25">
      <c r="AC107" s="312" t="s">
        <v>346</v>
      </c>
      <c r="AD107" s="1">
        <v>17</v>
      </c>
      <c r="AE107" s="288">
        <v>58</v>
      </c>
      <c r="AF107" s="73"/>
      <c r="AG107" s="86"/>
      <c r="AH107" s="86"/>
      <c r="AI107" s="338">
        <v>6</v>
      </c>
      <c r="AJ107" s="333">
        <v>6.99</v>
      </c>
      <c r="AK107" s="340"/>
      <c r="AL107" s="328">
        <v>2.99</v>
      </c>
      <c r="AM107" s="86"/>
      <c r="AN107" s="328">
        <v>1.99</v>
      </c>
      <c r="AO107" s="339">
        <v>2</v>
      </c>
      <c r="AP107" s="328">
        <v>2.99</v>
      </c>
      <c r="AQ107" s="86"/>
      <c r="AR107" s="329">
        <v>6.99</v>
      </c>
      <c r="AS107" s="86"/>
      <c r="AT107" s="328">
        <v>2.99</v>
      </c>
    </row>
    <row r="108" spans="29:46" ht="15.75" x14ac:dyDescent="0.25">
      <c r="AC108" s="312" t="s">
        <v>347</v>
      </c>
      <c r="AD108" s="1">
        <v>17</v>
      </c>
      <c r="AE108" s="288">
        <v>68</v>
      </c>
      <c r="AF108" s="73"/>
      <c r="AG108" s="86"/>
      <c r="AH108" s="328">
        <v>1.99</v>
      </c>
      <c r="AI108" s="337">
        <v>1</v>
      </c>
      <c r="AJ108" s="325">
        <v>1.99</v>
      </c>
      <c r="AK108" s="337">
        <v>4</v>
      </c>
      <c r="AL108" s="325">
        <v>4.99</v>
      </c>
      <c r="AM108" s="337">
        <v>5</v>
      </c>
      <c r="AN108" s="326">
        <v>5.99</v>
      </c>
      <c r="AO108" s="337">
        <v>3</v>
      </c>
      <c r="AP108" s="325">
        <v>3.99</v>
      </c>
      <c r="AQ108" s="339">
        <v>3</v>
      </c>
      <c r="AR108" s="329">
        <v>6.99</v>
      </c>
      <c r="AS108" s="86"/>
      <c r="AT108" s="86"/>
    </row>
    <row r="109" spans="29:46" ht="15.75" x14ac:dyDescent="0.25">
      <c r="AC109" s="312" t="s">
        <v>348</v>
      </c>
      <c r="AD109" s="1">
        <v>17</v>
      </c>
      <c r="AE109" s="288">
        <f ca="1">37+$A$33-$A$32</f>
        <v>432</v>
      </c>
      <c r="AF109" s="73"/>
      <c r="AG109" s="331"/>
      <c r="AH109" s="331"/>
      <c r="AI109" s="338">
        <v>6</v>
      </c>
      <c r="AJ109" s="333">
        <v>6.99</v>
      </c>
      <c r="AK109" s="339">
        <v>4</v>
      </c>
      <c r="AL109" s="329">
        <v>6.99</v>
      </c>
      <c r="AM109" s="337">
        <v>4</v>
      </c>
      <c r="AN109" s="325">
        <v>4.99</v>
      </c>
      <c r="AO109" s="337">
        <v>2</v>
      </c>
      <c r="AP109" s="325">
        <v>2.99</v>
      </c>
      <c r="AQ109" s="338">
        <v>4</v>
      </c>
      <c r="AR109" s="323">
        <v>4.99</v>
      </c>
      <c r="AS109" s="331"/>
      <c r="AT109" s="331"/>
    </row>
    <row r="110" spans="29:46" ht="15.75" x14ac:dyDescent="0.25">
      <c r="AC110" s="312" t="s">
        <v>349</v>
      </c>
      <c r="AD110" s="1">
        <v>17</v>
      </c>
      <c r="AE110" s="288">
        <v>1</v>
      </c>
      <c r="AF110" s="73"/>
      <c r="AG110" s="331"/>
      <c r="AH110" s="328">
        <v>1.99</v>
      </c>
      <c r="AI110" s="337">
        <v>2</v>
      </c>
      <c r="AJ110" s="325">
        <v>2.99</v>
      </c>
      <c r="AK110" s="338">
        <v>4</v>
      </c>
      <c r="AL110" s="323">
        <v>4.99</v>
      </c>
      <c r="AM110" s="338">
        <v>4</v>
      </c>
      <c r="AN110" s="323">
        <v>4.99</v>
      </c>
      <c r="AO110" s="338">
        <v>5</v>
      </c>
      <c r="AP110" s="324">
        <v>5.99</v>
      </c>
      <c r="AQ110" s="337">
        <v>2</v>
      </c>
      <c r="AR110" s="325">
        <v>2.99</v>
      </c>
      <c r="AS110" s="331"/>
      <c r="AT110" s="331"/>
    </row>
  </sheetData>
  <mergeCells count="7">
    <mergeCell ref="A10:E10"/>
    <mergeCell ref="A15:E15"/>
    <mergeCell ref="A1:E1"/>
    <mergeCell ref="AC1:AF1"/>
    <mergeCell ref="A3:E3"/>
    <mergeCell ref="AC3:AF3"/>
    <mergeCell ref="AG3:AT3"/>
  </mergeCells>
  <conditionalFormatting sqref="E8">
    <cfRule type="cellIs" dxfId="78" priority="1" operator="between">
      <formula>1</formula>
      <formula>50</formula>
    </cfRule>
  </conditionalFormatting>
  <conditionalFormatting sqref="E8">
    <cfRule type="cellIs" dxfId="77" priority="2" operator="greaterThan">
      <formula>50</formula>
    </cfRule>
  </conditionalFormatting>
  <conditionalFormatting sqref="E8">
    <cfRule type="cellIs" dxfId="76" priority="3" operator="lessThan">
      <formula>1</formula>
    </cfRule>
  </conditionalFormatting>
  <conditionalFormatting sqref="E20">
    <cfRule type="cellIs" dxfId="75" priority="4" operator="between">
      <formula>1</formula>
      <formula>50</formula>
    </cfRule>
  </conditionalFormatting>
  <conditionalFormatting sqref="E20">
    <cfRule type="cellIs" dxfId="74" priority="5" operator="greaterThan">
      <formula>50</formula>
    </cfRule>
  </conditionalFormatting>
  <conditionalFormatting sqref="E20">
    <cfRule type="cellIs" dxfId="73" priority="6" operator="lessThan">
      <formula>1</formula>
    </cfRule>
  </conditionalFormatting>
  <conditionalFormatting sqref="E20">
    <cfRule type="cellIs" dxfId="72" priority="7" operator="between">
      <formula>1</formula>
      <formula>50</formula>
    </cfRule>
  </conditionalFormatting>
  <conditionalFormatting sqref="E20">
    <cfRule type="cellIs" dxfId="71" priority="8" operator="greaterThan">
      <formula>50</formula>
    </cfRule>
  </conditionalFormatting>
  <conditionalFormatting sqref="E20">
    <cfRule type="cellIs" dxfId="70" priority="9" operator="lessThan">
      <formula>1</formula>
    </cfRule>
  </conditionalFormatting>
  <conditionalFormatting sqref="W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ellIs" dxfId="69" priority="11" operator="between">
      <formula>1</formula>
      <formula>50</formula>
    </cfRule>
  </conditionalFormatting>
  <conditionalFormatting sqref="E26">
    <cfRule type="cellIs" dxfId="68" priority="12" operator="greaterThan">
      <formula>50</formula>
    </cfRule>
  </conditionalFormatting>
  <conditionalFormatting sqref="E26">
    <cfRule type="cellIs" dxfId="67" priority="13" operator="lessThan">
      <formula>1</formula>
    </cfRule>
  </conditionalFormatting>
  <conditionalFormatting sqref="E25">
    <cfRule type="cellIs" dxfId="66" priority="14" operator="between">
      <formula>1</formula>
      <formula>50</formula>
    </cfRule>
  </conditionalFormatting>
  <conditionalFormatting sqref="E25">
    <cfRule type="cellIs" dxfId="65" priority="15" operator="greaterThan">
      <formula>50</formula>
    </cfRule>
  </conditionalFormatting>
  <conditionalFormatting sqref="E25">
    <cfRule type="cellIs" dxfId="64" priority="16" operator="lessThan">
      <formula>1</formula>
    </cfRule>
  </conditionalFormatting>
  <conditionalFormatting sqref="E24">
    <cfRule type="cellIs" dxfId="63" priority="17" operator="between">
      <formula>1</formula>
      <formula>50</formula>
    </cfRule>
  </conditionalFormatting>
  <conditionalFormatting sqref="E24">
    <cfRule type="cellIs" dxfId="62" priority="18" operator="greaterThan">
      <formula>50</formula>
    </cfRule>
  </conditionalFormatting>
  <conditionalFormatting sqref="E24">
    <cfRule type="cellIs" dxfId="61" priority="19" operator="lessThan">
      <formula>1</formula>
    </cfRule>
  </conditionalFormatting>
  <conditionalFormatting sqref="E23">
    <cfRule type="cellIs" dxfId="60" priority="20" operator="between">
      <formula>1</formula>
      <formula>50</formula>
    </cfRule>
  </conditionalFormatting>
  <conditionalFormatting sqref="E23">
    <cfRule type="cellIs" dxfId="59" priority="21" operator="greaterThan">
      <formula>50</formula>
    </cfRule>
  </conditionalFormatting>
  <conditionalFormatting sqref="E23">
    <cfRule type="cellIs" dxfId="58" priority="22" operator="lessThan">
      <formula>1</formula>
    </cfRule>
  </conditionalFormatting>
  <conditionalFormatting sqref="E22">
    <cfRule type="cellIs" dxfId="57" priority="23" operator="between">
      <formula>1</formula>
      <formula>50</formula>
    </cfRule>
  </conditionalFormatting>
  <conditionalFormatting sqref="E22">
    <cfRule type="cellIs" dxfId="56" priority="24" operator="greaterThan">
      <formula>50</formula>
    </cfRule>
  </conditionalFormatting>
  <conditionalFormatting sqref="E22">
    <cfRule type="cellIs" dxfId="55" priority="25" operator="lessThan">
      <formula>1</formula>
    </cfRule>
  </conditionalFormatting>
  <conditionalFormatting sqref="E18">
    <cfRule type="cellIs" dxfId="54" priority="26" operator="between">
      <formula>1</formula>
      <formula>50</formula>
    </cfRule>
  </conditionalFormatting>
  <conditionalFormatting sqref="E18">
    <cfRule type="cellIs" dxfId="53" priority="27" operator="greaterThan">
      <formula>50</formula>
    </cfRule>
  </conditionalFormatting>
  <conditionalFormatting sqref="E18">
    <cfRule type="cellIs" dxfId="52" priority="28" operator="lessThan">
      <formula>1</formula>
    </cfRule>
  </conditionalFormatting>
  <conditionalFormatting sqref="W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ellIs" dxfId="51" priority="30" operator="between">
      <formula>1</formula>
      <formula>50</formula>
    </cfRule>
  </conditionalFormatting>
  <conditionalFormatting sqref="E19">
    <cfRule type="cellIs" dxfId="50" priority="31" operator="greaterThan">
      <formula>50</formula>
    </cfRule>
  </conditionalFormatting>
  <conditionalFormatting sqref="E19">
    <cfRule type="cellIs" dxfId="49" priority="32" operator="lessThan">
      <formula>1</formula>
    </cfRule>
  </conditionalFormatting>
  <conditionalFormatting sqref="E6:E9 E13:E14 E18:E21 E27:E29">
    <cfRule type="cellIs" dxfId="48" priority="33" operator="between">
      <formula>1</formula>
      <formula>50</formula>
    </cfRule>
  </conditionalFormatting>
  <conditionalFormatting sqref="E6:E9 E13:E14 E18:E21 E27:E29">
    <cfRule type="cellIs" dxfId="47" priority="34" operator="greaterThan">
      <formula>50</formula>
    </cfRule>
  </conditionalFormatting>
  <conditionalFormatting sqref="E6:E9 E13:E14 E18:E21 E27:E29">
    <cfRule type="cellIs" dxfId="46" priority="35" operator="lessThan">
      <formula>1</formula>
    </cfRule>
  </conditionalFormatting>
  <conditionalFormatting sqref="W6:W9 W13:W14 W18 W21:W2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2:AI34"/>
  <sheetViews>
    <sheetView workbookViewId="0">
      <selection activeCell="AG5" sqref="AG5"/>
    </sheetView>
  </sheetViews>
  <sheetFormatPr baseColWidth="10" defaultColWidth="10.7109375" defaultRowHeight="15" x14ac:dyDescent="0.25"/>
  <cols>
    <col min="1" max="1" width="5.140625" customWidth="1"/>
    <col min="2" max="2" width="6.5703125" customWidth="1"/>
    <col min="3" max="3" width="15.140625" customWidth="1"/>
    <col min="4" max="4" width="12.28515625" customWidth="1"/>
    <col min="5" max="5" width="5.5703125" customWidth="1"/>
    <col min="6" max="6" width="5" customWidth="1"/>
    <col min="7" max="9" width="4.5703125" customWidth="1"/>
    <col min="10" max="11" width="3.5703125" customWidth="1"/>
    <col min="12" max="13" width="4.5703125" customWidth="1"/>
    <col min="14" max="14" width="7.28515625" customWidth="1"/>
    <col min="15" max="15" width="7.7109375" customWidth="1"/>
    <col min="16" max="16" width="11.28515625" customWidth="1"/>
    <col min="17" max="17" width="5.140625" customWidth="1"/>
    <col min="18" max="18" width="6.5703125" customWidth="1"/>
    <col min="19" max="19" width="12.28515625" customWidth="1"/>
    <col min="20" max="20" width="5.5703125" customWidth="1"/>
    <col min="21" max="21" width="5" customWidth="1"/>
    <col min="22" max="24" width="4.5703125" customWidth="1"/>
    <col min="25" max="26" width="3.5703125" customWidth="1"/>
    <col min="27" max="28" width="4.5703125" customWidth="1"/>
    <col min="29" max="29" width="7.28515625" customWidth="1"/>
    <col min="30" max="30" width="7.7109375" customWidth="1"/>
    <col min="31" max="31" width="11.28515625" customWidth="1"/>
    <col min="32" max="32" width="22.85546875" customWidth="1"/>
    <col min="33" max="33" width="3.5703125" customWidth="1"/>
    <col min="34" max="34" width="11.28515625" customWidth="1"/>
  </cols>
  <sheetData>
    <row r="2" spans="1:35" x14ac:dyDescent="0.25">
      <c r="B2" s="58"/>
      <c r="N2" s="50">
        <f>SUM(N4:N17)</f>
        <v>106000</v>
      </c>
      <c r="O2" s="50">
        <f>SUM(O4:O17)</f>
        <v>104670</v>
      </c>
      <c r="R2" s="58"/>
      <c r="AC2" s="50">
        <f>SUM(AC4:AC17)</f>
        <v>135786.19500000001</v>
      </c>
      <c r="AD2" s="50">
        <f>SUM(AD4:AD17)</f>
        <v>155054.826</v>
      </c>
    </row>
    <row r="3" spans="1:35" x14ac:dyDescent="0.25">
      <c r="A3" s="83" t="s">
        <v>350</v>
      </c>
      <c r="B3" s="81" t="s">
        <v>85</v>
      </c>
      <c r="C3" s="81" t="s">
        <v>351</v>
      </c>
      <c r="D3" s="81" t="s">
        <v>352</v>
      </c>
      <c r="E3" s="81" t="s">
        <v>353</v>
      </c>
      <c r="F3" s="81" t="s">
        <v>89</v>
      </c>
      <c r="G3" s="81" t="s">
        <v>107</v>
      </c>
      <c r="H3" s="81" t="s">
        <v>108</v>
      </c>
      <c r="I3" s="81" t="s">
        <v>109</v>
      </c>
      <c r="J3" s="81" t="s">
        <v>110</v>
      </c>
      <c r="K3" s="81" t="s">
        <v>111</v>
      </c>
      <c r="L3" s="81" t="s">
        <v>112</v>
      </c>
      <c r="M3" s="81" t="s">
        <v>90</v>
      </c>
      <c r="N3" s="81" t="s">
        <v>354</v>
      </c>
      <c r="O3" s="124" t="s">
        <v>355</v>
      </c>
      <c r="Q3" s="83" t="s">
        <v>350</v>
      </c>
      <c r="R3" s="81" t="s">
        <v>85</v>
      </c>
      <c r="S3" s="81" t="s">
        <v>352</v>
      </c>
      <c r="T3" s="81" t="s">
        <v>353</v>
      </c>
      <c r="U3" s="81" t="s">
        <v>89</v>
      </c>
      <c r="V3" s="81" t="s">
        <v>107</v>
      </c>
      <c r="W3" s="81" t="s">
        <v>108</v>
      </c>
      <c r="X3" s="81" t="s">
        <v>109</v>
      </c>
      <c r="Y3" s="81" t="s">
        <v>110</v>
      </c>
      <c r="Z3" s="81" t="s">
        <v>111</v>
      </c>
      <c r="AA3" s="81" t="s">
        <v>112</v>
      </c>
      <c r="AB3" s="81" t="s">
        <v>90</v>
      </c>
      <c r="AC3" s="81" t="s">
        <v>354</v>
      </c>
      <c r="AD3" s="124" t="s">
        <v>355</v>
      </c>
      <c r="AF3" s="58" t="s">
        <v>356</v>
      </c>
      <c r="AG3">
        <v>0</v>
      </c>
      <c r="AI3" s="4" t="s">
        <v>357</v>
      </c>
    </row>
    <row r="4" spans="1:35" x14ac:dyDescent="0.25">
      <c r="A4" s="247" t="s">
        <v>145</v>
      </c>
      <c r="B4" s="70" t="s">
        <v>14</v>
      </c>
      <c r="C4" s="71"/>
      <c r="D4" s="71"/>
      <c r="E4" s="71"/>
      <c r="F4" s="71"/>
      <c r="G4" s="87">
        <v>2</v>
      </c>
      <c r="H4" s="79">
        <v>2</v>
      </c>
      <c r="I4" s="87">
        <v>2</v>
      </c>
      <c r="J4" s="79">
        <v>0</v>
      </c>
      <c r="K4" s="87">
        <v>0</v>
      </c>
      <c r="L4" s="79">
        <v>0</v>
      </c>
      <c r="M4" s="87">
        <v>2</v>
      </c>
      <c r="N4" s="98"/>
      <c r="O4" s="50"/>
      <c r="Q4" s="247" t="s">
        <v>145</v>
      </c>
      <c r="R4" s="70" t="str">
        <f t="shared" ref="R4:R17" si="0">B4</f>
        <v>POR</v>
      </c>
      <c r="S4" s="71"/>
      <c r="T4" s="71"/>
      <c r="U4" s="71"/>
      <c r="V4" s="87">
        <f t="shared" ref="V4:AC9" si="1">G4</f>
        <v>2</v>
      </c>
      <c r="W4" s="87">
        <f t="shared" si="1"/>
        <v>2</v>
      </c>
      <c r="X4" s="87">
        <f t="shared" si="1"/>
        <v>2</v>
      </c>
      <c r="Y4" s="87">
        <f t="shared" si="1"/>
        <v>0</v>
      </c>
      <c r="Z4" s="87">
        <f t="shared" si="1"/>
        <v>0</v>
      </c>
      <c r="AA4" s="87">
        <f t="shared" si="1"/>
        <v>0</v>
      </c>
      <c r="AB4" s="87">
        <f t="shared" si="1"/>
        <v>2</v>
      </c>
      <c r="AC4" s="98">
        <f t="shared" si="1"/>
        <v>0</v>
      </c>
      <c r="AD4" s="50">
        <f t="shared" ref="AD4:AD10" si="2">AC4*1.2</f>
        <v>0</v>
      </c>
      <c r="AF4" s="58" t="s">
        <v>358</v>
      </c>
      <c r="AG4">
        <v>32</v>
      </c>
      <c r="AI4" t="s">
        <v>359</v>
      </c>
    </row>
    <row r="5" spans="1:35" x14ac:dyDescent="0.25">
      <c r="A5" s="247" t="s">
        <v>157</v>
      </c>
      <c r="B5" s="70" t="s">
        <v>37</v>
      </c>
      <c r="C5" s="71"/>
      <c r="D5" s="71" t="s">
        <v>360</v>
      </c>
      <c r="E5" s="71"/>
      <c r="F5" s="71"/>
      <c r="G5" s="87">
        <v>0</v>
      </c>
      <c r="H5" s="79">
        <v>2</v>
      </c>
      <c r="I5" s="79">
        <v>2</v>
      </c>
      <c r="J5" s="79">
        <v>2</v>
      </c>
      <c r="K5" s="87">
        <v>2</v>
      </c>
      <c r="L5" s="79">
        <v>2</v>
      </c>
      <c r="M5" s="87">
        <v>2</v>
      </c>
      <c r="N5" s="98"/>
      <c r="O5" s="50"/>
      <c r="Q5" s="247" t="s">
        <v>157</v>
      </c>
      <c r="R5" s="70" t="str">
        <f t="shared" si="0"/>
        <v>DEF</v>
      </c>
      <c r="S5" s="71" t="str">
        <f t="shared" ref="S5:S17" si="3">D5</f>
        <v>IMP/CAB</v>
      </c>
      <c r="T5" s="71"/>
      <c r="U5" s="71"/>
      <c r="V5" s="87">
        <f t="shared" si="1"/>
        <v>0</v>
      </c>
      <c r="W5" s="87">
        <f t="shared" si="1"/>
        <v>2</v>
      </c>
      <c r="X5" s="87">
        <f t="shared" si="1"/>
        <v>2</v>
      </c>
      <c r="Y5" s="87">
        <f t="shared" si="1"/>
        <v>2</v>
      </c>
      <c r="Z5" s="87">
        <f t="shared" si="1"/>
        <v>2</v>
      </c>
      <c r="AA5" s="87">
        <f t="shared" si="1"/>
        <v>2</v>
      </c>
      <c r="AB5" s="87">
        <f t="shared" si="1"/>
        <v>2</v>
      </c>
      <c r="AC5" s="98">
        <f t="shared" si="1"/>
        <v>0</v>
      </c>
      <c r="AD5" s="50">
        <f t="shared" si="2"/>
        <v>0</v>
      </c>
      <c r="AF5" s="58" t="s">
        <v>200</v>
      </c>
      <c r="AG5">
        <v>0</v>
      </c>
      <c r="AI5" t="s">
        <v>361</v>
      </c>
    </row>
    <row r="6" spans="1:35" x14ac:dyDescent="0.25">
      <c r="A6" s="247" t="s">
        <v>166</v>
      </c>
      <c r="B6" s="70" t="s">
        <v>37</v>
      </c>
      <c r="C6" s="71"/>
      <c r="D6" s="71" t="s">
        <v>360</v>
      </c>
      <c r="E6" s="71"/>
      <c r="F6" s="71"/>
      <c r="G6" s="87">
        <v>0</v>
      </c>
      <c r="H6" s="79">
        <v>2</v>
      </c>
      <c r="I6" s="79">
        <v>2</v>
      </c>
      <c r="J6" s="79">
        <v>2</v>
      </c>
      <c r="K6" s="87">
        <v>2</v>
      </c>
      <c r="L6" s="79">
        <v>2</v>
      </c>
      <c r="M6" s="87">
        <v>2</v>
      </c>
      <c r="N6" s="98"/>
      <c r="O6" s="50"/>
      <c r="Q6" s="247" t="s">
        <v>166</v>
      </c>
      <c r="R6" s="70" t="str">
        <f t="shared" si="0"/>
        <v>DEF</v>
      </c>
      <c r="S6" s="71" t="str">
        <f t="shared" si="3"/>
        <v>IMP/CAB</v>
      </c>
      <c r="T6" s="71"/>
      <c r="U6" s="71"/>
      <c r="V6" s="87">
        <f t="shared" si="1"/>
        <v>0</v>
      </c>
      <c r="W6" s="87">
        <f t="shared" si="1"/>
        <v>2</v>
      </c>
      <c r="X6" s="87">
        <f t="shared" si="1"/>
        <v>2</v>
      </c>
      <c r="Y6" s="87">
        <f t="shared" si="1"/>
        <v>2</v>
      </c>
      <c r="Z6" s="87">
        <f t="shared" si="1"/>
        <v>2</v>
      </c>
      <c r="AA6" s="87">
        <f t="shared" si="1"/>
        <v>2</v>
      </c>
      <c r="AB6" s="87">
        <f t="shared" si="1"/>
        <v>2</v>
      </c>
      <c r="AC6" s="98">
        <f t="shared" si="1"/>
        <v>0</v>
      </c>
      <c r="AD6" s="50">
        <f t="shared" si="2"/>
        <v>0</v>
      </c>
      <c r="AF6" s="58" t="s">
        <v>199</v>
      </c>
      <c r="AG6">
        <v>17</v>
      </c>
      <c r="AI6" t="s">
        <v>362</v>
      </c>
    </row>
    <row r="7" spans="1:35" x14ac:dyDescent="0.25">
      <c r="A7" s="247" t="s">
        <v>168</v>
      </c>
      <c r="B7" s="70" t="s">
        <v>37</v>
      </c>
      <c r="C7" s="71"/>
      <c r="D7" s="71" t="s">
        <v>360</v>
      </c>
      <c r="E7" s="71"/>
      <c r="F7" s="71"/>
      <c r="G7" s="87">
        <v>0</v>
      </c>
      <c r="H7" s="79">
        <v>2</v>
      </c>
      <c r="I7" s="79">
        <v>2</v>
      </c>
      <c r="J7" s="79">
        <v>2</v>
      </c>
      <c r="K7" s="87">
        <v>2</v>
      </c>
      <c r="L7" s="79">
        <v>2</v>
      </c>
      <c r="M7" s="87">
        <v>2</v>
      </c>
      <c r="N7" s="98"/>
      <c r="O7" s="50"/>
      <c r="Q7" s="247" t="s">
        <v>168</v>
      </c>
      <c r="R7" s="70" t="str">
        <f t="shared" si="0"/>
        <v>DEF</v>
      </c>
      <c r="S7" s="71" t="str">
        <f t="shared" si="3"/>
        <v>IMP/CAB</v>
      </c>
      <c r="T7" s="71"/>
      <c r="U7" s="71"/>
      <c r="V7" s="87">
        <f t="shared" si="1"/>
        <v>0</v>
      </c>
      <c r="W7" s="87">
        <f t="shared" si="1"/>
        <v>2</v>
      </c>
      <c r="X7" s="87">
        <f t="shared" si="1"/>
        <v>2</v>
      </c>
      <c r="Y7" s="87">
        <f t="shared" si="1"/>
        <v>2</v>
      </c>
      <c r="Z7" s="87">
        <f t="shared" si="1"/>
        <v>2</v>
      </c>
      <c r="AA7" s="87">
        <f t="shared" si="1"/>
        <v>2</v>
      </c>
      <c r="AB7" s="87">
        <f t="shared" si="1"/>
        <v>2</v>
      </c>
      <c r="AC7" s="98">
        <f t="shared" si="1"/>
        <v>0</v>
      </c>
      <c r="AD7" s="50">
        <f t="shared" si="2"/>
        <v>0</v>
      </c>
      <c r="AF7" s="58" t="s">
        <v>363</v>
      </c>
      <c r="AG7">
        <f>AG5+AG4+AG3+AG6</f>
        <v>49</v>
      </c>
      <c r="AI7" t="s">
        <v>364</v>
      </c>
    </row>
    <row r="8" spans="1:35" x14ac:dyDescent="0.25">
      <c r="A8" s="247" t="s">
        <v>365</v>
      </c>
      <c r="B8" s="70" t="s">
        <v>37</v>
      </c>
      <c r="C8" s="71"/>
      <c r="D8" s="71" t="s">
        <v>360</v>
      </c>
      <c r="E8" s="71"/>
      <c r="F8" s="71"/>
      <c r="G8" s="87">
        <v>0</v>
      </c>
      <c r="H8" s="79">
        <v>2</v>
      </c>
      <c r="I8" s="79">
        <v>2</v>
      </c>
      <c r="J8" s="79">
        <v>2</v>
      </c>
      <c r="K8" s="87">
        <v>2</v>
      </c>
      <c r="L8" s="79">
        <v>2</v>
      </c>
      <c r="M8" s="87">
        <v>2</v>
      </c>
      <c r="N8" s="98"/>
      <c r="O8" s="50"/>
      <c r="Q8" s="247" t="s">
        <v>365</v>
      </c>
      <c r="R8" s="70" t="str">
        <f t="shared" si="0"/>
        <v>DEF</v>
      </c>
      <c r="S8" s="71" t="str">
        <f t="shared" si="3"/>
        <v>IMP/CAB</v>
      </c>
      <c r="T8" s="71"/>
      <c r="U8" s="71"/>
      <c r="V8" s="87">
        <f t="shared" si="1"/>
        <v>0</v>
      </c>
      <c r="W8" s="87">
        <f t="shared" si="1"/>
        <v>2</v>
      </c>
      <c r="X8" s="87">
        <f t="shared" si="1"/>
        <v>2</v>
      </c>
      <c r="Y8" s="87">
        <f t="shared" si="1"/>
        <v>2</v>
      </c>
      <c r="Z8" s="87">
        <f t="shared" si="1"/>
        <v>2</v>
      </c>
      <c r="AA8" s="87">
        <f t="shared" si="1"/>
        <v>2</v>
      </c>
      <c r="AB8" s="87">
        <f t="shared" si="1"/>
        <v>2</v>
      </c>
      <c r="AC8" s="98">
        <f t="shared" si="1"/>
        <v>0</v>
      </c>
      <c r="AD8" s="50">
        <f t="shared" si="2"/>
        <v>0</v>
      </c>
      <c r="AF8" s="58" t="s">
        <v>366</v>
      </c>
      <c r="AG8" s="72">
        <f>AG7/16</f>
        <v>3.0625</v>
      </c>
    </row>
    <row r="9" spans="1:35" x14ac:dyDescent="0.25">
      <c r="A9" s="247" t="s">
        <v>367</v>
      </c>
      <c r="B9" s="70" t="s">
        <v>37</v>
      </c>
      <c r="C9" s="71"/>
      <c r="D9" s="71" t="s">
        <v>360</v>
      </c>
      <c r="E9" s="71"/>
      <c r="F9" s="71"/>
      <c r="G9" s="87">
        <v>0</v>
      </c>
      <c r="H9" s="79">
        <v>2</v>
      </c>
      <c r="I9" s="79">
        <v>2</v>
      </c>
      <c r="J9" s="79">
        <v>2</v>
      </c>
      <c r="K9" s="87">
        <v>2</v>
      </c>
      <c r="L9" s="79">
        <v>2</v>
      </c>
      <c r="M9" s="87">
        <v>2</v>
      </c>
      <c r="N9" s="98"/>
      <c r="O9" s="50"/>
      <c r="Q9" s="247" t="s">
        <v>367</v>
      </c>
      <c r="R9" s="70" t="str">
        <f t="shared" si="0"/>
        <v>DEF</v>
      </c>
      <c r="S9" s="71" t="str">
        <f t="shared" si="3"/>
        <v>IMP/CAB</v>
      </c>
      <c r="T9" s="71"/>
      <c r="U9" s="71"/>
      <c r="V9" s="87">
        <f t="shared" si="1"/>
        <v>0</v>
      </c>
      <c r="W9" s="87">
        <f t="shared" si="1"/>
        <v>2</v>
      </c>
      <c r="X9" s="87">
        <f t="shared" si="1"/>
        <v>2</v>
      </c>
      <c r="Y9" s="87">
        <f t="shared" si="1"/>
        <v>2</v>
      </c>
      <c r="Z9" s="87">
        <f t="shared" si="1"/>
        <v>2</v>
      </c>
      <c r="AA9" s="87">
        <f t="shared" si="1"/>
        <v>2</v>
      </c>
      <c r="AB9" s="87">
        <f t="shared" si="1"/>
        <v>2</v>
      </c>
      <c r="AC9" s="98">
        <f t="shared" si="1"/>
        <v>0</v>
      </c>
      <c r="AD9" s="50">
        <f t="shared" si="2"/>
        <v>0</v>
      </c>
    </row>
    <row r="10" spans="1:35" x14ac:dyDescent="0.25">
      <c r="A10" s="247" t="s">
        <v>368</v>
      </c>
      <c r="B10" s="70" t="s">
        <v>369</v>
      </c>
      <c r="C10" s="229" t="str">
        <f>Plantilla!D15</f>
        <v>I. Vanags</v>
      </c>
      <c r="D10" s="71" t="str">
        <f>Plantilla!G15</f>
        <v>CAB</v>
      </c>
      <c r="E10" s="71">
        <v>18</v>
      </c>
      <c r="F10" s="71">
        <v>64</v>
      </c>
      <c r="G10" s="87">
        <f>Plantilla!X15</f>
        <v>0</v>
      </c>
      <c r="H10" s="87">
        <f>Plantilla!Y15</f>
        <v>4</v>
      </c>
      <c r="I10" s="87">
        <f>Plantilla!Z15</f>
        <v>13</v>
      </c>
      <c r="J10" s="87">
        <f>Plantilla!AA15</f>
        <v>3</v>
      </c>
      <c r="K10" s="87">
        <f>Plantilla!AB15</f>
        <v>4</v>
      </c>
      <c r="L10" s="87">
        <f>Plantilla!AC15</f>
        <v>7</v>
      </c>
      <c r="M10" s="87">
        <f>Plantilla!AD15</f>
        <v>16.333333333333332</v>
      </c>
      <c r="N10" s="98">
        <f>Plantilla!V15</f>
        <v>19500</v>
      </c>
      <c r="O10" s="50">
        <v>870</v>
      </c>
      <c r="Q10" s="247" t="s">
        <v>368</v>
      </c>
      <c r="R10" s="70" t="str">
        <f t="shared" si="0"/>
        <v>Inners</v>
      </c>
      <c r="S10" s="71" t="str">
        <f t="shared" si="3"/>
        <v>CAB</v>
      </c>
      <c r="T10" s="71">
        <f>E10+3+1</f>
        <v>22</v>
      </c>
      <c r="U10" s="71">
        <f>F10+13*7-122</f>
        <v>33</v>
      </c>
      <c r="V10" s="87">
        <f t="shared" ref="V10:W17" si="4">G10</f>
        <v>0</v>
      </c>
      <c r="W10" s="87">
        <f t="shared" si="4"/>
        <v>4</v>
      </c>
      <c r="X10" s="87">
        <f>13+5/10</f>
        <v>13.5</v>
      </c>
      <c r="Y10" s="87">
        <f t="shared" ref="Y10:Z17" si="5">J10</f>
        <v>3</v>
      </c>
      <c r="Z10" s="87">
        <f t="shared" si="5"/>
        <v>4</v>
      </c>
      <c r="AA10" s="87">
        <f>10+1/6</f>
        <v>10.166666666666666</v>
      </c>
      <c r="AB10" s="87">
        <f t="shared" ref="AB10:AB17" si="6">M10</f>
        <v>16.333333333333332</v>
      </c>
      <c r="AC10" s="98">
        <f>(20000+1500+125+125)*1.02</f>
        <v>22185</v>
      </c>
      <c r="AD10" s="50">
        <f t="shared" si="2"/>
        <v>26622</v>
      </c>
    </row>
    <row r="11" spans="1:35" x14ac:dyDescent="0.25">
      <c r="A11" s="247" t="s">
        <v>172</v>
      </c>
      <c r="B11" s="70" t="s">
        <v>369</v>
      </c>
      <c r="C11" s="229" t="str">
        <f>Plantilla!D16</f>
        <v>I. Stone</v>
      </c>
      <c r="D11" s="71" t="str">
        <f>Plantilla!G16</f>
        <v>RAP</v>
      </c>
      <c r="E11" s="71">
        <v>18</v>
      </c>
      <c r="F11" s="71">
        <v>7</v>
      </c>
      <c r="G11" s="87">
        <f>Plantilla!X16</f>
        <v>0</v>
      </c>
      <c r="H11" s="87">
        <f>Plantilla!Y16</f>
        <v>3</v>
      </c>
      <c r="I11" s="87">
        <f>Plantilla!Z16</f>
        <v>12</v>
      </c>
      <c r="J11" s="87">
        <f>Plantilla!AA16</f>
        <v>2</v>
      </c>
      <c r="K11" s="87">
        <f>Plantilla!AB16</f>
        <v>6</v>
      </c>
      <c r="L11" s="87">
        <f>Plantilla!AC16</f>
        <v>9</v>
      </c>
      <c r="M11" s="87">
        <f>Plantilla!AD16</f>
        <v>15.333333333333334</v>
      </c>
      <c r="N11" s="98">
        <f>Plantilla!V16</f>
        <v>9910</v>
      </c>
      <c r="O11" s="50">
        <f>N11*1.2</f>
        <v>11892</v>
      </c>
      <c r="Q11" s="247" t="s">
        <v>172</v>
      </c>
      <c r="R11" s="70" t="str">
        <f t="shared" si="0"/>
        <v>Inners</v>
      </c>
      <c r="S11" s="71" t="str">
        <f t="shared" si="3"/>
        <v>RAP</v>
      </c>
      <c r="T11" s="71">
        <f>E11+3</f>
        <v>21</v>
      </c>
      <c r="U11" s="71">
        <f>F11+13*7</f>
        <v>98</v>
      </c>
      <c r="V11" s="87">
        <f t="shared" si="4"/>
        <v>0</v>
      </c>
      <c r="W11" s="87">
        <f t="shared" si="4"/>
        <v>3</v>
      </c>
      <c r="X11" s="87">
        <v>13</v>
      </c>
      <c r="Y11" s="87">
        <f t="shared" si="5"/>
        <v>2</v>
      </c>
      <c r="Z11" s="87">
        <f t="shared" si="5"/>
        <v>6</v>
      </c>
      <c r="AA11" s="87">
        <f>11+4/7</f>
        <v>11.571428571428571</v>
      </c>
      <c r="AB11" s="87">
        <f t="shared" si="6"/>
        <v>15.333333333333334</v>
      </c>
      <c r="AC11" s="98">
        <f>(14490+3125+145)*1.008</f>
        <v>17902.080000000002</v>
      </c>
      <c r="AD11" s="50">
        <f>AC11</f>
        <v>17902.080000000002</v>
      </c>
    </row>
    <row r="12" spans="1:35" x14ac:dyDescent="0.25">
      <c r="A12" s="247" t="s">
        <v>176</v>
      </c>
      <c r="B12" s="70" t="s">
        <v>369</v>
      </c>
      <c r="C12" s="229" t="str">
        <f>Plantilla!D17</f>
        <v>G. Piscaer</v>
      </c>
      <c r="D12" s="71" t="str">
        <f>Plantilla!G17</f>
        <v>IMP</v>
      </c>
      <c r="E12" s="71">
        <v>18</v>
      </c>
      <c r="F12" s="71">
        <v>80</v>
      </c>
      <c r="G12" s="87">
        <f>Plantilla!X17</f>
        <v>0</v>
      </c>
      <c r="H12" s="87">
        <f>Plantilla!Y17</f>
        <v>4</v>
      </c>
      <c r="I12" s="87">
        <f>Plantilla!Z17</f>
        <v>13</v>
      </c>
      <c r="J12" s="87">
        <f>Plantilla!AA17</f>
        <v>3</v>
      </c>
      <c r="K12" s="87">
        <f>Plantilla!AB17</f>
        <v>2</v>
      </c>
      <c r="L12" s="87">
        <f>Plantilla!AC17</f>
        <v>8</v>
      </c>
      <c r="M12" s="87">
        <f>Plantilla!AD17</f>
        <v>14.333333333333334</v>
      </c>
      <c r="N12" s="98">
        <f>Plantilla!V17</f>
        <v>23508</v>
      </c>
      <c r="O12" s="50">
        <f>N12*1.2</f>
        <v>28209.599999999999</v>
      </c>
      <c r="Q12" s="247" t="s">
        <v>176</v>
      </c>
      <c r="R12" s="70" t="str">
        <f t="shared" si="0"/>
        <v>Inners</v>
      </c>
      <c r="S12" s="71" t="str">
        <f t="shared" si="3"/>
        <v>IMP</v>
      </c>
      <c r="T12" s="71">
        <f>E12+3+1</f>
        <v>22</v>
      </c>
      <c r="U12" s="71">
        <f>F12+13*7-122</f>
        <v>49</v>
      </c>
      <c r="V12" s="87">
        <f t="shared" si="4"/>
        <v>0</v>
      </c>
      <c r="W12" s="87">
        <f t="shared" si="4"/>
        <v>4</v>
      </c>
      <c r="X12" s="87">
        <f>14</f>
        <v>14</v>
      </c>
      <c r="Y12" s="87">
        <f t="shared" si="5"/>
        <v>3</v>
      </c>
      <c r="Z12" s="87">
        <f t="shared" si="5"/>
        <v>2</v>
      </c>
      <c r="AA12" s="87">
        <f>10+6/7</f>
        <v>10.857142857142858</v>
      </c>
      <c r="AB12" s="87">
        <f t="shared" si="6"/>
        <v>14.333333333333334</v>
      </c>
      <c r="AC12" s="98">
        <f>(23500+2295+125)*1</f>
        <v>25920</v>
      </c>
      <c r="AD12" s="50">
        <f>AC12*1.2</f>
        <v>31104</v>
      </c>
    </row>
    <row r="13" spans="1:35" x14ac:dyDescent="0.25">
      <c r="A13" s="247" t="s">
        <v>180</v>
      </c>
      <c r="B13" s="70" t="s">
        <v>369</v>
      </c>
      <c r="C13" s="229" t="str">
        <f>Plantilla!D18</f>
        <v>M. Bondarewski</v>
      </c>
      <c r="D13" s="71" t="str">
        <f>Plantilla!G18</f>
        <v>RAP</v>
      </c>
      <c r="E13" s="71">
        <v>18</v>
      </c>
      <c r="F13" s="71">
        <v>80</v>
      </c>
      <c r="G13" s="87">
        <f>Plantilla!X18</f>
        <v>0</v>
      </c>
      <c r="H13" s="87">
        <f>Plantilla!Y18</f>
        <v>2</v>
      </c>
      <c r="I13" s="87">
        <f>Plantilla!Z18</f>
        <v>13</v>
      </c>
      <c r="J13" s="87">
        <f>Plantilla!AA18</f>
        <v>5</v>
      </c>
      <c r="K13" s="87">
        <f>Plantilla!AB18</f>
        <v>4</v>
      </c>
      <c r="L13" s="87">
        <f>Plantilla!AC18</f>
        <v>8</v>
      </c>
      <c r="M13" s="87">
        <f>Plantilla!AD18</f>
        <v>17</v>
      </c>
      <c r="N13" s="98">
        <f>Plantilla!V18</f>
        <v>24084</v>
      </c>
      <c r="O13" s="50">
        <f>N13*1.2</f>
        <v>28900.799999999999</v>
      </c>
      <c r="Q13" s="247" t="s">
        <v>180</v>
      </c>
      <c r="R13" s="70" t="str">
        <f t="shared" si="0"/>
        <v>Inners</v>
      </c>
      <c r="S13" s="71" t="str">
        <f t="shared" si="3"/>
        <v>RAP</v>
      </c>
      <c r="T13" s="71">
        <f>E13+3+1</f>
        <v>22</v>
      </c>
      <c r="U13" s="71">
        <f>F13+13*7-122</f>
        <v>49</v>
      </c>
      <c r="V13" s="87">
        <f t="shared" si="4"/>
        <v>0</v>
      </c>
      <c r="W13" s="87">
        <f t="shared" si="4"/>
        <v>2</v>
      </c>
      <c r="X13" s="87">
        <f>14</f>
        <v>14</v>
      </c>
      <c r="Y13" s="87">
        <f t="shared" si="5"/>
        <v>5</v>
      </c>
      <c r="Z13" s="87">
        <f t="shared" si="5"/>
        <v>4</v>
      </c>
      <c r="AA13" s="87">
        <f>10+6/7</f>
        <v>10.857142857142858</v>
      </c>
      <c r="AB13" s="87">
        <f t="shared" si="6"/>
        <v>17</v>
      </c>
      <c r="AC13" s="98">
        <f>(23500+2295+125+125)*1.02</f>
        <v>26565.9</v>
      </c>
      <c r="AD13" s="50">
        <f>AC13*1.2</f>
        <v>31879.08</v>
      </c>
    </row>
    <row r="14" spans="1:35" x14ac:dyDescent="0.25">
      <c r="A14" s="247" t="s">
        <v>183</v>
      </c>
      <c r="B14" s="70" t="s">
        <v>369</v>
      </c>
      <c r="C14" s="229" t="str">
        <f>Plantilla!D19</f>
        <v>P. Tuderek</v>
      </c>
      <c r="D14" s="71" t="str">
        <f>Plantilla!G14</f>
        <v>IMP</v>
      </c>
      <c r="E14" s="71">
        <v>18</v>
      </c>
      <c r="F14" s="71">
        <v>66</v>
      </c>
      <c r="G14" s="87">
        <f>Plantilla!X19</f>
        <v>0</v>
      </c>
      <c r="H14" s="87">
        <f>Plantilla!Y19</f>
        <v>6</v>
      </c>
      <c r="I14" s="87">
        <f>Plantilla!Z19</f>
        <v>12</v>
      </c>
      <c r="J14" s="87">
        <f>Plantilla!AA19</f>
        <v>2</v>
      </c>
      <c r="K14" s="87">
        <f>Plantilla!AB19</f>
        <v>3</v>
      </c>
      <c r="L14" s="87">
        <f>Plantilla!AC19</f>
        <v>6</v>
      </c>
      <c r="M14" s="87">
        <f>Plantilla!AD19</f>
        <v>17.25</v>
      </c>
      <c r="N14" s="98">
        <f>Plantilla!V19</f>
        <v>12948</v>
      </c>
      <c r="O14" s="50">
        <f>N14*1.2</f>
        <v>15537.599999999999</v>
      </c>
      <c r="Q14" s="247" t="s">
        <v>183</v>
      </c>
      <c r="R14" s="70" t="str">
        <f t="shared" si="0"/>
        <v>Inners</v>
      </c>
      <c r="S14" s="71" t="str">
        <f t="shared" si="3"/>
        <v>IMP</v>
      </c>
      <c r="T14" s="71">
        <v>22</v>
      </c>
      <c r="U14" s="71">
        <f>F14+13*7-112</f>
        <v>45</v>
      </c>
      <c r="V14" s="87">
        <f t="shared" si="4"/>
        <v>0</v>
      </c>
      <c r="W14" s="87">
        <f t="shared" si="4"/>
        <v>6</v>
      </c>
      <c r="X14" s="87">
        <f>13+4/10</f>
        <v>13.4</v>
      </c>
      <c r="Y14" s="87">
        <f t="shared" si="5"/>
        <v>2</v>
      </c>
      <c r="Z14" s="87">
        <f t="shared" si="5"/>
        <v>3</v>
      </c>
      <c r="AA14" s="87">
        <f>9+3/6</f>
        <v>9.5</v>
      </c>
      <c r="AB14" s="87">
        <f t="shared" si="6"/>
        <v>17.25</v>
      </c>
      <c r="AC14" s="98">
        <f>(20000+165+1020)*1.023</f>
        <v>21672.254999999997</v>
      </c>
      <c r="AD14" s="50">
        <f>AC14*1.2</f>
        <v>26006.705999999995</v>
      </c>
    </row>
    <row r="15" spans="1:35" x14ac:dyDescent="0.25">
      <c r="A15" s="247" t="s">
        <v>178</v>
      </c>
      <c r="B15" s="70" t="s">
        <v>369</v>
      </c>
      <c r="C15" s="229" t="str">
        <f>Plantilla!D20</f>
        <v>R. Forsyth</v>
      </c>
      <c r="D15" s="71" t="str">
        <f>Plantilla!G20</f>
        <v>POT</v>
      </c>
      <c r="E15" s="71">
        <v>19</v>
      </c>
      <c r="F15" s="71">
        <v>9</v>
      </c>
      <c r="G15" s="87">
        <f>Plantilla!X20</f>
        <v>0</v>
      </c>
      <c r="H15" s="87">
        <f>Plantilla!Y20</f>
        <v>7</v>
      </c>
      <c r="I15" s="87">
        <f>Plantilla!Z20</f>
        <v>13</v>
      </c>
      <c r="J15" s="87">
        <f>Plantilla!AA20</f>
        <v>3</v>
      </c>
      <c r="K15" s="87">
        <f>Plantilla!AB20</f>
        <v>4</v>
      </c>
      <c r="L15" s="87">
        <f>Plantilla!AC20</f>
        <v>6</v>
      </c>
      <c r="M15" s="87">
        <f>Plantilla!AD20</f>
        <v>15</v>
      </c>
      <c r="N15" s="98">
        <f>Plantilla!V20</f>
        <v>16050</v>
      </c>
      <c r="O15" s="50">
        <f>N15*1.2</f>
        <v>19260</v>
      </c>
      <c r="Q15" s="247" t="s">
        <v>178</v>
      </c>
      <c r="R15" s="70" t="str">
        <f t="shared" si="0"/>
        <v>Inners</v>
      </c>
      <c r="S15" s="71" t="str">
        <f t="shared" si="3"/>
        <v>POT</v>
      </c>
      <c r="T15" s="71">
        <f>E15+3</f>
        <v>22</v>
      </c>
      <c r="U15" s="71">
        <f>F15+13*7</f>
        <v>100</v>
      </c>
      <c r="V15" s="87">
        <f t="shared" si="4"/>
        <v>0</v>
      </c>
      <c r="W15" s="87">
        <f t="shared" si="4"/>
        <v>7</v>
      </c>
      <c r="X15" s="87">
        <f>13+4/9</f>
        <v>13.444444444444445</v>
      </c>
      <c r="Y15" s="87">
        <f t="shared" si="5"/>
        <v>3</v>
      </c>
      <c r="Z15" s="87">
        <f t="shared" si="5"/>
        <v>4</v>
      </c>
      <c r="AA15" s="87">
        <f>9+3/6</f>
        <v>9.5</v>
      </c>
      <c r="AB15" s="87">
        <f t="shared" si="6"/>
        <v>15</v>
      </c>
      <c r="AC15" s="98">
        <f>(20000+1020+225+125)*1.008</f>
        <v>21540.959999999999</v>
      </c>
      <c r="AD15" s="50">
        <f>AC15</f>
        <v>21540.959999999999</v>
      </c>
    </row>
    <row r="16" spans="1:35" x14ac:dyDescent="0.25">
      <c r="A16" s="247" t="s">
        <v>370</v>
      </c>
      <c r="B16" s="70" t="s">
        <v>140</v>
      </c>
      <c r="C16" s="71"/>
      <c r="D16" s="71" t="s">
        <v>371</v>
      </c>
      <c r="E16" s="71"/>
      <c r="F16" s="71"/>
      <c r="G16" s="87">
        <v>0</v>
      </c>
      <c r="H16" s="79">
        <v>2</v>
      </c>
      <c r="I16" s="79">
        <v>2</v>
      </c>
      <c r="J16" s="79">
        <v>2</v>
      </c>
      <c r="K16" s="87">
        <v>2</v>
      </c>
      <c r="L16" s="79">
        <v>2</v>
      </c>
      <c r="M16" s="87">
        <v>2</v>
      </c>
      <c r="N16" s="98"/>
      <c r="O16" s="50"/>
      <c r="Q16" s="247" t="s">
        <v>370</v>
      </c>
      <c r="R16" s="70" t="str">
        <f t="shared" si="0"/>
        <v>DD</v>
      </c>
      <c r="S16" s="71" t="str">
        <f t="shared" si="3"/>
        <v>RAP/IMP/CAB</v>
      </c>
      <c r="T16" s="71"/>
      <c r="U16" s="71"/>
      <c r="V16" s="87">
        <f t="shared" si="4"/>
        <v>0</v>
      </c>
      <c r="W16" s="87">
        <f t="shared" si="4"/>
        <v>2</v>
      </c>
      <c r="X16" s="87">
        <f>I16</f>
        <v>2</v>
      </c>
      <c r="Y16" s="87">
        <f t="shared" si="5"/>
        <v>2</v>
      </c>
      <c r="Z16" s="87">
        <f t="shared" si="5"/>
        <v>2</v>
      </c>
      <c r="AA16" s="87">
        <f>L16</f>
        <v>2</v>
      </c>
      <c r="AB16" s="87">
        <f t="shared" si="6"/>
        <v>2</v>
      </c>
      <c r="AC16" s="98">
        <f>N16</f>
        <v>0</v>
      </c>
      <c r="AD16" s="50">
        <f>AC16*1.2</f>
        <v>0</v>
      </c>
    </row>
    <row r="17" spans="1:33" x14ac:dyDescent="0.25">
      <c r="A17" s="247" t="s">
        <v>174</v>
      </c>
      <c r="B17" s="70" t="s">
        <v>140</v>
      </c>
      <c r="C17" s="71"/>
      <c r="D17" s="71" t="s">
        <v>371</v>
      </c>
      <c r="E17" s="71"/>
      <c r="F17" s="71"/>
      <c r="G17" s="87">
        <v>0</v>
      </c>
      <c r="H17" s="79">
        <v>2</v>
      </c>
      <c r="I17" s="79">
        <v>2</v>
      </c>
      <c r="J17" s="79">
        <v>2</v>
      </c>
      <c r="K17" s="87">
        <v>2</v>
      </c>
      <c r="L17" s="79">
        <v>2</v>
      </c>
      <c r="M17" s="87">
        <v>2</v>
      </c>
      <c r="N17" s="98"/>
      <c r="O17" s="50"/>
      <c r="Q17" s="247" t="s">
        <v>174</v>
      </c>
      <c r="R17" s="70" t="str">
        <f t="shared" si="0"/>
        <v>DD</v>
      </c>
      <c r="S17" s="71" t="str">
        <f t="shared" si="3"/>
        <v>RAP/IMP/CAB</v>
      </c>
      <c r="T17" s="71"/>
      <c r="U17" s="71"/>
      <c r="V17" s="87">
        <f t="shared" si="4"/>
        <v>0</v>
      </c>
      <c r="W17" s="87">
        <f t="shared" si="4"/>
        <v>2</v>
      </c>
      <c r="X17" s="87">
        <f>I17</f>
        <v>2</v>
      </c>
      <c r="Y17" s="87">
        <f t="shared" si="5"/>
        <v>2</v>
      </c>
      <c r="Z17" s="87">
        <f t="shared" si="5"/>
        <v>2</v>
      </c>
      <c r="AA17" s="87">
        <f>L17</f>
        <v>2</v>
      </c>
      <c r="AB17" s="87">
        <f t="shared" si="6"/>
        <v>2</v>
      </c>
      <c r="AC17" s="98">
        <f>N17</f>
        <v>0</v>
      </c>
      <c r="AD17" s="50">
        <f>AC17*1.2</f>
        <v>0</v>
      </c>
    </row>
    <row r="19" spans="1:33" x14ac:dyDescent="0.25">
      <c r="B19" s="58"/>
      <c r="N19" s="50">
        <f>SUM(N21:N34)</f>
        <v>306220.63499999995</v>
      </c>
      <c r="O19" s="50">
        <f>SUM(O21:O34)</f>
        <v>359576.1540000001</v>
      </c>
      <c r="R19" s="58"/>
      <c r="AC19" s="50">
        <f>SUM(AC21:AC34)</f>
        <v>314340.125</v>
      </c>
      <c r="AD19" s="50">
        <f>SUM(AD21:AD34)</f>
        <v>377208.15</v>
      </c>
    </row>
    <row r="20" spans="1:33" x14ac:dyDescent="0.25">
      <c r="A20" s="83" t="s">
        <v>350</v>
      </c>
      <c r="B20" s="81" t="s">
        <v>85</v>
      </c>
      <c r="C20" s="81" t="s">
        <v>351</v>
      </c>
      <c r="D20" s="81" t="s">
        <v>352</v>
      </c>
      <c r="E20" s="81" t="s">
        <v>353</v>
      </c>
      <c r="F20" s="81" t="s">
        <v>89</v>
      </c>
      <c r="G20" s="81" t="s">
        <v>107</v>
      </c>
      <c r="H20" s="81" t="s">
        <v>108</v>
      </c>
      <c r="I20" s="81" t="s">
        <v>109</v>
      </c>
      <c r="J20" s="81" t="s">
        <v>110</v>
      </c>
      <c r="K20" s="81" t="s">
        <v>111</v>
      </c>
      <c r="L20" s="81" t="s">
        <v>112</v>
      </c>
      <c r="M20" s="81" t="s">
        <v>90</v>
      </c>
      <c r="N20" s="81" t="s">
        <v>354</v>
      </c>
      <c r="O20" s="124" t="s">
        <v>355</v>
      </c>
      <c r="Q20" s="83" t="s">
        <v>350</v>
      </c>
      <c r="R20" s="81" t="s">
        <v>85</v>
      </c>
      <c r="S20" s="81" t="s">
        <v>352</v>
      </c>
      <c r="T20" s="81" t="s">
        <v>353</v>
      </c>
      <c r="U20" s="81" t="s">
        <v>89</v>
      </c>
      <c r="V20" s="81" t="s">
        <v>107</v>
      </c>
      <c r="W20" s="81" t="s">
        <v>108</v>
      </c>
      <c r="X20" s="81" t="s">
        <v>109</v>
      </c>
      <c r="Y20" s="81" t="s">
        <v>110</v>
      </c>
      <c r="Z20" s="81" t="s">
        <v>111</v>
      </c>
      <c r="AA20" s="81" t="s">
        <v>112</v>
      </c>
      <c r="AB20" s="81" t="s">
        <v>90</v>
      </c>
      <c r="AC20" s="81" t="s">
        <v>354</v>
      </c>
      <c r="AD20" s="124" t="s">
        <v>355</v>
      </c>
      <c r="AF20" s="58" t="s">
        <v>356</v>
      </c>
      <c r="AG20">
        <v>0</v>
      </c>
    </row>
    <row r="21" spans="1:33" x14ac:dyDescent="0.25">
      <c r="A21" s="247" t="str">
        <f t="shared" ref="A21:B34" si="7">A4</f>
        <v>#1</v>
      </c>
      <c r="B21" s="70" t="str">
        <f t="shared" si="7"/>
        <v>POR</v>
      </c>
      <c r="C21" s="71" t="s">
        <v>372</v>
      </c>
      <c r="D21" s="71">
        <f>D4</f>
        <v>0</v>
      </c>
      <c r="E21" s="71">
        <v>22</v>
      </c>
      <c r="F21" s="71">
        <v>50</v>
      </c>
      <c r="G21" s="87">
        <v>15</v>
      </c>
      <c r="H21" s="87">
        <v>4</v>
      </c>
      <c r="I21" s="87">
        <f>X4</f>
        <v>2</v>
      </c>
      <c r="J21" s="87">
        <f>Y4</f>
        <v>0</v>
      </c>
      <c r="K21" s="87">
        <f>Z4</f>
        <v>0</v>
      </c>
      <c r="L21" s="87">
        <f>AA4</f>
        <v>0</v>
      </c>
      <c r="M21" s="87">
        <v>4</v>
      </c>
      <c r="N21" s="98">
        <f>(24270+125)*1.012</f>
        <v>24687.74</v>
      </c>
      <c r="O21" s="98">
        <f t="shared" ref="O21:O26" si="8">N21*1.2</f>
        <v>29625.288</v>
      </c>
      <c r="Q21" s="247" t="s">
        <v>145</v>
      </c>
      <c r="R21" s="70" t="str">
        <f t="shared" ref="R21:R34" si="9">B21</f>
        <v>POR</v>
      </c>
      <c r="S21" s="71"/>
      <c r="T21" s="71"/>
      <c r="U21" s="71"/>
      <c r="V21" s="87">
        <f t="shared" ref="V21:V34" si="10">G21</f>
        <v>15</v>
      </c>
      <c r="W21" s="87">
        <f t="shared" ref="W21:W34" si="11">H21</f>
        <v>4</v>
      </c>
      <c r="X21" s="87">
        <f t="shared" ref="X21:X34" si="12">I21</f>
        <v>2</v>
      </c>
      <c r="Y21" s="87">
        <f t="shared" ref="Y21:Y34" si="13">J21</f>
        <v>0</v>
      </c>
      <c r="Z21" s="87">
        <f t="shared" ref="Z21:Z34" si="14">K21</f>
        <v>0</v>
      </c>
      <c r="AA21" s="87">
        <f t="shared" ref="AA21:AA34" si="15">L21</f>
        <v>0</v>
      </c>
      <c r="AB21" s="87">
        <v>17</v>
      </c>
      <c r="AC21" s="98">
        <f>(24270+125)*1.047</f>
        <v>25541.564999999999</v>
      </c>
      <c r="AD21" s="50">
        <f t="shared" ref="AD21:AD34" si="16">AC21*1.2</f>
        <v>30649.877999999997</v>
      </c>
      <c r="AF21" s="58" t="s">
        <v>358</v>
      </c>
      <c r="AG21">
        <v>0</v>
      </c>
    </row>
    <row r="22" spans="1:33" x14ac:dyDescent="0.25">
      <c r="A22" s="247" t="str">
        <f t="shared" si="7"/>
        <v>#2</v>
      </c>
      <c r="B22" s="70" t="str">
        <f t="shared" si="7"/>
        <v>DEF</v>
      </c>
      <c r="C22" s="71" t="s">
        <v>373</v>
      </c>
      <c r="D22" s="71" t="s">
        <v>159</v>
      </c>
      <c r="E22" s="71">
        <v>22</v>
      </c>
      <c r="F22" s="71">
        <v>50</v>
      </c>
      <c r="G22" s="87">
        <f t="shared" ref="G22:G34" si="17">V5</f>
        <v>0</v>
      </c>
      <c r="H22" s="87">
        <v>14</v>
      </c>
      <c r="I22" s="87">
        <v>5</v>
      </c>
      <c r="J22" s="87">
        <f t="shared" ref="J22:J34" si="18">Y5</f>
        <v>2</v>
      </c>
      <c r="K22" s="87">
        <f t="shared" ref="K22:K34" si="19">Z5</f>
        <v>2</v>
      </c>
      <c r="L22" s="87">
        <v>7</v>
      </c>
      <c r="M22" s="87">
        <v>3</v>
      </c>
      <c r="N22" s="98">
        <f>(18370+135+245)*1.012</f>
        <v>18975</v>
      </c>
      <c r="O22" s="98">
        <f t="shared" si="8"/>
        <v>22770</v>
      </c>
      <c r="Q22" s="247" t="s">
        <v>157</v>
      </c>
      <c r="R22" s="70" t="str">
        <f t="shared" si="9"/>
        <v>DEF</v>
      </c>
      <c r="S22" s="71" t="str">
        <f t="shared" ref="S22:S34" si="20">D22</f>
        <v>CAB</v>
      </c>
      <c r="T22" s="71"/>
      <c r="U22" s="71"/>
      <c r="V22" s="87">
        <f t="shared" si="10"/>
        <v>0</v>
      </c>
      <c r="W22" s="87">
        <f t="shared" si="11"/>
        <v>14</v>
      </c>
      <c r="X22" s="87">
        <f t="shared" si="12"/>
        <v>5</v>
      </c>
      <c r="Y22" s="87">
        <f t="shared" si="13"/>
        <v>2</v>
      </c>
      <c r="Z22" s="87">
        <f t="shared" si="14"/>
        <v>2</v>
      </c>
      <c r="AA22" s="87">
        <f t="shared" si="15"/>
        <v>7</v>
      </c>
      <c r="AB22" s="87">
        <v>14</v>
      </c>
      <c r="AC22" s="98">
        <f>(18370+135+245)*1.04</f>
        <v>19500</v>
      </c>
      <c r="AD22" s="50">
        <f t="shared" si="16"/>
        <v>23400</v>
      </c>
      <c r="AF22" s="58" t="s">
        <v>200</v>
      </c>
      <c r="AG22">
        <v>16</v>
      </c>
    </row>
    <row r="23" spans="1:33" x14ac:dyDescent="0.25">
      <c r="A23" s="247" t="str">
        <f t="shared" si="7"/>
        <v>#3</v>
      </c>
      <c r="B23" s="70" t="str">
        <f t="shared" si="7"/>
        <v>DEF</v>
      </c>
      <c r="C23" s="71" t="s">
        <v>373</v>
      </c>
      <c r="D23" s="71" t="s">
        <v>159</v>
      </c>
      <c r="E23" s="71">
        <v>22</v>
      </c>
      <c r="F23" s="71">
        <v>50</v>
      </c>
      <c r="G23" s="87">
        <f t="shared" si="17"/>
        <v>0</v>
      </c>
      <c r="H23" s="87">
        <v>14</v>
      </c>
      <c r="I23" s="87">
        <v>5</v>
      </c>
      <c r="J23" s="87">
        <f t="shared" si="18"/>
        <v>2</v>
      </c>
      <c r="K23" s="87">
        <f t="shared" si="19"/>
        <v>2</v>
      </c>
      <c r="L23" s="87">
        <v>7</v>
      </c>
      <c r="M23" s="87">
        <v>3</v>
      </c>
      <c r="N23" s="98">
        <f>(18370+135+245)*1.012</f>
        <v>18975</v>
      </c>
      <c r="O23" s="98">
        <f t="shared" si="8"/>
        <v>22770</v>
      </c>
      <c r="Q23" s="247" t="s">
        <v>166</v>
      </c>
      <c r="R23" s="70" t="str">
        <f t="shared" si="9"/>
        <v>DEF</v>
      </c>
      <c r="S23" s="71" t="str">
        <f t="shared" si="20"/>
        <v>CAB</v>
      </c>
      <c r="T23" s="71"/>
      <c r="U23" s="71"/>
      <c r="V23" s="87">
        <f t="shared" si="10"/>
        <v>0</v>
      </c>
      <c r="W23" s="87">
        <f t="shared" si="11"/>
        <v>14</v>
      </c>
      <c r="X23" s="87">
        <f t="shared" si="12"/>
        <v>5</v>
      </c>
      <c r="Y23" s="87">
        <f t="shared" si="13"/>
        <v>2</v>
      </c>
      <c r="Z23" s="87">
        <f t="shared" si="14"/>
        <v>2</v>
      </c>
      <c r="AA23" s="87">
        <f t="shared" si="15"/>
        <v>7</v>
      </c>
      <c r="AB23" s="87">
        <v>14</v>
      </c>
      <c r="AC23" s="98">
        <f>(18370+135+245)*1.04</f>
        <v>19500</v>
      </c>
      <c r="AD23" s="50">
        <f t="shared" si="16"/>
        <v>23400</v>
      </c>
      <c r="AF23" s="58" t="s">
        <v>199</v>
      </c>
      <c r="AG23">
        <v>0</v>
      </c>
    </row>
    <row r="24" spans="1:33" x14ac:dyDescent="0.25">
      <c r="A24" s="247" t="str">
        <f t="shared" si="7"/>
        <v>#4</v>
      </c>
      <c r="B24" s="70" t="str">
        <f t="shared" si="7"/>
        <v>DEF</v>
      </c>
      <c r="C24" s="71" t="s">
        <v>373</v>
      </c>
      <c r="D24" s="71" t="s">
        <v>159</v>
      </c>
      <c r="E24" s="71">
        <v>22</v>
      </c>
      <c r="F24" s="71">
        <v>50</v>
      </c>
      <c r="G24" s="87">
        <f t="shared" si="17"/>
        <v>0</v>
      </c>
      <c r="H24" s="87">
        <v>14</v>
      </c>
      <c r="I24" s="87">
        <v>5</v>
      </c>
      <c r="J24" s="87">
        <f t="shared" si="18"/>
        <v>2</v>
      </c>
      <c r="K24" s="87">
        <f t="shared" si="19"/>
        <v>2</v>
      </c>
      <c r="L24" s="87">
        <v>7</v>
      </c>
      <c r="M24" s="87">
        <v>3</v>
      </c>
      <c r="N24" s="98">
        <f>(18370+135+245)*1.012</f>
        <v>18975</v>
      </c>
      <c r="O24" s="98">
        <f t="shared" si="8"/>
        <v>22770</v>
      </c>
      <c r="Q24" s="247" t="s">
        <v>168</v>
      </c>
      <c r="R24" s="70" t="str">
        <f t="shared" si="9"/>
        <v>DEF</v>
      </c>
      <c r="S24" s="71" t="str">
        <f t="shared" si="20"/>
        <v>CAB</v>
      </c>
      <c r="T24" s="71"/>
      <c r="U24" s="71"/>
      <c r="V24" s="87">
        <f t="shared" si="10"/>
        <v>0</v>
      </c>
      <c r="W24" s="87">
        <f t="shared" si="11"/>
        <v>14</v>
      </c>
      <c r="X24" s="87">
        <f t="shared" si="12"/>
        <v>5</v>
      </c>
      <c r="Y24" s="87">
        <f t="shared" si="13"/>
        <v>2</v>
      </c>
      <c r="Z24" s="87">
        <f t="shared" si="14"/>
        <v>2</v>
      </c>
      <c r="AA24" s="87">
        <f t="shared" si="15"/>
        <v>7</v>
      </c>
      <c r="AB24" s="87">
        <v>14</v>
      </c>
      <c r="AC24" s="98">
        <f>(18370+135+245)*1.04</f>
        <v>19500</v>
      </c>
      <c r="AD24" s="50">
        <f t="shared" si="16"/>
        <v>23400</v>
      </c>
      <c r="AF24" s="58" t="s">
        <v>363</v>
      </c>
      <c r="AG24">
        <f>AG22+AG21+AG20+AG23</f>
        <v>16</v>
      </c>
    </row>
    <row r="25" spans="1:33" x14ac:dyDescent="0.25">
      <c r="A25" s="247" t="str">
        <f t="shared" si="7"/>
        <v>#5</v>
      </c>
      <c r="B25" s="70" t="str">
        <f t="shared" si="7"/>
        <v>DEF</v>
      </c>
      <c r="C25" s="71" t="s">
        <v>373</v>
      </c>
      <c r="D25" s="71" t="s">
        <v>159</v>
      </c>
      <c r="E25" s="71">
        <v>22</v>
      </c>
      <c r="F25" s="71">
        <v>50</v>
      </c>
      <c r="G25" s="87">
        <f t="shared" si="17"/>
        <v>0</v>
      </c>
      <c r="H25" s="87">
        <v>14</v>
      </c>
      <c r="I25" s="87">
        <v>5</v>
      </c>
      <c r="J25" s="87">
        <f t="shared" si="18"/>
        <v>2</v>
      </c>
      <c r="K25" s="87">
        <f t="shared" si="19"/>
        <v>2</v>
      </c>
      <c r="L25" s="87">
        <v>7</v>
      </c>
      <c r="M25" s="87">
        <v>3</v>
      </c>
      <c r="N25" s="98">
        <f>(18370+135+245)*1.012</f>
        <v>18975</v>
      </c>
      <c r="O25" s="98">
        <f t="shared" si="8"/>
        <v>22770</v>
      </c>
      <c r="Q25" s="247" t="s">
        <v>365</v>
      </c>
      <c r="R25" s="70" t="str">
        <f t="shared" si="9"/>
        <v>DEF</v>
      </c>
      <c r="S25" s="71" t="str">
        <f t="shared" si="20"/>
        <v>CAB</v>
      </c>
      <c r="T25" s="71"/>
      <c r="U25" s="71"/>
      <c r="V25" s="87">
        <f t="shared" si="10"/>
        <v>0</v>
      </c>
      <c r="W25" s="87">
        <f t="shared" si="11"/>
        <v>14</v>
      </c>
      <c r="X25" s="87">
        <f t="shared" si="12"/>
        <v>5</v>
      </c>
      <c r="Y25" s="87">
        <f t="shared" si="13"/>
        <v>2</v>
      </c>
      <c r="Z25" s="87">
        <f t="shared" si="14"/>
        <v>2</v>
      </c>
      <c r="AA25" s="87">
        <f t="shared" si="15"/>
        <v>7</v>
      </c>
      <c r="AB25" s="87">
        <v>14</v>
      </c>
      <c r="AC25" s="98">
        <f>(18370+135+245)*1.04</f>
        <v>19500</v>
      </c>
      <c r="AD25" s="50">
        <f t="shared" si="16"/>
        <v>23400</v>
      </c>
      <c r="AF25" s="58" t="s">
        <v>366</v>
      </c>
      <c r="AG25" s="72">
        <f>AG24/16</f>
        <v>1</v>
      </c>
    </row>
    <row r="26" spans="1:33" x14ac:dyDescent="0.25">
      <c r="A26" s="247" t="str">
        <f t="shared" si="7"/>
        <v>#6</v>
      </c>
      <c r="B26" s="70" t="str">
        <f t="shared" si="7"/>
        <v>DEF</v>
      </c>
      <c r="C26" s="71" t="s">
        <v>373</v>
      </c>
      <c r="D26" s="71" t="s">
        <v>159</v>
      </c>
      <c r="E26" s="71">
        <v>22</v>
      </c>
      <c r="F26" s="71">
        <v>50</v>
      </c>
      <c r="G26" s="87">
        <f t="shared" si="17"/>
        <v>0</v>
      </c>
      <c r="H26" s="87">
        <v>14</v>
      </c>
      <c r="I26" s="87">
        <v>5</v>
      </c>
      <c r="J26" s="87">
        <f t="shared" si="18"/>
        <v>2</v>
      </c>
      <c r="K26" s="87">
        <f t="shared" si="19"/>
        <v>2</v>
      </c>
      <c r="L26" s="87">
        <v>7</v>
      </c>
      <c r="M26" s="87">
        <v>3</v>
      </c>
      <c r="N26" s="98">
        <f>(18370+135+245)*1.012</f>
        <v>18975</v>
      </c>
      <c r="O26" s="98">
        <f t="shared" si="8"/>
        <v>22770</v>
      </c>
      <c r="Q26" s="247" t="s">
        <v>367</v>
      </c>
      <c r="R26" s="70" t="str">
        <f t="shared" si="9"/>
        <v>DEF</v>
      </c>
      <c r="S26" s="71" t="str">
        <f t="shared" si="20"/>
        <v>CAB</v>
      </c>
      <c r="T26" s="71"/>
      <c r="U26" s="71"/>
      <c r="V26" s="87">
        <f t="shared" si="10"/>
        <v>0</v>
      </c>
      <c r="W26" s="87">
        <f t="shared" si="11"/>
        <v>14</v>
      </c>
      <c r="X26" s="87">
        <f t="shared" si="12"/>
        <v>5</v>
      </c>
      <c r="Y26" s="87">
        <f t="shared" si="13"/>
        <v>2</v>
      </c>
      <c r="Z26" s="87">
        <f t="shared" si="14"/>
        <v>2</v>
      </c>
      <c r="AA26" s="87">
        <f t="shared" si="15"/>
        <v>7</v>
      </c>
      <c r="AB26" s="87">
        <v>14</v>
      </c>
      <c r="AC26" s="98">
        <f>(18370+135+245)*1.04</f>
        <v>19500</v>
      </c>
      <c r="AD26" s="50">
        <f t="shared" si="16"/>
        <v>23400</v>
      </c>
    </row>
    <row r="27" spans="1:33" x14ac:dyDescent="0.25">
      <c r="A27" s="247" t="str">
        <f t="shared" si="7"/>
        <v>#7</v>
      </c>
      <c r="B27" s="70" t="str">
        <f t="shared" si="7"/>
        <v>Inners</v>
      </c>
      <c r="C27" s="71" t="str">
        <f t="shared" ref="C27:D32" si="21">C10</f>
        <v>I. Vanags</v>
      </c>
      <c r="D27" s="71" t="str">
        <f t="shared" si="21"/>
        <v>CAB</v>
      </c>
      <c r="E27" s="71">
        <f t="shared" ref="E27:F32" si="22">T10</f>
        <v>22</v>
      </c>
      <c r="F27" s="71">
        <f t="shared" si="22"/>
        <v>33</v>
      </c>
      <c r="G27" s="87">
        <f t="shared" si="17"/>
        <v>0</v>
      </c>
      <c r="H27" s="87">
        <f t="shared" ref="H27:I32" si="23">W10</f>
        <v>4</v>
      </c>
      <c r="I27" s="87">
        <f t="shared" si="23"/>
        <v>13.5</v>
      </c>
      <c r="J27" s="87">
        <f t="shared" si="18"/>
        <v>3</v>
      </c>
      <c r="K27" s="87">
        <f t="shared" si="19"/>
        <v>4</v>
      </c>
      <c r="L27" s="87">
        <f t="shared" ref="L27:O32" si="24">AA10</f>
        <v>10.166666666666666</v>
      </c>
      <c r="M27" s="87">
        <f t="shared" si="24"/>
        <v>16.333333333333332</v>
      </c>
      <c r="N27" s="98">
        <f t="shared" si="24"/>
        <v>22185</v>
      </c>
      <c r="O27" s="98">
        <f t="shared" si="24"/>
        <v>26622</v>
      </c>
      <c r="Q27" s="247" t="s">
        <v>368</v>
      </c>
      <c r="R27" s="70" t="str">
        <f t="shared" si="9"/>
        <v>Inners</v>
      </c>
      <c r="S27" s="71" t="str">
        <f t="shared" si="20"/>
        <v>CAB</v>
      </c>
      <c r="T27" s="71">
        <f t="shared" ref="T27:T32" si="25">E27+1</f>
        <v>23</v>
      </c>
      <c r="U27" s="71">
        <f t="shared" ref="U27:U32" si="26">F27</f>
        <v>33</v>
      </c>
      <c r="V27" s="87">
        <f t="shared" si="10"/>
        <v>0</v>
      </c>
      <c r="W27" s="87">
        <f t="shared" si="11"/>
        <v>4</v>
      </c>
      <c r="X27" s="87">
        <f t="shared" si="12"/>
        <v>13.5</v>
      </c>
      <c r="Y27" s="87">
        <f t="shared" si="13"/>
        <v>3</v>
      </c>
      <c r="Z27" s="87">
        <f t="shared" si="14"/>
        <v>4</v>
      </c>
      <c r="AA27" s="87">
        <f t="shared" si="15"/>
        <v>10.166666666666666</v>
      </c>
      <c r="AB27" s="87">
        <v>15</v>
      </c>
      <c r="AC27" s="98">
        <f>(20000+1500+125+125)*1.043</f>
        <v>22685.25</v>
      </c>
      <c r="AD27" s="50">
        <f t="shared" si="16"/>
        <v>27222.3</v>
      </c>
    </row>
    <row r="28" spans="1:33" x14ac:dyDescent="0.25">
      <c r="A28" s="247" t="str">
        <f t="shared" si="7"/>
        <v>#8</v>
      </c>
      <c r="B28" s="70" t="str">
        <f t="shared" si="7"/>
        <v>Inners</v>
      </c>
      <c r="C28" s="71" t="str">
        <f t="shared" si="21"/>
        <v>I. Stone</v>
      </c>
      <c r="D28" s="71" t="str">
        <f t="shared" si="21"/>
        <v>RAP</v>
      </c>
      <c r="E28" s="71">
        <f t="shared" si="22"/>
        <v>21</v>
      </c>
      <c r="F28" s="71">
        <f t="shared" si="22"/>
        <v>98</v>
      </c>
      <c r="G28" s="87">
        <f t="shared" si="17"/>
        <v>0</v>
      </c>
      <c r="H28" s="87">
        <f t="shared" si="23"/>
        <v>3</v>
      </c>
      <c r="I28" s="87">
        <f t="shared" si="23"/>
        <v>13</v>
      </c>
      <c r="J28" s="87">
        <f t="shared" si="18"/>
        <v>2</v>
      </c>
      <c r="K28" s="87">
        <f t="shared" si="19"/>
        <v>6</v>
      </c>
      <c r="L28" s="87">
        <f t="shared" si="24"/>
        <v>11.571428571428571</v>
      </c>
      <c r="M28" s="87">
        <f t="shared" si="24"/>
        <v>15.333333333333334</v>
      </c>
      <c r="N28" s="98">
        <f t="shared" si="24"/>
        <v>17902.080000000002</v>
      </c>
      <c r="O28" s="98">
        <f t="shared" si="24"/>
        <v>17902.080000000002</v>
      </c>
      <c r="Q28" s="247" t="s">
        <v>172</v>
      </c>
      <c r="R28" s="70" t="str">
        <f t="shared" si="9"/>
        <v>Inners</v>
      </c>
      <c r="S28" s="71" t="str">
        <f t="shared" si="20"/>
        <v>RAP</v>
      </c>
      <c r="T28" s="71">
        <f t="shared" si="25"/>
        <v>22</v>
      </c>
      <c r="U28" s="71">
        <f t="shared" si="26"/>
        <v>98</v>
      </c>
      <c r="V28" s="87">
        <f t="shared" si="10"/>
        <v>0</v>
      </c>
      <c r="W28" s="87">
        <f t="shared" si="11"/>
        <v>3</v>
      </c>
      <c r="X28" s="87">
        <f t="shared" si="12"/>
        <v>13</v>
      </c>
      <c r="Y28" s="87">
        <f t="shared" si="13"/>
        <v>2</v>
      </c>
      <c r="Z28" s="87">
        <f t="shared" si="14"/>
        <v>6</v>
      </c>
      <c r="AA28" s="87">
        <f t="shared" si="15"/>
        <v>11.571428571428571</v>
      </c>
      <c r="AB28" s="87">
        <v>13.5</v>
      </c>
      <c r="AC28" s="98">
        <f>(14490+3125+145)*1.038</f>
        <v>18434.88</v>
      </c>
      <c r="AD28" s="50">
        <f t="shared" si="16"/>
        <v>22121.856</v>
      </c>
    </row>
    <row r="29" spans="1:33" x14ac:dyDescent="0.25">
      <c r="A29" s="247" t="str">
        <f t="shared" si="7"/>
        <v>#9</v>
      </c>
      <c r="B29" s="70" t="str">
        <f t="shared" si="7"/>
        <v>Inners</v>
      </c>
      <c r="C29" s="71" t="str">
        <f t="shared" si="21"/>
        <v>G. Piscaer</v>
      </c>
      <c r="D29" s="71" t="str">
        <f t="shared" si="21"/>
        <v>IMP</v>
      </c>
      <c r="E29" s="71">
        <f t="shared" si="22"/>
        <v>22</v>
      </c>
      <c r="F29" s="71">
        <f t="shared" si="22"/>
        <v>49</v>
      </c>
      <c r="G29" s="87">
        <f t="shared" si="17"/>
        <v>0</v>
      </c>
      <c r="H29" s="87">
        <f t="shared" si="23"/>
        <v>4</v>
      </c>
      <c r="I29" s="87">
        <f t="shared" si="23"/>
        <v>14</v>
      </c>
      <c r="J29" s="87">
        <f t="shared" si="18"/>
        <v>3</v>
      </c>
      <c r="K29" s="87">
        <f t="shared" si="19"/>
        <v>2</v>
      </c>
      <c r="L29" s="87">
        <f t="shared" si="24"/>
        <v>10.857142857142858</v>
      </c>
      <c r="M29" s="87">
        <f t="shared" si="24"/>
        <v>14.333333333333334</v>
      </c>
      <c r="N29" s="98">
        <f t="shared" si="24"/>
        <v>25920</v>
      </c>
      <c r="O29" s="98">
        <f t="shared" si="24"/>
        <v>31104</v>
      </c>
      <c r="Q29" s="247" t="s">
        <v>176</v>
      </c>
      <c r="R29" s="70" t="str">
        <f t="shared" si="9"/>
        <v>Inners</v>
      </c>
      <c r="S29" s="71" t="str">
        <f t="shared" si="20"/>
        <v>IMP</v>
      </c>
      <c r="T29" s="71">
        <f t="shared" si="25"/>
        <v>23</v>
      </c>
      <c r="U29" s="71">
        <f t="shared" si="26"/>
        <v>49</v>
      </c>
      <c r="V29" s="87">
        <f t="shared" si="10"/>
        <v>0</v>
      </c>
      <c r="W29" s="87">
        <f t="shared" si="11"/>
        <v>4</v>
      </c>
      <c r="X29" s="87">
        <f t="shared" si="12"/>
        <v>14</v>
      </c>
      <c r="Y29" s="87">
        <f t="shared" si="13"/>
        <v>3</v>
      </c>
      <c r="Z29" s="87">
        <f t="shared" si="14"/>
        <v>2</v>
      </c>
      <c r="AA29" s="87">
        <f t="shared" si="15"/>
        <v>10.857142857142858</v>
      </c>
      <c r="AB29" s="87">
        <v>12.5</v>
      </c>
      <c r="AC29" s="98">
        <f>(23500+2295+125)*1.035</f>
        <v>26827.199999999997</v>
      </c>
      <c r="AD29" s="50">
        <f t="shared" si="16"/>
        <v>32192.639999999996</v>
      </c>
    </row>
    <row r="30" spans="1:33" x14ac:dyDescent="0.25">
      <c r="A30" s="247" t="str">
        <f t="shared" si="7"/>
        <v>#10</v>
      </c>
      <c r="B30" s="70" t="str">
        <f t="shared" si="7"/>
        <v>Inners</v>
      </c>
      <c r="C30" s="71" t="str">
        <f t="shared" si="21"/>
        <v>M. Bondarewski</v>
      </c>
      <c r="D30" s="71" t="str">
        <f t="shared" si="21"/>
        <v>RAP</v>
      </c>
      <c r="E30" s="71">
        <f t="shared" si="22"/>
        <v>22</v>
      </c>
      <c r="F30" s="71">
        <f t="shared" si="22"/>
        <v>49</v>
      </c>
      <c r="G30" s="87">
        <f t="shared" si="17"/>
        <v>0</v>
      </c>
      <c r="H30" s="87">
        <f t="shared" si="23"/>
        <v>2</v>
      </c>
      <c r="I30" s="87">
        <f t="shared" si="23"/>
        <v>14</v>
      </c>
      <c r="J30" s="87">
        <f t="shared" si="18"/>
        <v>5</v>
      </c>
      <c r="K30" s="87">
        <f t="shared" si="19"/>
        <v>4</v>
      </c>
      <c r="L30" s="87">
        <f t="shared" si="24"/>
        <v>10.857142857142858</v>
      </c>
      <c r="M30" s="87">
        <f t="shared" si="24"/>
        <v>17</v>
      </c>
      <c r="N30" s="98">
        <f t="shared" si="24"/>
        <v>26565.9</v>
      </c>
      <c r="O30" s="98">
        <f t="shared" si="24"/>
        <v>31879.08</v>
      </c>
      <c r="Q30" s="247" t="s">
        <v>180</v>
      </c>
      <c r="R30" s="70" t="str">
        <f t="shared" si="9"/>
        <v>Inners</v>
      </c>
      <c r="S30" s="71" t="str">
        <f t="shared" si="20"/>
        <v>RAP</v>
      </c>
      <c r="T30" s="71">
        <f t="shared" si="25"/>
        <v>23</v>
      </c>
      <c r="U30" s="71">
        <f t="shared" si="26"/>
        <v>49</v>
      </c>
      <c r="V30" s="87">
        <f t="shared" si="10"/>
        <v>0</v>
      </c>
      <c r="W30" s="87">
        <f t="shared" si="11"/>
        <v>2</v>
      </c>
      <c r="X30" s="87">
        <f t="shared" si="12"/>
        <v>14</v>
      </c>
      <c r="Y30" s="87">
        <f t="shared" si="13"/>
        <v>5</v>
      </c>
      <c r="Z30" s="87">
        <f t="shared" si="14"/>
        <v>4</v>
      </c>
      <c r="AA30" s="87">
        <f t="shared" si="15"/>
        <v>10.857142857142858</v>
      </c>
      <c r="AB30" s="87">
        <v>15</v>
      </c>
      <c r="AC30" s="98">
        <f>(23500+2295+125+125)*1.043</f>
        <v>27164.934999999998</v>
      </c>
      <c r="AD30" s="50">
        <f t="shared" si="16"/>
        <v>32597.921999999995</v>
      </c>
    </row>
    <row r="31" spans="1:33" x14ac:dyDescent="0.25">
      <c r="A31" s="247" t="str">
        <f t="shared" si="7"/>
        <v>#11</v>
      </c>
      <c r="B31" s="70" t="str">
        <f t="shared" si="7"/>
        <v>Inners</v>
      </c>
      <c r="C31" s="71" t="str">
        <f t="shared" si="21"/>
        <v>P. Tuderek</v>
      </c>
      <c r="D31" s="71" t="str">
        <f t="shared" si="21"/>
        <v>IMP</v>
      </c>
      <c r="E31" s="71">
        <f t="shared" si="22"/>
        <v>22</v>
      </c>
      <c r="F31" s="71">
        <f t="shared" si="22"/>
        <v>45</v>
      </c>
      <c r="G31" s="87">
        <f t="shared" si="17"/>
        <v>0</v>
      </c>
      <c r="H31" s="87">
        <f t="shared" si="23"/>
        <v>6</v>
      </c>
      <c r="I31" s="87">
        <f t="shared" si="23"/>
        <v>13.4</v>
      </c>
      <c r="J31" s="87">
        <f t="shared" si="18"/>
        <v>2</v>
      </c>
      <c r="K31" s="87">
        <f t="shared" si="19"/>
        <v>3</v>
      </c>
      <c r="L31" s="87">
        <f t="shared" si="24"/>
        <v>9.5</v>
      </c>
      <c r="M31" s="87">
        <f t="shared" si="24"/>
        <v>17.25</v>
      </c>
      <c r="N31" s="98">
        <f t="shared" si="24"/>
        <v>21672.254999999997</v>
      </c>
      <c r="O31" s="98">
        <f t="shared" si="24"/>
        <v>26006.705999999995</v>
      </c>
      <c r="Q31" s="247" t="s">
        <v>183</v>
      </c>
      <c r="R31" s="70" t="str">
        <f t="shared" si="9"/>
        <v>Inners</v>
      </c>
      <c r="S31" s="71" t="str">
        <f t="shared" si="20"/>
        <v>IMP</v>
      </c>
      <c r="T31" s="71">
        <f t="shared" si="25"/>
        <v>23</v>
      </c>
      <c r="U31" s="71">
        <f t="shared" si="26"/>
        <v>45</v>
      </c>
      <c r="V31" s="87">
        <f t="shared" si="10"/>
        <v>0</v>
      </c>
      <c r="W31" s="87">
        <f t="shared" si="11"/>
        <v>6</v>
      </c>
      <c r="X31" s="87">
        <f t="shared" si="12"/>
        <v>13.4</v>
      </c>
      <c r="Y31" s="87">
        <f t="shared" si="13"/>
        <v>2</v>
      </c>
      <c r="Z31" s="87">
        <f t="shared" si="14"/>
        <v>3</v>
      </c>
      <c r="AA31" s="87">
        <f t="shared" si="15"/>
        <v>9.5</v>
      </c>
      <c r="AB31" s="87">
        <v>16.25</v>
      </c>
      <c r="AC31" s="98">
        <f>(20000+1020+225)*1.047</f>
        <v>22243.514999999999</v>
      </c>
      <c r="AD31" s="50">
        <f t="shared" si="16"/>
        <v>26692.217999999997</v>
      </c>
    </row>
    <row r="32" spans="1:33" x14ac:dyDescent="0.25">
      <c r="A32" s="247" t="str">
        <f t="shared" si="7"/>
        <v>#12</v>
      </c>
      <c r="B32" s="70" t="str">
        <f t="shared" si="7"/>
        <v>Inners</v>
      </c>
      <c r="C32" s="71" t="str">
        <f t="shared" si="21"/>
        <v>R. Forsyth</v>
      </c>
      <c r="D32" s="71" t="str">
        <f t="shared" si="21"/>
        <v>POT</v>
      </c>
      <c r="E32" s="71">
        <f t="shared" si="22"/>
        <v>22</v>
      </c>
      <c r="F32" s="71">
        <f t="shared" si="22"/>
        <v>100</v>
      </c>
      <c r="G32" s="87">
        <f t="shared" si="17"/>
        <v>0</v>
      </c>
      <c r="H32" s="87">
        <f t="shared" si="23"/>
        <v>7</v>
      </c>
      <c r="I32" s="87">
        <f t="shared" si="23"/>
        <v>13.444444444444445</v>
      </c>
      <c r="J32" s="87">
        <f t="shared" si="18"/>
        <v>3</v>
      </c>
      <c r="K32" s="87">
        <f t="shared" si="19"/>
        <v>4</v>
      </c>
      <c r="L32" s="87">
        <f t="shared" si="24"/>
        <v>9.5</v>
      </c>
      <c r="M32" s="87">
        <f t="shared" si="24"/>
        <v>15</v>
      </c>
      <c r="N32" s="98">
        <f t="shared" si="24"/>
        <v>21540.959999999999</v>
      </c>
      <c r="O32" s="98">
        <f t="shared" si="24"/>
        <v>21540.959999999999</v>
      </c>
      <c r="Q32" s="247" t="s">
        <v>178</v>
      </c>
      <c r="R32" s="70" t="str">
        <f t="shared" si="9"/>
        <v>Inners</v>
      </c>
      <c r="S32" s="71" t="str">
        <f t="shared" si="20"/>
        <v>POT</v>
      </c>
      <c r="T32" s="71">
        <f t="shared" si="25"/>
        <v>23</v>
      </c>
      <c r="U32" s="71">
        <f t="shared" si="26"/>
        <v>100</v>
      </c>
      <c r="V32" s="87">
        <f t="shared" si="10"/>
        <v>0</v>
      </c>
      <c r="W32" s="87">
        <f t="shared" si="11"/>
        <v>7</v>
      </c>
      <c r="X32" s="87">
        <f t="shared" si="12"/>
        <v>13.444444444444445</v>
      </c>
      <c r="Y32" s="87">
        <f t="shared" si="13"/>
        <v>3</v>
      </c>
      <c r="Z32" s="87">
        <f t="shared" si="14"/>
        <v>4</v>
      </c>
      <c r="AA32" s="87">
        <f t="shared" si="15"/>
        <v>9.5</v>
      </c>
      <c r="AB32" s="87">
        <v>13.5</v>
      </c>
      <c r="AC32" s="98">
        <f>(20000+1020+225+125)*1.038</f>
        <v>22182.06</v>
      </c>
      <c r="AD32" s="50">
        <f t="shared" si="16"/>
        <v>26618.472000000002</v>
      </c>
    </row>
    <row r="33" spans="1:30" x14ac:dyDescent="0.25">
      <c r="A33" s="247" t="str">
        <f t="shared" si="7"/>
        <v>#13</v>
      </c>
      <c r="B33" s="70" t="str">
        <f t="shared" si="7"/>
        <v>DD</v>
      </c>
      <c r="C33" s="71" t="s">
        <v>374</v>
      </c>
      <c r="D33" s="71" t="str">
        <f>D16</f>
        <v>RAP/IMP/CAB</v>
      </c>
      <c r="E33" s="71">
        <v>22</v>
      </c>
      <c r="F33" s="71">
        <v>50</v>
      </c>
      <c r="G33" s="87">
        <f t="shared" si="17"/>
        <v>0</v>
      </c>
      <c r="H33" s="87">
        <f>W16</f>
        <v>2</v>
      </c>
      <c r="I33" s="87">
        <v>14</v>
      </c>
      <c r="J33" s="87">
        <f t="shared" si="18"/>
        <v>2</v>
      </c>
      <c r="K33" s="87">
        <f t="shared" si="19"/>
        <v>2</v>
      </c>
      <c r="L33" s="87">
        <v>11</v>
      </c>
      <c r="M33" s="87">
        <v>10</v>
      </c>
      <c r="N33" s="98">
        <f>(22400+2295)*1.03</f>
        <v>25435.850000000002</v>
      </c>
      <c r="O33" s="98">
        <f>N33*1.2</f>
        <v>30523.02</v>
      </c>
      <c r="Q33" s="247" t="s">
        <v>370</v>
      </c>
      <c r="R33" s="70" t="str">
        <f t="shared" si="9"/>
        <v>DD</v>
      </c>
      <c r="S33" s="71" t="str">
        <f t="shared" si="20"/>
        <v>RAP/IMP/CAB</v>
      </c>
      <c r="T33" s="71"/>
      <c r="U33" s="71"/>
      <c r="V33" s="87">
        <f t="shared" si="10"/>
        <v>0</v>
      </c>
      <c r="W33" s="87">
        <f t="shared" si="11"/>
        <v>2</v>
      </c>
      <c r="X33" s="87">
        <f t="shared" si="12"/>
        <v>14</v>
      </c>
      <c r="Y33" s="87">
        <f t="shared" si="13"/>
        <v>2</v>
      </c>
      <c r="Z33" s="87">
        <f t="shared" si="14"/>
        <v>2</v>
      </c>
      <c r="AA33" s="87">
        <f t="shared" si="15"/>
        <v>11</v>
      </c>
      <c r="AB33" s="87">
        <v>18</v>
      </c>
      <c r="AC33" s="98">
        <f>(22400+2295)*1.048</f>
        <v>25880.36</v>
      </c>
      <c r="AD33" s="50">
        <f t="shared" si="16"/>
        <v>31056.432000000001</v>
      </c>
    </row>
    <row r="34" spans="1:30" x14ac:dyDescent="0.25">
      <c r="A34" s="247" t="str">
        <f t="shared" si="7"/>
        <v>#14</v>
      </c>
      <c r="B34" s="70" t="str">
        <f t="shared" si="7"/>
        <v>DD</v>
      </c>
      <c r="C34" s="71" t="s">
        <v>374</v>
      </c>
      <c r="D34" s="71" t="str">
        <f>D17</f>
        <v>RAP/IMP/CAB</v>
      </c>
      <c r="E34" s="71">
        <v>22</v>
      </c>
      <c r="F34" s="71">
        <v>50</v>
      </c>
      <c r="G34" s="87">
        <f t="shared" si="17"/>
        <v>0</v>
      </c>
      <c r="H34" s="87">
        <f>W17</f>
        <v>2</v>
      </c>
      <c r="I34" s="87">
        <v>14</v>
      </c>
      <c r="J34" s="87">
        <f t="shared" si="18"/>
        <v>2</v>
      </c>
      <c r="K34" s="87">
        <f t="shared" si="19"/>
        <v>2</v>
      </c>
      <c r="L34" s="87">
        <v>11</v>
      </c>
      <c r="M34" s="87">
        <v>10</v>
      </c>
      <c r="N34" s="98">
        <f>(22400+2295)*1.03</f>
        <v>25435.850000000002</v>
      </c>
      <c r="O34" s="98">
        <f>N34*1.2</f>
        <v>30523.02</v>
      </c>
      <c r="Q34" s="247" t="s">
        <v>174</v>
      </c>
      <c r="R34" s="70" t="str">
        <f t="shared" si="9"/>
        <v>DD</v>
      </c>
      <c r="S34" s="71" t="str">
        <f t="shared" si="20"/>
        <v>RAP/IMP/CAB</v>
      </c>
      <c r="T34" s="71"/>
      <c r="U34" s="71"/>
      <c r="V34" s="87">
        <f t="shared" si="10"/>
        <v>0</v>
      </c>
      <c r="W34" s="87">
        <f t="shared" si="11"/>
        <v>2</v>
      </c>
      <c r="X34" s="87">
        <f t="shared" si="12"/>
        <v>14</v>
      </c>
      <c r="Y34" s="87">
        <f t="shared" si="13"/>
        <v>2</v>
      </c>
      <c r="Z34" s="87">
        <f t="shared" si="14"/>
        <v>2</v>
      </c>
      <c r="AA34" s="87">
        <f t="shared" si="15"/>
        <v>11</v>
      </c>
      <c r="AB34" s="87">
        <v>18</v>
      </c>
      <c r="AC34" s="98">
        <f>(22400+2295)*1.048</f>
        <v>25880.36</v>
      </c>
      <c r="AD34" s="50">
        <f t="shared" si="16"/>
        <v>31056.432000000001</v>
      </c>
    </row>
  </sheetData>
  <conditionalFormatting sqref="G21:M34">
    <cfRule type="colorScale" priority="1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2">
      <colorScale>
        <cfvo type="min"/>
        <cfvo type="max"/>
        <color rgb="FFFFEF9C"/>
        <color rgb="FF63BE7B"/>
      </colorScale>
    </cfRule>
  </conditionalFormatting>
  <conditionalFormatting sqref="G4:M17">
    <cfRule type="colorScale" priority="3">
      <colorScale>
        <cfvo type="min"/>
        <cfvo type="max"/>
        <color rgb="FFFFEF9C"/>
        <color rgb="FF63BE7B"/>
      </colorScale>
    </cfRule>
  </conditionalFormatting>
  <conditionalFormatting sqref="V4:AB17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AG34"/>
  <sheetViews>
    <sheetView zoomScale="110" workbookViewId="0">
      <selection activeCell="AA25" sqref="AA25"/>
    </sheetView>
  </sheetViews>
  <sheetFormatPr baseColWidth="10" defaultColWidth="10.7109375" defaultRowHeight="15" x14ac:dyDescent="0.25"/>
  <cols>
    <col min="1" max="1" width="5.140625" customWidth="1"/>
    <col min="2" max="2" width="6.5703125" customWidth="1"/>
    <col min="3" max="3" width="15.140625" customWidth="1"/>
    <col min="4" max="4" width="8.28515625" customWidth="1"/>
    <col min="5" max="5" width="5.5703125" customWidth="1"/>
    <col min="6" max="6" width="5" customWidth="1"/>
    <col min="7" max="9" width="4.5703125" customWidth="1"/>
    <col min="10" max="11" width="3.5703125" customWidth="1"/>
    <col min="12" max="13" width="4.5703125" customWidth="1"/>
    <col min="14" max="14" width="7.28515625" customWidth="1"/>
    <col min="15" max="15" width="7.7109375" customWidth="1"/>
    <col min="16" max="16" width="11.28515625" customWidth="1"/>
    <col min="17" max="17" width="5.140625" customWidth="1"/>
    <col min="18" max="18" width="6.5703125" customWidth="1"/>
    <col min="19" max="19" width="8.28515625" customWidth="1"/>
    <col min="20" max="20" width="5.5703125" customWidth="1"/>
    <col min="21" max="21" width="5" customWidth="1"/>
    <col min="22" max="24" width="4.5703125" customWidth="1"/>
    <col min="25" max="26" width="3.5703125" customWidth="1"/>
    <col min="27" max="28" width="4.5703125" customWidth="1"/>
    <col min="29" max="29" width="7.28515625" customWidth="1"/>
    <col min="30" max="30" width="7.7109375" customWidth="1"/>
    <col min="31" max="31" width="11.28515625" customWidth="1"/>
    <col min="32" max="32" width="22.85546875" customWidth="1"/>
    <col min="33" max="33" width="3.5703125" customWidth="1"/>
    <col min="34" max="34" width="11.28515625" customWidth="1"/>
  </cols>
  <sheetData>
    <row r="2" spans="1:33" x14ac:dyDescent="0.25">
      <c r="B2" s="58"/>
      <c r="N2" s="50">
        <f>SUM(N4:N17)</f>
        <v>125014</v>
      </c>
      <c r="O2" s="50">
        <f>SUM(O4:O17)</f>
        <v>0</v>
      </c>
      <c r="R2" s="58"/>
      <c r="AC2" s="50">
        <f>SUM(AC4:AC17)</f>
        <v>93421.239999999991</v>
      </c>
      <c r="AD2" s="50">
        <f>SUM(AD4:AD17)</f>
        <v>112105.48799999998</v>
      </c>
    </row>
    <row r="3" spans="1:33" x14ac:dyDescent="0.25">
      <c r="A3" s="83" t="s">
        <v>350</v>
      </c>
      <c r="B3" s="81" t="s">
        <v>85</v>
      </c>
      <c r="C3" s="81" t="s">
        <v>351</v>
      </c>
      <c r="D3" s="81" t="s">
        <v>352</v>
      </c>
      <c r="E3" s="81" t="s">
        <v>353</v>
      </c>
      <c r="F3" s="81" t="s">
        <v>89</v>
      </c>
      <c r="G3" s="81" t="s">
        <v>107</v>
      </c>
      <c r="H3" s="81" t="s">
        <v>108</v>
      </c>
      <c r="I3" s="81" t="s">
        <v>109</v>
      </c>
      <c r="J3" s="81" t="s">
        <v>110</v>
      </c>
      <c r="K3" s="81" t="s">
        <v>111</v>
      </c>
      <c r="L3" s="81" t="s">
        <v>112</v>
      </c>
      <c r="M3" s="81" t="s">
        <v>90</v>
      </c>
      <c r="N3" s="81" t="s">
        <v>354</v>
      </c>
      <c r="O3" s="124" t="s">
        <v>355</v>
      </c>
      <c r="Q3" s="83" t="s">
        <v>350</v>
      </c>
      <c r="R3" s="81" t="s">
        <v>85</v>
      </c>
      <c r="S3" s="81" t="s">
        <v>352</v>
      </c>
      <c r="T3" s="81" t="s">
        <v>353</v>
      </c>
      <c r="U3" s="81" t="s">
        <v>89</v>
      </c>
      <c r="V3" s="81" t="s">
        <v>107</v>
      </c>
      <c r="W3" s="81" t="s">
        <v>108</v>
      </c>
      <c r="X3" s="81" t="s">
        <v>109</v>
      </c>
      <c r="Y3" s="81" t="s">
        <v>110</v>
      </c>
      <c r="Z3" s="81" t="s">
        <v>111</v>
      </c>
      <c r="AA3" s="81" t="s">
        <v>112</v>
      </c>
      <c r="AB3" s="81" t="s">
        <v>90</v>
      </c>
      <c r="AC3" s="81" t="s">
        <v>354</v>
      </c>
      <c r="AD3" s="124" t="s">
        <v>355</v>
      </c>
      <c r="AF3" s="58" t="s">
        <v>356</v>
      </c>
      <c r="AG3">
        <v>0</v>
      </c>
    </row>
    <row r="4" spans="1:33" x14ac:dyDescent="0.25">
      <c r="A4" s="247" t="s">
        <v>145</v>
      </c>
      <c r="B4" s="70" t="s">
        <v>14</v>
      </c>
      <c r="C4" s="71"/>
      <c r="D4" s="71"/>
      <c r="E4" s="71"/>
      <c r="F4" s="71"/>
      <c r="G4" s="87">
        <v>2</v>
      </c>
      <c r="H4" s="79">
        <v>2</v>
      </c>
      <c r="I4" s="87">
        <v>2</v>
      </c>
      <c r="J4" s="79">
        <v>0</v>
      </c>
      <c r="K4" s="87">
        <v>0</v>
      </c>
      <c r="L4" s="79">
        <v>0</v>
      </c>
      <c r="M4" s="87">
        <v>2</v>
      </c>
      <c r="N4" s="98"/>
      <c r="O4" s="50"/>
      <c r="Q4" s="247" t="s">
        <v>145</v>
      </c>
      <c r="R4" s="70" t="str">
        <f t="shared" ref="R4:R17" si="0">B4</f>
        <v>POR</v>
      </c>
      <c r="S4" s="71"/>
      <c r="T4" s="71"/>
      <c r="U4" s="71"/>
      <c r="V4" s="87">
        <f t="shared" ref="V4:AC7" si="1">G4</f>
        <v>2</v>
      </c>
      <c r="W4" s="87">
        <f t="shared" si="1"/>
        <v>2</v>
      </c>
      <c r="X4" s="87">
        <f t="shared" si="1"/>
        <v>2</v>
      </c>
      <c r="Y4" s="87">
        <f t="shared" si="1"/>
        <v>0</v>
      </c>
      <c r="Z4" s="87">
        <f t="shared" si="1"/>
        <v>0</v>
      </c>
      <c r="AA4" s="87">
        <f t="shared" si="1"/>
        <v>0</v>
      </c>
      <c r="AB4" s="87">
        <f t="shared" si="1"/>
        <v>2</v>
      </c>
      <c r="AC4" s="98">
        <f t="shared" si="1"/>
        <v>0</v>
      </c>
      <c r="AD4" s="50">
        <f t="shared" ref="AD4:AD17" si="2">AC4*1.2</f>
        <v>0</v>
      </c>
      <c r="AF4" s="58" t="s">
        <v>358</v>
      </c>
      <c r="AG4">
        <v>16</v>
      </c>
    </row>
    <row r="5" spans="1:33" x14ac:dyDescent="0.25">
      <c r="A5" s="247" t="s">
        <v>157</v>
      </c>
      <c r="B5" s="70" t="s">
        <v>37</v>
      </c>
      <c r="C5" s="71"/>
      <c r="D5" s="71"/>
      <c r="E5" s="71"/>
      <c r="F5" s="71"/>
      <c r="G5" s="87">
        <v>0</v>
      </c>
      <c r="H5" s="79">
        <v>2</v>
      </c>
      <c r="I5" s="79">
        <v>2</v>
      </c>
      <c r="J5" s="79">
        <v>2</v>
      </c>
      <c r="K5" s="87">
        <v>2</v>
      </c>
      <c r="L5" s="79">
        <v>2</v>
      </c>
      <c r="M5" s="87">
        <v>2</v>
      </c>
      <c r="N5" s="98"/>
      <c r="O5" s="50"/>
      <c r="Q5" s="247" t="s">
        <v>157</v>
      </c>
      <c r="R5" s="70" t="str">
        <f t="shared" si="0"/>
        <v>DEF</v>
      </c>
      <c r="S5" s="71"/>
      <c r="T5" s="71"/>
      <c r="U5" s="71"/>
      <c r="V5" s="87">
        <f t="shared" si="1"/>
        <v>0</v>
      </c>
      <c r="W5" s="87">
        <f t="shared" si="1"/>
        <v>2</v>
      </c>
      <c r="X5" s="87">
        <f t="shared" si="1"/>
        <v>2</v>
      </c>
      <c r="Y5" s="87">
        <f t="shared" si="1"/>
        <v>2</v>
      </c>
      <c r="Z5" s="87">
        <f t="shared" si="1"/>
        <v>2</v>
      </c>
      <c r="AA5" s="87">
        <f t="shared" si="1"/>
        <v>2</v>
      </c>
      <c r="AB5" s="87">
        <f t="shared" si="1"/>
        <v>2</v>
      </c>
      <c r="AC5" s="98">
        <f t="shared" si="1"/>
        <v>0</v>
      </c>
      <c r="AD5" s="50">
        <f t="shared" si="2"/>
        <v>0</v>
      </c>
      <c r="AF5" s="58" t="s">
        <v>200</v>
      </c>
      <c r="AG5">
        <v>0</v>
      </c>
    </row>
    <row r="6" spans="1:33" x14ac:dyDescent="0.25">
      <c r="A6" s="247" t="s">
        <v>166</v>
      </c>
      <c r="B6" s="70" t="s">
        <v>37</v>
      </c>
      <c r="C6" s="71"/>
      <c r="D6" s="71"/>
      <c r="E6" s="71"/>
      <c r="F6" s="71"/>
      <c r="G6" s="87">
        <v>0</v>
      </c>
      <c r="H6" s="79">
        <v>2</v>
      </c>
      <c r="I6" s="79">
        <v>2</v>
      </c>
      <c r="J6" s="79">
        <v>2</v>
      </c>
      <c r="K6" s="87">
        <v>2</v>
      </c>
      <c r="L6" s="79">
        <v>2</v>
      </c>
      <c r="M6" s="87">
        <v>2</v>
      </c>
      <c r="N6" s="98"/>
      <c r="O6" s="50"/>
      <c r="Q6" s="247" t="s">
        <v>166</v>
      </c>
      <c r="R6" s="70" t="str">
        <f t="shared" si="0"/>
        <v>DEF</v>
      </c>
      <c r="S6" s="71"/>
      <c r="T6" s="71"/>
      <c r="U6" s="71"/>
      <c r="V6" s="87">
        <f t="shared" si="1"/>
        <v>0</v>
      </c>
      <c r="W6" s="87">
        <f t="shared" si="1"/>
        <v>2</v>
      </c>
      <c r="X6" s="87">
        <f t="shared" si="1"/>
        <v>2</v>
      </c>
      <c r="Y6" s="87">
        <f t="shared" si="1"/>
        <v>2</v>
      </c>
      <c r="Z6" s="87">
        <f t="shared" si="1"/>
        <v>2</v>
      </c>
      <c r="AA6" s="87">
        <f t="shared" si="1"/>
        <v>2</v>
      </c>
      <c r="AB6" s="87">
        <f t="shared" si="1"/>
        <v>2</v>
      </c>
      <c r="AC6" s="98">
        <f t="shared" si="1"/>
        <v>0</v>
      </c>
      <c r="AD6" s="50">
        <f t="shared" si="2"/>
        <v>0</v>
      </c>
      <c r="AF6" s="58" t="s">
        <v>199</v>
      </c>
      <c r="AG6">
        <v>0</v>
      </c>
    </row>
    <row r="7" spans="1:33" x14ac:dyDescent="0.25">
      <c r="A7" s="247" t="s">
        <v>168</v>
      </c>
      <c r="B7" s="70" t="s">
        <v>37</v>
      </c>
      <c r="C7" s="71"/>
      <c r="D7" s="71"/>
      <c r="E7" s="71"/>
      <c r="F7" s="71"/>
      <c r="G7" s="87">
        <v>0</v>
      </c>
      <c r="H7" s="79">
        <v>2</v>
      </c>
      <c r="I7" s="79">
        <v>2</v>
      </c>
      <c r="J7" s="79">
        <v>2</v>
      </c>
      <c r="K7" s="87">
        <v>2</v>
      </c>
      <c r="L7" s="79">
        <v>2</v>
      </c>
      <c r="M7" s="87">
        <v>2</v>
      </c>
      <c r="N7" s="98"/>
      <c r="O7" s="50"/>
      <c r="Q7" s="247" t="s">
        <v>168</v>
      </c>
      <c r="R7" s="70" t="str">
        <f t="shared" si="0"/>
        <v>DEF</v>
      </c>
      <c r="S7" s="71"/>
      <c r="T7" s="71"/>
      <c r="U7" s="71"/>
      <c r="V7" s="87">
        <f t="shared" si="1"/>
        <v>0</v>
      </c>
      <c r="W7" s="87">
        <f t="shared" si="1"/>
        <v>2</v>
      </c>
      <c r="X7" s="87">
        <f t="shared" si="1"/>
        <v>2</v>
      </c>
      <c r="Y7" s="87">
        <f t="shared" si="1"/>
        <v>2</v>
      </c>
      <c r="Z7" s="87">
        <f t="shared" si="1"/>
        <v>2</v>
      </c>
      <c r="AA7" s="87">
        <f t="shared" si="1"/>
        <v>2</v>
      </c>
      <c r="AB7" s="87">
        <f t="shared" si="1"/>
        <v>2</v>
      </c>
      <c r="AC7" s="98">
        <f t="shared" si="1"/>
        <v>0</v>
      </c>
      <c r="AD7" s="50">
        <f t="shared" si="2"/>
        <v>0</v>
      </c>
      <c r="AF7" s="58" t="s">
        <v>363</v>
      </c>
      <c r="AG7">
        <f>AG5+AG4+AG3+AG6</f>
        <v>16</v>
      </c>
    </row>
    <row r="8" spans="1:33" x14ac:dyDescent="0.25">
      <c r="A8" s="247" t="s">
        <v>365</v>
      </c>
      <c r="B8" s="70" t="s">
        <v>37</v>
      </c>
      <c r="C8" s="229" t="str">
        <f>Plantilla!D12</f>
        <v>V. Gardner</v>
      </c>
      <c r="D8" s="71"/>
      <c r="E8" s="71">
        <f>Plantilla!E12</f>
        <v>22</v>
      </c>
      <c r="F8" s="141">
        <f ca="1">Plantilla!F12</f>
        <v>33</v>
      </c>
      <c r="G8" s="87">
        <f>Plantilla!X12</f>
        <v>0</v>
      </c>
      <c r="H8" s="87">
        <f>Plantilla!Y12</f>
        <v>12</v>
      </c>
      <c r="I8" s="87">
        <f>Plantilla!Z12</f>
        <v>5</v>
      </c>
      <c r="J8" s="87">
        <f>Plantilla!AA12</f>
        <v>3</v>
      </c>
      <c r="K8" s="87">
        <f>Plantilla!AB12</f>
        <v>5</v>
      </c>
      <c r="L8" s="87">
        <f>Plantilla!AC12</f>
        <v>6</v>
      </c>
      <c r="M8" s="87">
        <f>Plantilla!AD12</f>
        <v>16</v>
      </c>
      <c r="N8" s="98">
        <f>Plantilla!V12</f>
        <v>9450</v>
      </c>
      <c r="O8" s="50"/>
      <c r="Q8" s="247" t="s">
        <v>365</v>
      </c>
      <c r="R8" s="70" t="str">
        <f t="shared" si="0"/>
        <v>DEF</v>
      </c>
      <c r="S8" s="71"/>
      <c r="T8" s="71">
        <f t="shared" ref="T8:T15" si="3">E8+1</f>
        <v>23</v>
      </c>
      <c r="U8" s="71">
        <f t="shared" ref="U8:U15" ca="1" si="4">F8+$AG$7*7-112</f>
        <v>33</v>
      </c>
      <c r="V8" s="87">
        <f t="shared" ref="V8:V17" si="5">G8</f>
        <v>0</v>
      </c>
      <c r="W8" s="87">
        <f t="shared" ref="W8:W17" si="6">H8</f>
        <v>12</v>
      </c>
      <c r="X8" s="87">
        <f>5+1/7</f>
        <v>5.1428571428571432</v>
      </c>
      <c r="Y8" s="87">
        <f t="shared" ref="Y8:AC9" si="7">J8</f>
        <v>3</v>
      </c>
      <c r="Z8" s="87">
        <f t="shared" si="7"/>
        <v>5</v>
      </c>
      <c r="AA8" s="87">
        <f t="shared" si="7"/>
        <v>6</v>
      </c>
      <c r="AB8" s="87">
        <f t="shared" si="7"/>
        <v>16</v>
      </c>
      <c r="AC8" s="98">
        <f t="shared" si="7"/>
        <v>9450</v>
      </c>
      <c r="AD8" s="50">
        <f t="shared" si="2"/>
        <v>11340</v>
      </c>
      <c r="AF8" s="58" t="s">
        <v>366</v>
      </c>
      <c r="AG8" s="72">
        <f>AG7/16</f>
        <v>1</v>
      </c>
    </row>
    <row r="9" spans="1:33" x14ac:dyDescent="0.25">
      <c r="A9" s="247" t="s">
        <v>367</v>
      </c>
      <c r="B9" s="70" t="s">
        <v>37</v>
      </c>
      <c r="C9" s="229" t="str">
        <f>Plantilla!D11</f>
        <v>A. Grimaud</v>
      </c>
      <c r="D9" s="71" t="str">
        <f>Plantilla!G11</f>
        <v>RAP</v>
      </c>
      <c r="E9" s="71">
        <f>Plantilla!E11</f>
        <v>22</v>
      </c>
      <c r="F9" s="141">
        <f ca="1">Plantilla!F11</f>
        <v>44</v>
      </c>
      <c r="G9" s="87">
        <f>Plantilla!X11</f>
        <v>0</v>
      </c>
      <c r="H9" s="87">
        <f>Plantilla!Y11</f>
        <v>12</v>
      </c>
      <c r="I9" s="87">
        <f>Plantilla!Z11</f>
        <v>7</v>
      </c>
      <c r="J9" s="87">
        <f>Plantilla!AA11</f>
        <v>3</v>
      </c>
      <c r="K9" s="87">
        <f>Plantilla!AB11</f>
        <v>3</v>
      </c>
      <c r="L9" s="87">
        <f>Plantilla!AC11</f>
        <v>5</v>
      </c>
      <c r="M9" s="87">
        <f>Plantilla!AD11</f>
        <v>14.333333333333334</v>
      </c>
      <c r="N9" s="98">
        <f>Plantilla!V11</f>
        <v>9564</v>
      </c>
      <c r="O9" s="50"/>
      <c r="Q9" s="247" t="s">
        <v>367</v>
      </c>
      <c r="R9" s="70" t="str">
        <f t="shared" si="0"/>
        <v>DEF</v>
      </c>
      <c r="S9" s="71" t="str">
        <f t="shared" ref="S9:S15" si="8">D9</f>
        <v>RAP</v>
      </c>
      <c r="T9" s="71">
        <f t="shared" si="3"/>
        <v>23</v>
      </c>
      <c r="U9" s="71">
        <f t="shared" ca="1" si="4"/>
        <v>44</v>
      </c>
      <c r="V9" s="87">
        <f t="shared" si="5"/>
        <v>0</v>
      </c>
      <c r="W9" s="87">
        <f t="shared" si="6"/>
        <v>12</v>
      </c>
      <c r="X9" s="87">
        <f>6+1/8</f>
        <v>6.125</v>
      </c>
      <c r="Y9" s="87">
        <f t="shared" si="7"/>
        <v>3</v>
      </c>
      <c r="Z9" s="87">
        <f t="shared" si="7"/>
        <v>3</v>
      </c>
      <c r="AA9" s="87">
        <f t="shared" si="7"/>
        <v>5</v>
      </c>
      <c r="AB9" s="87">
        <f t="shared" si="7"/>
        <v>14.333333333333334</v>
      </c>
      <c r="AC9" s="98">
        <f t="shared" si="7"/>
        <v>9564</v>
      </c>
      <c r="AD9" s="50">
        <f t="shared" si="2"/>
        <v>11476.8</v>
      </c>
    </row>
    <row r="10" spans="1:33" x14ac:dyDescent="0.25">
      <c r="A10" s="247" t="s">
        <v>368</v>
      </c>
      <c r="B10" s="70" t="s">
        <v>369</v>
      </c>
      <c r="C10" s="229" t="str">
        <f>Plantilla!D15</f>
        <v>I. Vanags</v>
      </c>
      <c r="D10" s="71" t="str">
        <f>Plantilla!G15</f>
        <v>CAB</v>
      </c>
      <c r="E10" s="71">
        <f>Plantilla!E15</f>
        <v>22</v>
      </c>
      <c r="F10" s="141">
        <f ca="1">Plantilla!F15</f>
        <v>20</v>
      </c>
      <c r="G10" s="87">
        <f>Plantilla!X15</f>
        <v>0</v>
      </c>
      <c r="H10" s="87">
        <f>Plantilla!Y15</f>
        <v>4</v>
      </c>
      <c r="I10" s="87">
        <f>Plantilla!Z15</f>
        <v>13</v>
      </c>
      <c r="J10" s="87">
        <f>Plantilla!AA15</f>
        <v>3</v>
      </c>
      <c r="K10" s="87">
        <f>Plantilla!AB15</f>
        <v>4</v>
      </c>
      <c r="L10" s="87">
        <f>Plantilla!AC15</f>
        <v>7</v>
      </c>
      <c r="M10" s="87">
        <f>Plantilla!AD15</f>
        <v>16.333333333333332</v>
      </c>
      <c r="N10" s="98">
        <f>Plantilla!V15</f>
        <v>19500</v>
      </c>
      <c r="O10" s="50"/>
      <c r="Q10" s="247" t="s">
        <v>368</v>
      </c>
      <c r="R10" s="70" t="str">
        <f t="shared" si="0"/>
        <v>Inners</v>
      </c>
      <c r="S10" s="71" t="str">
        <f t="shared" si="8"/>
        <v>CAB</v>
      </c>
      <c r="T10" s="71">
        <f t="shared" si="3"/>
        <v>23</v>
      </c>
      <c r="U10" s="71">
        <f t="shared" ca="1" si="4"/>
        <v>20</v>
      </c>
      <c r="V10" s="87">
        <f t="shared" si="5"/>
        <v>0</v>
      </c>
      <c r="W10" s="87">
        <f t="shared" si="6"/>
        <v>4</v>
      </c>
      <c r="X10" s="87">
        <f>12+6/8</f>
        <v>12.75</v>
      </c>
      <c r="Y10" s="87">
        <f t="shared" ref="Y10:AB17" si="9">J10</f>
        <v>3</v>
      </c>
      <c r="Z10" s="87">
        <f t="shared" si="9"/>
        <v>4</v>
      </c>
      <c r="AA10" s="87">
        <f t="shared" si="9"/>
        <v>7</v>
      </c>
      <c r="AB10" s="87">
        <f t="shared" si="9"/>
        <v>16.333333333333332</v>
      </c>
      <c r="AC10" s="98">
        <f>(13500+245+125+125)*1.02</f>
        <v>14274.9</v>
      </c>
      <c r="AD10" s="50">
        <f t="shared" si="2"/>
        <v>17129.879999999997</v>
      </c>
    </row>
    <row r="11" spans="1:33" x14ac:dyDescent="0.25">
      <c r="A11" s="247" t="s">
        <v>172</v>
      </c>
      <c r="B11" s="70" t="s">
        <v>369</v>
      </c>
      <c r="C11" s="229" t="str">
        <f>Plantilla!D16</f>
        <v>I. Stone</v>
      </c>
      <c r="D11" s="71" t="str">
        <f>Plantilla!G16</f>
        <v>RAP</v>
      </c>
      <c r="E11" s="71">
        <f>Plantilla!E16</f>
        <v>21</v>
      </c>
      <c r="F11" s="141">
        <f ca="1">Plantilla!F16</f>
        <v>75</v>
      </c>
      <c r="G11" s="87">
        <f>Plantilla!X16</f>
        <v>0</v>
      </c>
      <c r="H11" s="87">
        <f>Plantilla!Y16</f>
        <v>3</v>
      </c>
      <c r="I11" s="87">
        <f>Plantilla!Z16</f>
        <v>12</v>
      </c>
      <c r="J11" s="87">
        <f>Plantilla!AA16</f>
        <v>2</v>
      </c>
      <c r="K11" s="87">
        <f>Plantilla!AB16</f>
        <v>6</v>
      </c>
      <c r="L11" s="87">
        <f>Plantilla!AC16</f>
        <v>9</v>
      </c>
      <c r="M11" s="87">
        <f>Plantilla!AD16</f>
        <v>15.333333333333334</v>
      </c>
      <c r="N11" s="98">
        <f>Plantilla!V16</f>
        <v>9910</v>
      </c>
      <c r="O11" s="50"/>
      <c r="Q11" s="247" t="s">
        <v>172</v>
      </c>
      <c r="R11" s="70" t="str">
        <f t="shared" si="0"/>
        <v>Inners</v>
      </c>
      <c r="S11" s="71" t="str">
        <f t="shared" si="8"/>
        <v>RAP</v>
      </c>
      <c r="T11" s="71">
        <f t="shared" si="3"/>
        <v>22</v>
      </c>
      <c r="U11" s="71">
        <f t="shared" ca="1" si="4"/>
        <v>75</v>
      </c>
      <c r="V11" s="87">
        <f t="shared" si="5"/>
        <v>0</v>
      </c>
      <c r="W11" s="87">
        <f t="shared" si="6"/>
        <v>3</v>
      </c>
      <c r="X11" s="87">
        <v>12</v>
      </c>
      <c r="Y11" s="87">
        <f t="shared" si="9"/>
        <v>2</v>
      </c>
      <c r="Z11" s="87">
        <f t="shared" si="9"/>
        <v>6</v>
      </c>
      <c r="AA11" s="87">
        <f t="shared" si="9"/>
        <v>9</v>
      </c>
      <c r="AB11" s="87">
        <f t="shared" si="9"/>
        <v>15.333333333333334</v>
      </c>
      <c r="AC11" s="98">
        <f>(8670+750+145)*1.008</f>
        <v>9641.52</v>
      </c>
      <c r="AD11" s="50">
        <f t="shared" si="2"/>
        <v>11569.824000000001</v>
      </c>
    </row>
    <row r="12" spans="1:33" x14ac:dyDescent="0.25">
      <c r="A12" s="247" t="s">
        <v>176</v>
      </c>
      <c r="B12" s="70" t="s">
        <v>369</v>
      </c>
      <c r="C12" s="229" t="str">
        <f>Plantilla!D17</f>
        <v>G. Piscaer</v>
      </c>
      <c r="D12" s="71" t="str">
        <f>Plantilla!G17</f>
        <v>IMP</v>
      </c>
      <c r="E12" s="71">
        <f>Plantilla!E17</f>
        <v>22</v>
      </c>
      <c r="F12" s="141">
        <f ca="1">Plantilla!F17</f>
        <v>36</v>
      </c>
      <c r="G12" s="87">
        <f>Plantilla!X17</f>
        <v>0</v>
      </c>
      <c r="H12" s="87">
        <f>Plantilla!Y17</f>
        <v>4</v>
      </c>
      <c r="I12" s="87">
        <f>Plantilla!Z17</f>
        <v>13</v>
      </c>
      <c r="J12" s="87">
        <f>Plantilla!AA17</f>
        <v>3</v>
      </c>
      <c r="K12" s="87">
        <f>Plantilla!AB17</f>
        <v>2</v>
      </c>
      <c r="L12" s="87">
        <f>Plantilla!AC17</f>
        <v>8</v>
      </c>
      <c r="M12" s="87">
        <f>Plantilla!AD17</f>
        <v>14.333333333333334</v>
      </c>
      <c r="N12" s="98">
        <f>Plantilla!V17</f>
        <v>23508</v>
      </c>
      <c r="O12" s="50"/>
      <c r="Q12" s="247" t="s">
        <v>176</v>
      </c>
      <c r="R12" s="70" t="str">
        <f t="shared" si="0"/>
        <v>Inners</v>
      </c>
      <c r="S12" s="71" t="str">
        <f t="shared" si="8"/>
        <v>IMP</v>
      </c>
      <c r="T12" s="71">
        <f t="shared" si="3"/>
        <v>23</v>
      </c>
      <c r="U12" s="71">
        <f t="shared" ca="1" si="4"/>
        <v>36</v>
      </c>
      <c r="V12" s="87">
        <f t="shared" si="5"/>
        <v>0</v>
      </c>
      <c r="W12" s="87">
        <f t="shared" si="6"/>
        <v>4</v>
      </c>
      <c r="X12" s="87">
        <f>13+1/9</f>
        <v>13.111111111111111</v>
      </c>
      <c r="Y12" s="87">
        <f t="shared" si="9"/>
        <v>3</v>
      </c>
      <c r="Z12" s="87">
        <f t="shared" si="9"/>
        <v>2</v>
      </c>
      <c r="AA12" s="87">
        <f t="shared" si="9"/>
        <v>8</v>
      </c>
      <c r="AB12" s="87">
        <f t="shared" si="9"/>
        <v>14.333333333333334</v>
      </c>
      <c r="AC12" s="98">
        <f>(14490+405+125+125)*1</f>
        <v>15145</v>
      </c>
      <c r="AD12" s="50">
        <f t="shared" si="2"/>
        <v>18174</v>
      </c>
    </row>
    <row r="13" spans="1:33" x14ac:dyDescent="0.25">
      <c r="A13" s="247" t="s">
        <v>180</v>
      </c>
      <c r="B13" s="70" t="s">
        <v>369</v>
      </c>
      <c r="C13" s="229" t="str">
        <f>Plantilla!D18</f>
        <v>M. Bondarewski</v>
      </c>
      <c r="D13" s="71" t="str">
        <f>Plantilla!G18</f>
        <v>RAP</v>
      </c>
      <c r="E13" s="71">
        <f>Plantilla!E18</f>
        <v>22</v>
      </c>
      <c r="F13" s="141">
        <f ca="1">Plantilla!F18</f>
        <v>36</v>
      </c>
      <c r="G13" s="87">
        <f>Plantilla!X18</f>
        <v>0</v>
      </c>
      <c r="H13" s="87">
        <f>Plantilla!Y18</f>
        <v>2</v>
      </c>
      <c r="I13" s="87">
        <f>Plantilla!Z18</f>
        <v>13</v>
      </c>
      <c r="J13" s="87">
        <f>Plantilla!AA18</f>
        <v>5</v>
      </c>
      <c r="K13" s="87">
        <f>Plantilla!AB18</f>
        <v>4</v>
      </c>
      <c r="L13" s="87">
        <f>Plantilla!AC18</f>
        <v>8</v>
      </c>
      <c r="M13" s="87">
        <f>Plantilla!AD18</f>
        <v>17</v>
      </c>
      <c r="N13" s="98">
        <f>Plantilla!V18</f>
        <v>24084</v>
      </c>
      <c r="O13" s="50"/>
      <c r="Q13" s="247" t="s">
        <v>180</v>
      </c>
      <c r="R13" s="70" t="str">
        <f t="shared" si="0"/>
        <v>Inners</v>
      </c>
      <c r="S13" s="71" t="str">
        <f t="shared" si="8"/>
        <v>RAP</v>
      </c>
      <c r="T13" s="71">
        <f t="shared" si="3"/>
        <v>23</v>
      </c>
      <c r="U13" s="71">
        <f t="shared" ca="1" si="4"/>
        <v>36</v>
      </c>
      <c r="V13" s="87">
        <f t="shared" si="5"/>
        <v>0</v>
      </c>
      <c r="W13" s="87">
        <f t="shared" si="6"/>
        <v>2</v>
      </c>
      <c r="X13" s="87">
        <f>13+2/10</f>
        <v>13.2</v>
      </c>
      <c r="Y13" s="87">
        <f t="shared" si="9"/>
        <v>5</v>
      </c>
      <c r="Z13" s="87">
        <f t="shared" si="9"/>
        <v>4</v>
      </c>
      <c r="AA13" s="87">
        <f t="shared" si="9"/>
        <v>8</v>
      </c>
      <c r="AB13" s="87">
        <f t="shared" si="9"/>
        <v>17</v>
      </c>
      <c r="AC13" s="98">
        <f>(14550+405+125+155)*1.02</f>
        <v>15539.7</v>
      </c>
      <c r="AD13" s="50">
        <f t="shared" si="2"/>
        <v>18647.64</v>
      </c>
    </row>
    <row r="14" spans="1:33" x14ac:dyDescent="0.25">
      <c r="A14" s="247" t="s">
        <v>183</v>
      </c>
      <c r="B14" s="70" t="s">
        <v>369</v>
      </c>
      <c r="C14" s="229" t="str">
        <f>Plantilla!D19</f>
        <v>P. Tuderek</v>
      </c>
      <c r="D14" s="71" t="str">
        <f>Plantilla!G19</f>
        <v>CAB</v>
      </c>
      <c r="E14" s="71">
        <f>Plantilla!E19</f>
        <v>22</v>
      </c>
      <c r="F14" s="141">
        <f ca="1">Plantilla!F19</f>
        <v>22</v>
      </c>
      <c r="G14" s="87">
        <f>Plantilla!X19</f>
        <v>0</v>
      </c>
      <c r="H14" s="87">
        <f>Plantilla!Y19</f>
        <v>6</v>
      </c>
      <c r="I14" s="87">
        <f>Plantilla!Z19</f>
        <v>12</v>
      </c>
      <c r="J14" s="87">
        <f>Plantilla!AA19</f>
        <v>2</v>
      </c>
      <c r="K14" s="87">
        <f>Plantilla!AB19</f>
        <v>3</v>
      </c>
      <c r="L14" s="87">
        <f>Plantilla!AC19</f>
        <v>6</v>
      </c>
      <c r="M14" s="87">
        <f>Plantilla!AD19</f>
        <v>17.25</v>
      </c>
      <c r="N14" s="98">
        <f>Plantilla!V19</f>
        <v>12948</v>
      </c>
      <c r="O14" s="50"/>
      <c r="Q14" s="247" t="s">
        <v>183</v>
      </c>
      <c r="R14" s="70" t="str">
        <f t="shared" si="0"/>
        <v>Inners</v>
      </c>
      <c r="S14" s="71" t="str">
        <f t="shared" si="8"/>
        <v>CAB</v>
      </c>
      <c r="T14" s="71">
        <f t="shared" si="3"/>
        <v>23</v>
      </c>
      <c r="U14" s="71">
        <f t="shared" ca="1" si="4"/>
        <v>22</v>
      </c>
      <c r="V14" s="87">
        <f t="shared" si="5"/>
        <v>0</v>
      </c>
      <c r="W14" s="87">
        <f t="shared" si="6"/>
        <v>6</v>
      </c>
      <c r="X14" s="87">
        <v>12</v>
      </c>
      <c r="Y14" s="87">
        <f t="shared" si="9"/>
        <v>2</v>
      </c>
      <c r="Z14" s="87">
        <f t="shared" si="9"/>
        <v>3</v>
      </c>
      <c r="AA14" s="87">
        <f t="shared" si="9"/>
        <v>6</v>
      </c>
      <c r="AB14" s="87">
        <f t="shared" si="9"/>
        <v>17.25</v>
      </c>
      <c r="AC14" s="98">
        <f>(8670+165+165)*1.023</f>
        <v>9207</v>
      </c>
      <c r="AD14" s="50">
        <f t="shared" si="2"/>
        <v>11048.4</v>
      </c>
    </row>
    <row r="15" spans="1:33" x14ac:dyDescent="0.25">
      <c r="A15" s="247" t="s">
        <v>178</v>
      </c>
      <c r="B15" s="70" t="s">
        <v>369</v>
      </c>
      <c r="C15" s="229" t="str">
        <f>Plantilla!D20</f>
        <v>R. Forsyth</v>
      </c>
      <c r="D15" s="71" t="str">
        <f>Plantilla!G20</f>
        <v>POT</v>
      </c>
      <c r="E15" s="71">
        <f>Plantilla!E20</f>
        <v>22</v>
      </c>
      <c r="F15" s="141">
        <f ca="1">Plantilla!F20</f>
        <v>77</v>
      </c>
      <c r="G15" s="87">
        <f>Plantilla!X20</f>
        <v>0</v>
      </c>
      <c r="H15" s="87">
        <f>Plantilla!Y20</f>
        <v>7</v>
      </c>
      <c r="I15" s="87">
        <f>Plantilla!Z20</f>
        <v>13</v>
      </c>
      <c r="J15" s="87">
        <f>Plantilla!AA20</f>
        <v>3</v>
      </c>
      <c r="K15" s="87">
        <f>Plantilla!AB20</f>
        <v>4</v>
      </c>
      <c r="L15" s="87">
        <f>Plantilla!AC20</f>
        <v>6</v>
      </c>
      <c r="M15" s="87">
        <f>Plantilla!AD20</f>
        <v>15</v>
      </c>
      <c r="N15" s="98">
        <f>Plantilla!V20</f>
        <v>16050</v>
      </c>
      <c r="O15" s="50"/>
      <c r="Q15" s="247" t="s">
        <v>178</v>
      </c>
      <c r="R15" s="70" t="str">
        <f t="shared" si="0"/>
        <v>Inners</v>
      </c>
      <c r="S15" s="71" t="str">
        <f t="shared" si="8"/>
        <v>POT</v>
      </c>
      <c r="T15" s="71">
        <f t="shared" si="3"/>
        <v>23</v>
      </c>
      <c r="U15" s="71">
        <f t="shared" ca="1" si="4"/>
        <v>77</v>
      </c>
      <c r="V15" s="87">
        <f t="shared" si="5"/>
        <v>0</v>
      </c>
      <c r="W15" s="87">
        <f t="shared" si="6"/>
        <v>7</v>
      </c>
      <c r="X15" s="87">
        <f>12+2/9</f>
        <v>12.222222222222221</v>
      </c>
      <c r="Y15" s="87">
        <f t="shared" si="9"/>
        <v>3</v>
      </c>
      <c r="Z15" s="87">
        <f t="shared" si="9"/>
        <v>4</v>
      </c>
      <c r="AA15" s="87">
        <f t="shared" si="9"/>
        <v>6</v>
      </c>
      <c r="AB15" s="87">
        <f t="shared" si="9"/>
        <v>15</v>
      </c>
      <c r="AC15" s="98">
        <f>(10000+225+125+165)*1.008</f>
        <v>10599.12</v>
      </c>
      <c r="AD15" s="50">
        <f t="shared" si="2"/>
        <v>12718.944000000001</v>
      </c>
    </row>
    <row r="16" spans="1:33" x14ac:dyDescent="0.25">
      <c r="A16" s="247" t="s">
        <v>370</v>
      </c>
      <c r="B16" s="70" t="s">
        <v>140</v>
      </c>
      <c r="C16" s="71"/>
      <c r="D16" s="71"/>
      <c r="E16" s="71"/>
      <c r="F16" s="71"/>
      <c r="G16" s="87">
        <v>0</v>
      </c>
      <c r="H16" s="79">
        <v>2</v>
      </c>
      <c r="I16" s="79">
        <v>2</v>
      </c>
      <c r="J16" s="79">
        <v>2</v>
      </c>
      <c r="K16" s="87">
        <v>2</v>
      </c>
      <c r="L16" s="79">
        <v>2</v>
      </c>
      <c r="M16" s="87">
        <v>2</v>
      </c>
      <c r="N16" s="98"/>
      <c r="O16" s="50"/>
      <c r="Q16" s="247" t="s">
        <v>370</v>
      </c>
      <c r="R16" s="70" t="str">
        <f t="shared" si="0"/>
        <v>DD</v>
      </c>
      <c r="S16" s="71"/>
      <c r="T16" s="71"/>
      <c r="U16" s="71"/>
      <c r="V16" s="87">
        <f t="shared" si="5"/>
        <v>0</v>
      </c>
      <c r="W16" s="87">
        <f t="shared" si="6"/>
        <v>2</v>
      </c>
      <c r="X16" s="87">
        <f>I16</f>
        <v>2</v>
      </c>
      <c r="Y16" s="87">
        <f t="shared" si="9"/>
        <v>2</v>
      </c>
      <c r="Z16" s="87">
        <f t="shared" si="9"/>
        <v>2</v>
      </c>
      <c r="AA16" s="87">
        <f t="shared" si="9"/>
        <v>2</v>
      </c>
      <c r="AB16" s="87">
        <f t="shared" si="9"/>
        <v>2</v>
      </c>
      <c r="AC16" s="98">
        <f>N16</f>
        <v>0</v>
      </c>
      <c r="AD16" s="50">
        <f t="shared" si="2"/>
        <v>0</v>
      </c>
    </row>
    <row r="17" spans="1:33" x14ac:dyDescent="0.25">
      <c r="A17" s="247" t="s">
        <v>174</v>
      </c>
      <c r="B17" s="70" t="s">
        <v>140</v>
      </c>
      <c r="C17" s="71"/>
      <c r="D17" s="71"/>
      <c r="E17" s="71"/>
      <c r="F17" s="71"/>
      <c r="G17" s="87">
        <v>0</v>
      </c>
      <c r="H17" s="79">
        <v>2</v>
      </c>
      <c r="I17" s="79">
        <v>2</v>
      </c>
      <c r="J17" s="79">
        <v>2</v>
      </c>
      <c r="K17" s="87">
        <v>2</v>
      </c>
      <c r="L17" s="79">
        <v>2</v>
      </c>
      <c r="M17" s="87">
        <v>2</v>
      </c>
      <c r="N17" s="98"/>
      <c r="O17" s="50"/>
      <c r="Q17" s="247" t="s">
        <v>174</v>
      </c>
      <c r="R17" s="70" t="str">
        <f t="shared" si="0"/>
        <v>DD</v>
      </c>
      <c r="S17" s="71"/>
      <c r="T17" s="71"/>
      <c r="U17" s="71"/>
      <c r="V17" s="87">
        <f t="shared" si="5"/>
        <v>0</v>
      </c>
      <c r="W17" s="87">
        <f t="shared" si="6"/>
        <v>2</v>
      </c>
      <c r="X17" s="87">
        <f>I17</f>
        <v>2</v>
      </c>
      <c r="Y17" s="87">
        <f t="shared" si="9"/>
        <v>2</v>
      </c>
      <c r="Z17" s="87">
        <f t="shared" si="9"/>
        <v>2</v>
      </c>
      <c r="AA17" s="87">
        <f t="shared" si="9"/>
        <v>2</v>
      </c>
      <c r="AB17" s="87">
        <f t="shared" si="9"/>
        <v>2</v>
      </c>
      <c r="AC17" s="98">
        <f>N17</f>
        <v>0</v>
      </c>
      <c r="AD17" s="50">
        <f t="shared" si="2"/>
        <v>0</v>
      </c>
    </row>
    <row r="19" spans="1:33" x14ac:dyDescent="0.25">
      <c r="B19" s="58"/>
      <c r="N19" s="50">
        <f>SUM(N21:N34)</f>
        <v>140620.92000000001</v>
      </c>
      <c r="O19" s="50">
        <f>SUM(O21:O34)</f>
        <v>168745.10399999999</v>
      </c>
      <c r="R19" s="58"/>
      <c r="AC19" s="50">
        <f>SUM(AC21:AC34)</f>
        <v>317525.375</v>
      </c>
      <c r="AD19" s="50">
        <f>SUM(AD21:AD34)</f>
        <v>381030.44999999995</v>
      </c>
    </row>
    <row r="20" spans="1:33" x14ac:dyDescent="0.25">
      <c r="A20" s="83" t="s">
        <v>350</v>
      </c>
      <c r="B20" s="81" t="s">
        <v>85</v>
      </c>
      <c r="C20" s="81" t="s">
        <v>351</v>
      </c>
      <c r="D20" s="81" t="s">
        <v>352</v>
      </c>
      <c r="E20" s="81" t="s">
        <v>353</v>
      </c>
      <c r="F20" s="81" t="s">
        <v>89</v>
      </c>
      <c r="G20" s="81" t="s">
        <v>107</v>
      </c>
      <c r="H20" s="81" t="s">
        <v>108</v>
      </c>
      <c r="I20" s="81" t="s">
        <v>109</v>
      </c>
      <c r="J20" s="81" t="s">
        <v>110</v>
      </c>
      <c r="K20" s="81" t="s">
        <v>111</v>
      </c>
      <c r="L20" s="81" t="s">
        <v>112</v>
      </c>
      <c r="M20" s="81" t="s">
        <v>90</v>
      </c>
      <c r="N20" s="81" t="s">
        <v>354</v>
      </c>
      <c r="O20" s="124" t="s">
        <v>355</v>
      </c>
      <c r="Q20" s="83" t="s">
        <v>350</v>
      </c>
      <c r="R20" s="81" t="s">
        <v>85</v>
      </c>
      <c r="S20" s="81" t="s">
        <v>352</v>
      </c>
      <c r="T20" s="81" t="s">
        <v>353</v>
      </c>
      <c r="U20" s="81" t="s">
        <v>89</v>
      </c>
      <c r="V20" s="81" t="s">
        <v>107</v>
      </c>
      <c r="W20" s="81" t="s">
        <v>108</v>
      </c>
      <c r="X20" s="81" t="s">
        <v>109</v>
      </c>
      <c r="Y20" s="81" t="s">
        <v>110</v>
      </c>
      <c r="Z20" s="81" t="s">
        <v>111</v>
      </c>
      <c r="AA20" s="81" t="s">
        <v>112</v>
      </c>
      <c r="AB20" s="81" t="s">
        <v>90</v>
      </c>
      <c r="AC20" s="81" t="s">
        <v>354</v>
      </c>
      <c r="AD20" s="124" t="s">
        <v>355</v>
      </c>
      <c r="AF20" s="58" t="s">
        <v>356</v>
      </c>
      <c r="AG20">
        <v>24</v>
      </c>
    </row>
    <row r="21" spans="1:33" x14ac:dyDescent="0.25">
      <c r="A21" s="247" t="str">
        <f t="shared" ref="A21:B32" si="10">A4</f>
        <v>#1</v>
      </c>
      <c r="B21" s="70" t="str">
        <f t="shared" si="10"/>
        <v>POR</v>
      </c>
      <c r="C21" s="71" t="s">
        <v>372</v>
      </c>
      <c r="D21" s="71"/>
      <c r="E21" s="71">
        <v>20</v>
      </c>
      <c r="F21" s="71">
        <v>50</v>
      </c>
      <c r="G21" s="87">
        <v>15</v>
      </c>
      <c r="H21" s="87">
        <v>4</v>
      </c>
      <c r="I21" s="87">
        <v>0</v>
      </c>
      <c r="J21" s="87">
        <f>Y4</f>
        <v>0</v>
      </c>
      <c r="K21" s="87">
        <f>Z4</f>
        <v>0</v>
      </c>
      <c r="L21" s="87">
        <f>AA4</f>
        <v>0</v>
      </c>
      <c r="M21" s="87">
        <v>4</v>
      </c>
      <c r="N21" s="98">
        <f>(24270+125)*1.012</f>
        <v>24687.74</v>
      </c>
      <c r="O21" s="98">
        <f t="shared" ref="O21:O32" si="11">N21*1.2</f>
        <v>29625.288</v>
      </c>
      <c r="Q21" s="247" t="s">
        <v>145</v>
      </c>
      <c r="R21" s="70" t="str">
        <f t="shared" ref="R21:R32" si="12">B21</f>
        <v>POR</v>
      </c>
      <c r="S21" s="71"/>
      <c r="T21" s="71">
        <f>E21+3</f>
        <v>23</v>
      </c>
      <c r="U21" s="71">
        <f>F21+$AG$24*7-112-112-112</f>
        <v>106</v>
      </c>
      <c r="V21" s="87">
        <f t="shared" ref="V21:V34" si="13">G21</f>
        <v>15</v>
      </c>
      <c r="W21" s="87">
        <v>9</v>
      </c>
      <c r="X21" s="87">
        <f t="shared" ref="X21:AA24" si="14">I21</f>
        <v>0</v>
      </c>
      <c r="Y21" s="87">
        <f t="shared" si="14"/>
        <v>0</v>
      </c>
      <c r="Z21" s="87">
        <f t="shared" si="14"/>
        <v>0</v>
      </c>
      <c r="AA21" s="87">
        <f t="shared" si="14"/>
        <v>0</v>
      </c>
      <c r="AB21" s="87">
        <v>17</v>
      </c>
      <c r="AC21" s="98">
        <f>(24270+125)*1.047</f>
        <v>25541.564999999999</v>
      </c>
      <c r="AD21" s="50">
        <f t="shared" ref="AD21:AD34" si="15">AC21*1.2</f>
        <v>30649.877999999997</v>
      </c>
      <c r="AF21" s="58" t="s">
        <v>358</v>
      </c>
      <c r="AG21">
        <v>0</v>
      </c>
    </row>
    <row r="22" spans="1:33" x14ac:dyDescent="0.25">
      <c r="A22" s="247" t="str">
        <f t="shared" si="10"/>
        <v>#2</v>
      </c>
      <c r="B22" s="70" t="str">
        <f t="shared" si="10"/>
        <v>DEF</v>
      </c>
      <c r="C22" s="71" t="s">
        <v>373</v>
      </c>
      <c r="D22" s="71" t="s">
        <v>375</v>
      </c>
      <c r="E22" s="71">
        <v>20</v>
      </c>
      <c r="F22" s="71">
        <v>50</v>
      </c>
      <c r="G22" s="87">
        <f t="shared" ref="G22:G34" si="16">V5</f>
        <v>0</v>
      </c>
      <c r="H22" s="87">
        <v>12</v>
      </c>
      <c r="I22" s="87">
        <v>7</v>
      </c>
      <c r="J22" s="87">
        <f t="shared" ref="J22:J32" si="17">Y5</f>
        <v>2</v>
      </c>
      <c r="K22" s="87">
        <f t="shared" ref="K22:K32" si="18">Z5</f>
        <v>2</v>
      </c>
      <c r="L22" s="87">
        <v>7</v>
      </c>
      <c r="M22" s="87">
        <v>3</v>
      </c>
      <c r="N22" s="98">
        <f>(7010+255+150)*1.012</f>
        <v>7503.9800000000005</v>
      </c>
      <c r="O22" s="98">
        <f t="shared" si="11"/>
        <v>9004.7759999999998</v>
      </c>
      <c r="Q22" s="247" t="s">
        <v>157</v>
      </c>
      <c r="R22" s="70" t="str">
        <f t="shared" si="12"/>
        <v>DEF</v>
      </c>
      <c r="S22" s="71" t="str">
        <f>D22</f>
        <v>CAB/IMP</v>
      </c>
      <c r="T22" s="71">
        <f>E22+3</f>
        <v>23</v>
      </c>
      <c r="U22" s="71">
        <f>F22+$AG$24*7-112-112-112</f>
        <v>106</v>
      </c>
      <c r="V22" s="87">
        <f t="shared" si="13"/>
        <v>0</v>
      </c>
      <c r="W22" s="87">
        <f>14+1/16</f>
        <v>14.0625</v>
      </c>
      <c r="X22" s="87">
        <f t="shared" si="14"/>
        <v>7</v>
      </c>
      <c r="Y22" s="87">
        <f t="shared" si="14"/>
        <v>2</v>
      </c>
      <c r="Z22" s="87">
        <f t="shared" si="14"/>
        <v>2</v>
      </c>
      <c r="AA22" s="87">
        <f t="shared" si="14"/>
        <v>7</v>
      </c>
      <c r="AB22" s="87">
        <v>15</v>
      </c>
      <c r="AC22" s="98">
        <f>(18370+135+245)*1.04</f>
        <v>19500</v>
      </c>
      <c r="AD22" s="50">
        <f t="shared" si="15"/>
        <v>23400</v>
      </c>
      <c r="AF22" s="58" t="s">
        <v>200</v>
      </c>
      <c r="AG22">
        <v>23</v>
      </c>
    </row>
    <row r="23" spans="1:33" x14ac:dyDescent="0.25">
      <c r="A23" s="247" t="str">
        <f t="shared" si="10"/>
        <v>#3</v>
      </c>
      <c r="B23" s="70" t="str">
        <f t="shared" si="10"/>
        <v>DEF</v>
      </c>
      <c r="C23" s="71" t="s">
        <v>373</v>
      </c>
      <c r="D23" s="71" t="s">
        <v>375</v>
      </c>
      <c r="E23" s="71">
        <v>20</v>
      </c>
      <c r="F23" s="71">
        <v>50</v>
      </c>
      <c r="G23" s="87">
        <f t="shared" si="16"/>
        <v>0</v>
      </c>
      <c r="H23" s="87">
        <v>12</v>
      </c>
      <c r="I23" s="87">
        <v>7</v>
      </c>
      <c r="J23" s="87">
        <f t="shared" si="17"/>
        <v>2</v>
      </c>
      <c r="K23" s="87">
        <f t="shared" si="18"/>
        <v>2</v>
      </c>
      <c r="L23" s="87">
        <v>7</v>
      </c>
      <c r="M23" s="87">
        <v>3</v>
      </c>
      <c r="N23" s="98">
        <f>(7010+255+150)*1.012</f>
        <v>7503.9800000000005</v>
      </c>
      <c r="O23" s="98">
        <f t="shared" si="11"/>
        <v>9004.7759999999998</v>
      </c>
      <c r="Q23" s="247" t="s">
        <v>166</v>
      </c>
      <c r="R23" s="70" t="str">
        <f t="shared" si="12"/>
        <v>DEF</v>
      </c>
      <c r="S23" s="71" t="str">
        <f>D23</f>
        <v>CAB/IMP</v>
      </c>
      <c r="T23" s="71">
        <f>E23+3</f>
        <v>23</v>
      </c>
      <c r="U23" s="71">
        <f>F23+$AG$24*7-112-112-112</f>
        <v>106</v>
      </c>
      <c r="V23" s="87">
        <f t="shared" si="13"/>
        <v>0</v>
      </c>
      <c r="W23" s="87">
        <f>14+1/16</f>
        <v>14.0625</v>
      </c>
      <c r="X23" s="87">
        <f t="shared" si="14"/>
        <v>7</v>
      </c>
      <c r="Y23" s="87">
        <f t="shared" si="14"/>
        <v>2</v>
      </c>
      <c r="Z23" s="87">
        <f t="shared" si="14"/>
        <v>2</v>
      </c>
      <c r="AA23" s="87">
        <f t="shared" si="14"/>
        <v>7</v>
      </c>
      <c r="AB23" s="87">
        <v>15</v>
      </c>
      <c r="AC23" s="98">
        <f>(18370+135+245)*1.04</f>
        <v>19500</v>
      </c>
      <c r="AD23" s="50">
        <f t="shared" si="15"/>
        <v>23400</v>
      </c>
      <c r="AF23" s="58" t="s">
        <v>199</v>
      </c>
      <c r="AG23">
        <v>9</v>
      </c>
    </row>
    <row r="24" spans="1:33" x14ac:dyDescent="0.25">
      <c r="A24" s="247" t="str">
        <f t="shared" si="10"/>
        <v>#4</v>
      </c>
      <c r="B24" s="70" t="str">
        <f t="shared" si="10"/>
        <v>DEF</v>
      </c>
      <c r="C24" s="71" t="s">
        <v>373</v>
      </c>
      <c r="D24" s="71" t="s">
        <v>375</v>
      </c>
      <c r="E24" s="71">
        <v>20</v>
      </c>
      <c r="F24" s="71">
        <v>50</v>
      </c>
      <c r="G24" s="87">
        <f t="shared" si="16"/>
        <v>0</v>
      </c>
      <c r="H24" s="87">
        <v>12</v>
      </c>
      <c r="I24" s="87">
        <v>7</v>
      </c>
      <c r="J24" s="87">
        <f t="shared" si="17"/>
        <v>2</v>
      </c>
      <c r="K24" s="87">
        <f t="shared" si="18"/>
        <v>2</v>
      </c>
      <c r="L24" s="87">
        <v>7</v>
      </c>
      <c r="M24" s="87">
        <v>3</v>
      </c>
      <c r="N24" s="98">
        <f>(7010+255+150)*1.012</f>
        <v>7503.9800000000005</v>
      </c>
      <c r="O24" s="98">
        <f t="shared" si="11"/>
        <v>9004.7759999999998</v>
      </c>
      <c r="Q24" s="247" t="s">
        <v>168</v>
      </c>
      <c r="R24" s="70" t="str">
        <f t="shared" si="12"/>
        <v>DEF</v>
      </c>
      <c r="S24" s="71" t="str">
        <f>D24</f>
        <v>CAB/IMP</v>
      </c>
      <c r="T24" s="71">
        <f>E24+3</f>
        <v>23</v>
      </c>
      <c r="U24" s="71">
        <f>F24+$AG$24*7-112-112-112</f>
        <v>106</v>
      </c>
      <c r="V24" s="87">
        <f t="shared" si="13"/>
        <v>0</v>
      </c>
      <c r="W24" s="87">
        <f>14+1/16</f>
        <v>14.0625</v>
      </c>
      <c r="X24" s="87">
        <f t="shared" si="14"/>
        <v>7</v>
      </c>
      <c r="Y24" s="87">
        <f t="shared" si="14"/>
        <v>2</v>
      </c>
      <c r="Z24" s="87">
        <f t="shared" si="14"/>
        <v>2</v>
      </c>
      <c r="AA24" s="87">
        <f t="shared" si="14"/>
        <v>7</v>
      </c>
      <c r="AB24" s="87">
        <v>15</v>
      </c>
      <c r="AC24" s="98">
        <f>(18370+135+245)*1.04</f>
        <v>19500</v>
      </c>
      <c r="AD24" s="50">
        <f t="shared" si="15"/>
        <v>23400</v>
      </c>
      <c r="AF24" s="58" t="s">
        <v>363</v>
      </c>
      <c r="AG24">
        <f>AG22+AG21+AG20+AG23</f>
        <v>56</v>
      </c>
    </row>
    <row r="25" spans="1:33" x14ac:dyDescent="0.25">
      <c r="A25" s="247" t="str">
        <f t="shared" si="10"/>
        <v>#5</v>
      </c>
      <c r="B25" s="70" t="str">
        <f t="shared" si="10"/>
        <v>DEF</v>
      </c>
      <c r="C25" s="71" t="str">
        <f t="shared" ref="C25:C32" si="19">C8</f>
        <v>V. Gardner</v>
      </c>
      <c r="D25" s="71"/>
      <c r="E25" s="71">
        <f t="shared" ref="E25:F32" si="20">T8</f>
        <v>23</v>
      </c>
      <c r="F25" s="71">
        <f t="shared" ca="1" si="20"/>
        <v>33</v>
      </c>
      <c r="G25" s="87">
        <f t="shared" si="16"/>
        <v>0</v>
      </c>
      <c r="H25" s="87">
        <f t="shared" ref="H25:I32" si="21">W8</f>
        <v>12</v>
      </c>
      <c r="I25" s="87">
        <f t="shared" si="21"/>
        <v>5.1428571428571432</v>
      </c>
      <c r="J25" s="87">
        <f t="shared" si="17"/>
        <v>3</v>
      </c>
      <c r="K25" s="87">
        <f t="shared" si="18"/>
        <v>5</v>
      </c>
      <c r="L25" s="87">
        <f t="shared" ref="L25:N32" si="22">AA8</f>
        <v>6</v>
      </c>
      <c r="M25" s="87">
        <f t="shared" si="22"/>
        <v>16</v>
      </c>
      <c r="N25" s="98">
        <f t="shared" si="22"/>
        <v>9450</v>
      </c>
      <c r="O25" s="98">
        <f t="shared" si="11"/>
        <v>11340</v>
      </c>
      <c r="Q25" s="247" t="s">
        <v>365</v>
      </c>
      <c r="R25" s="70" t="str">
        <f t="shared" si="12"/>
        <v>DEF</v>
      </c>
      <c r="S25" s="71"/>
      <c r="T25" s="71">
        <f>E25+4</f>
        <v>27</v>
      </c>
      <c r="U25" s="71">
        <f ca="1">F25+$AG$24*7-112-112-112-112</f>
        <v>-23</v>
      </c>
      <c r="V25" s="87">
        <f t="shared" si="13"/>
        <v>0</v>
      </c>
      <c r="W25" s="87">
        <f>14+3/13</f>
        <v>14.23076923076923</v>
      </c>
      <c r="X25" s="87">
        <f t="shared" ref="X25:X34" si="23">I25</f>
        <v>5.1428571428571432</v>
      </c>
      <c r="Y25" s="87">
        <f t="shared" ref="Y25:Y34" si="24">J25</f>
        <v>3</v>
      </c>
      <c r="Z25" s="87">
        <f t="shared" ref="Z25:Z34" si="25">K25</f>
        <v>5</v>
      </c>
      <c r="AA25" s="87">
        <f>L25+0.4</f>
        <v>6.4</v>
      </c>
      <c r="AB25" s="87">
        <f>17+1/4</f>
        <v>17.25</v>
      </c>
      <c r="AC25" s="98">
        <f>(18370+135+245)*1.04</f>
        <v>19500</v>
      </c>
      <c r="AD25" s="50">
        <f t="shared" si="15"/>
        <v>23400</v>
      </c>
      <c r="AF25" s="58" t="s">
        <v>366</v>
      </c>
      <c r="AG25" s="72">
        <f>AG24/16</f>
        <v>3.5</v>
      </c>
    </row>
    <row r="26" spans="1:33" x14ac:dyDescent="0.25">
      <c r="A26" s="247" t="str">
        <f t="shared" si="10"/>
        <v>#6</v>
      </c>
      <c r="B26" s="70" t="str">
        <f t="shared" si="10"/>
        <v>DEF</v>
      </c>
      <c r="C26" s="71" t="str">
        <f t="shared" si="19"/>
        <v>A. Grimaud</v>
      </c>
      <c r="D26" s="71" t="str">
        <f t="shared" ref="D26:D32" si="26">D9</f>
        <v>RAP</v>
      </c>
      <c r="E26" s="71">
        <f t="shared" si="20"/>
        <v>23</v>
      </c>
      <c r="F26" s="71">
        <f t="shared" ca="1" si="20"/>
        <v>44</v>
      </c>
      <c r="G26" s="87">
        <f t="shared" si="16"/>
        <v>0</v>
      </c>
      <c r="H26" s="87">
        <f t="shared" si="21"/>
        <v>12</v>
      </c>
      <c r="I26" s="87">
        <f t="shared" si="21"/>
        <v>6.125</v>
      </c>
      <c r="J26" s="87">
        <f t="shared" si="17"/>
        <v>3</v>
      </c>
      <c r="K26" s="87">
        <f t="shared" si="18"/>
        <v>3</v>
      </c>
      <c r="L26" s="87">
        <f t="shared" si="22"/>
        <v>5</v>
      </c>
      <c r="M26" s="87">
        <f t="shared" si="22"/>
        <v>14.333333333333334</v>
      </c>
      <c r="N26" s="98">
        <f t="shared" si="22"/>
        <v>9564</v>
      </c>
      <c r="O26" s="98">
        <f t="shared" si="11"/>
        <v>11476.8</v>
      </c>
      <c r="Q26" s="247" t="s">
        <v>367</v>
      </c>
      <c r="R26" s="70" t="str">
        <f t="shared" si="12"/>
        <v>DEF</v>
      </c>
      <c r="S26" s="71" t="str">
        <f t="shared" ref="S26:S32" si="27">D26</f>
        <v>RAP</v>
      </c>
      <c r="T26" s="71">
        <f>E26+4</f>
        <v>27</v>
      </c>
      <c r="U26" s="71">
        <f ca="1">F26+$AG$24*7-112-112-112-112</f>
        <v>-12</v>
      </c>
      <c r="V26" s="87">
        <f t="shared" si="13"/>
        <v>0</v>
      </c>
      <c r="W26" s="87">
        <f>14+3/13</f>
        <v>14.23076923076923</v>
      </c>
      <c r="X26" s="87">
        <f t="shared" si="23"/>
        <v>6.125</v>
      </c>
      <c r="Y26" s="87">
        <f t="shared" si="24"/>
        <v>3</v>
      </c>
      <c r="Z26" s="87">
        <f t="shared" si="25"/>
        <v>3</v>
      </c>
      <c r="AA26" s="87">
        <f>L26+9/21</f>
        <v>5.4285714285714288</v>
      </c>
      <c r="AB26" s="87">
        <v>16</v>
      </c>
      <c r="AC26" s="98">
        <f>(20000+1500+125+125)*1.043</f>
        <v>22685.25</v>
      </c>
      <c r="AD26" s="50">
        <f t="shared" si="15"/>
        <v>27222.3</v>
      </c>
    </row>
    <row r="27" spans="1:33" x14ac:dyDescent="0.25">
      <c r="A27" s="247" t="str">
        <f t="shared" si="10"/>
        <v>#7</v>
      </c>
      <c r="B27" s="70" t="str">
        <f t="shared" si="10"/>
        <v>Inners</v>
      </c>
      <c r="C27" s="71" t="str">
        <f t="shared" si="19"/>
        <v>I. Vanags</v>
      </c>
      <c r="D27" s="71" t="str">
        <f t="shared" si="26"/>
        <v>CAB</v>
      </c>
      <c r="E27" s="71">
        <f t="shared" si="20"/>
        <v>23</v>
      </c>
      <c r="F27" s="71">
        <f t="shared" ca="1" si="20"/>
        <v>20</v>
      </c>
      <c r="G27" s="87">
        <f t="shared" si="16"/>
        <v>0</v>
      </c>
      <c r="H27" s="87">
        <f t="shared" si="21"/>
        <v>4</v>
      </c>
      <c r="I27" s="87">
        <f t="shared" si="21"/>
        <v>12.75</v>
      </c>
      <c r="J27" s="87">
        <f t="shared" si="17"/>
        <v>3</v>
      </c>
      <c r="K27" s="87">
        <f t="shared" si="18"/>
        <v>4</v>
      </c>
      <c r="L27" s="87">
        <f t="shared" si="22"/>
        <v>7</v>
      </c>
      <c r="M27" s="87">
        <f t="shared" si="22"/>
        <v>16.333333333333332</v>
      </c>
      <c r="N27" s="98">
        <f t="shared" si="22"/>
        <v>14274.9</v>
      </c>
      <c r="O27" s="98">
        <f t="shared" si="11"/>
        <v>17129.879999999997</v>
      </c>
      <c r="Q27" s="247" t="s">
        <v>368</v>
      </c>
      <c r="R27" s="70" t="str">
        <f t="shared" si="12"/>
        <v>Inners</v>
      </c>
      <c r="S27" s="71" t="str">
        <f t="shared" si="27"/>
        <v>CAB</v>
      </c>
      <c r="T27" s="71">
        <f>E27+4</f>
        <v>27</v>
      </c>
      <c r="U27" s="71">
        <f ca="1">F27+$AG$24*7-112-112-112-112</f>
        <v>-36</v>
      </c>
      <c r="V27" s="87">
        <f t="shared" si="13"/>
        <v>0</v>
      </c>
      <c r="W27" s="87">
        <v>9</v>
      </c>
      <c r="X27" s="87">
        <f t="shared" si="23"/>
        <v>12.75</v>
      </c>
      <c r="Y27" s="87">
        <f t="shared" si="24"/>
        <v>3</v>
      </c>
      <c r="Z27" s="87">
        <f t="shared" si="25"/>
        <v>4</v>
      </c>
      <c r="AA27" s="87">
        <f>8+3/6</f>
        <v>8.5</v>
      </c>
      <c r="AB27" s="87">
        <v>16</v>
      </c>
      <c r="AC27" s="98">
        <f>(20000+1500+125+125)*1.043</f>
        <v>22685.25</v>
      </c>
      <c r="AD27" s="50">
        <f t="shared" si="15"/>
        <v>27222.3</v>
      </c>
    </row>
    <row r="28" spans="1:33" x14ac:dyDescent="0.25">
      <c r="A28" s="247" t="str">
        <f t="shared" si="10"/>
        <v>#8</v>
      </c>
      <c r="B28" s="70" t="str">
        <f t="shared" si="10"/>
        <v>Inners</v>
      </c>
      <c r="C28" s="71" t="str">
        <f t="shared" si="19"/>
        <v>I. Stone</v>
      </c>
      <c r="D28" s="71" t="str">
        <f t="shared" si="26"/>
        <v>RAP</v>
      </c>
      <c r="E28" s="71">
        <f t="shared" si="20"/>
        <v>22</v>
      </c>
      <c r="F28" s="71">
        <f t="shared" ca="1" si="20"/>
        <v>75</v>
      </c>
      <c r="G28" s="87">
        <f t="shared" si="16"/>
        <v>0</v>
      </c>
      <c r="H28" s="87">
        <f t="shared" si="21"/>
        <v>3</v>
      </c>
      <c r="I28" s="87">
        <f t="shared" si="21"/>
        <v>12</v>
      </c>
      <c r="J28" s="87">
        <f t="shared" si="17"/>
        <v>2</v>
      </c>
      <c r="K28" s="87">
        <f t="shared" si="18"/>
        <v>6</v>
      </c>
      <c r="L28" s="87">
        <f t="shared" si="22"/>
        <v>9</v>
      </c>
      <c r="M28" s="87">
        <f t="shared" si="22"/>
        <v>15.333333333333334</v>
      </c>
      <c r="N28" s="98">
        <f t="shared" si="22"/>
        <v>9641.52</v>
      </c>
      <c r="O28" s="98">
        <f t="shared" si="11"/>
        <v>11569.824000000001</v>
      </c>
      <c r="Q28" s="247" t="s">
        <v>172</v>
      </c>
      <c r="R28" s="70" t="str">
        <f t="shared" si="12"/>
        <v>Inners</v>
      </c>
      <c r="S28" s="71" t="str">
        <f t="shared" si="27"/>
        <v>RAP</v>
      </c>
      <c r="T28" s="71">
        <f>E28+3</f>
        <v>25</v>
      </c>
      <c r="U28" s="71">
        <f ca="1">F28+$AG$24*7-112-112-112</f>
        <v>131</v>
      </c>
      <c r="V28" s="87">
        <f t="shared" si="13"/>
        <v>0</v>
      </c>
      <c r="W28" s="87">
        <f>8+3/6</f>
        <v>8.5</v>
      </c>
      <c r="X28" s="87">
        <f t="shared" si="23"/>
        <v>12</v>
      </c>
      <c r="Y28" s="87">
        <f t="shared" si="24"/>
        <v>2</v>
      </c>
      <c r="Z28" s="87">
        <f t="shared" si="25"/>
        <v>6</v>
      </c>
      <c r="AA28" s="87">
        <f>10+2/9</f>
        <v>10.222222222222221</v>
      </c>
      <c r="AB28" s="87">
        <v>15</v>
      </c>
      <c r="AC28" s="98">
        <f>(14490+3125+145)*1.038</f>
        <v>18434.88</v>
      </c>
      <c r="AD28" s="50">
        <f t="shared" si="15"/>
        <v>22121.856</v>
      </c>
    </row>
    <row r="29" spans="1:33" x14ac:dyDescent="0.25">
      <c r="A29" s="247" t="str">
        <f t="shared" si="10"/>
        <v>#9</v>
      </c>
      <c r="B29" s="70" t="str">
        <f t="shared" si="10"/>
        <v>Inners</v>
      </c>
      <c r="C29" s="71" t="str">
        <f t="shared" si="19"/>
        <v>G. Piscaer</v>
      </c>
      <c r="D29" s="71" t="str">
        <f t="shared" si="26"/>
        <v>IMP</v>
      </c>
      <c r="E29" s="71">
        <f t="shared" si="20"/>
        <v>23</v>
      </c>
      <c r="F29" s="71">
        <f t="shared" ca="1" si="20"/>
        <v>36</v>
      </c>
      <c r="G29" s="87">
        <f t="shared" si="16"/>
        <v>0</v>
      </c>
      <c r="H29" s="87">
        <f t="shared" si="21"/>
        <v>4</v>
      </c>
      <c r="I29" s="87">
        <f t="shared" si="21"/>
        <v>13.111111111111111</v>
      </c>
      <c r="J29" s="87">
        <f t="shared" si="17"/>
        <v>3</v>
      </c>
      <c r="K29" s="87">
        <f t="shared" si="18"/>
        <v>2</v>
      </c>
      <c r="L29" s="87">
        <f t="shared" si="22"/>
        <v>8</v>
      </c>
      <c r="M29" s="87">
        <f t="shared" si="22"/>
        <v>14.333333333333334</v>
      </c>
      <c r="N29" s="98">
        <f t="shared" si="22"/>
        <v>15145</v>
      </c>
      <c r="O29" s="98">
        <f t="shared" si="11"/>
        <v>18174</v>
      </c>
      <c r="Q29" s="247" t="s">
        <v>176</v>
      </c>
      <c r="R29" s="70" t="str">
        <f t="shared" si="12"/>
        <v>Inners</v>
      </c>
      <c r="S29" s="71" t="str">
        <f t="shared" si="27"/>
        <v>IMP</v>
      </c>
      <c r="T29" s="71">
        <f>E29+4</f>
        <v>27</v>
      </c>
      <c r="U29" s="71">
        <f ca="1">F29+$AG$24*7-112-112-112-112</f>
        <v>-20</v>
      </c>
      <c r="V29" s="87">
        <f t="shared" si="13"/>
        <v>0</v>
      </c>
      <c r="W29" s="87">
        <v>9</v>
      </c>
      <c r="X29" s="87">
        <f t="shared" si="23"/>
        <v>13.111111111111111</v>
      </c>
      <c r="Y29" s="87">
        <f t="shared" si="24"/>
        <v>3</v>
      </c>
      <c r="Z29" s="87">
        <f t="shared" si="25"/>
        <v>2</v>
      </c>
      <c r="AA29" s="87">
        <f>9+3/6</f>
        <v>9.5</v>
      </c>
      <c r="AB29" s="87">
        <v>14</v>
      </c>
      <c r="AC29" s="98">
        <f>(23500+2295+125)*1.035</f>
        <v>26827.199999999997</v>
      </c>
      <c r="AD29" s="50">
        <f t="shared" si="15"/>
        <v>32192.639999999996</v>
      </c>
    </row>
    <row r="30" spans="1:33" x14ac:dyDescent="0.25">
      <c r="A30" s="247" t="str">
        <f t="shared" si="10"/>
        <v>#10</v>
      </c>
      <c r="B30" s="70" t="str">
        <f t="shared" si="10"/>
        <v>Inners</v>
      </c>
      <c r="C30" s="71" t="str">
        <f t="shared" si="19"/>
        <v>M. Bondarewski</v>
      </c>
      <c r="D30" s="71" t="str">
        <f t="shared" si="26"/>
        <v>RAP</v>
      </c>
      <c r="E30" s="71">
        <f t="shared" si="20"/>
        <v>23</v>
      </c>
      <c r="F30" s="71">
        <f t="shared" ca="1" si="20"/>
        <v>36</v>
      </c>
      <c r="G30" s="87">
        <f t="shared" si="16"/>
        <v>0</v>
      </c>
      <c r="H30" s="87">
        <f t="shared" si="21"/>
        <v>2</v>
      </c>
      <c r="I30" s="87">
        <f t="shared" si="21"/>
        <v>13.2</v>
      </c>
      <c r="J30" s="87">
        <f t="shared" si="17"/>
        <v>5</v>
      </c>
      <c r="K30" s="87">
        <f t="shared" si="18"/>
        <v>4</v>
      </c>
      <c r="L30" s="87">
        <f t="shared" si="22"/>
        <v>8</v>
      </c>
      <c r="M30" s="87">
        <f t="shared" si="22"/>
        <v>17</v>
      </c>
      <c r="N30" s="98">
        <f t="shared" si="22"/>
        <v>15539.7</v>
      </c>
      <c r="O30" s="98">
        <f t="shared" si="11"/>
        <v>18647.64</v>
      </c>
      <c r="Q30" s="247" t="s">
        <v>180</v>
      </c>
      <c r="R30" s="70" t="str">
        <f t="shared" si="12"/>
        <v>Inners</v>
      </c>
      <c r="S30" s="71" t="str">
        <f t="shared" si="27"/>
        <v>RAP</v>
      </c>
      <c r="T30" s="71">
        <f>E30+4</f>
        <v>27</v>
      </c>
      <c r="U30" s="71">
        <f ca="1">F30+$AG$24*7-112-112-112-112</f>
        <v>-20</v>
      </c>
      <c r="V30" s="87">
        <f t="shared" si="13"/>
        <v>0</v>
      </c>
      <c r="W30" s="87">
        <v>8</v>
      </c>
      <c r="X30" s="87">
        <f t="shared" si="23"/>
        <v>13.2</v>
      </c>
      <c r="Y30" s="87">
        <f t="shared" si="24"/>
        <v>5</v>
      </c>
      <c r="Z30" s="87">
        <f t="shared" si="25"/>
        <v>4</v>
      </c>
      <c r="AA30" s="87">
        <f>9+3/6</f>
        <v>9.5</v>
      </c>
      <c r="AB30" s="87">
        <v>16</v>
      </c>
      <c r="AC30" s="98">
        <f>(23500+2295+125+125)*1.043</f>
        <v>27164.934999999998</v>
      </c>
      <c r="AD30" s="50">
        <f t="shared" si="15"/>
        <v>32597.921999999995</v>
      </c>
    </row>
    <row r="31" spans="1:33" x14ac:dyDescent="0.25">
      <c r="A31" s="247" t="str">
        <f t="shared" si="10"/>
        <v>#11</v>
      </c>
      <c r="B31" s="70" t="str">
        <f t="shared" si="10"/>
        <v>Inners</v>
      </c>
      <c r="C31" s="71" t="str">
        <f t="shared" si="19"/>
        <v>P. Tuderek</v>
      </c>
      <c r="D31" s="71" t="str">
        <f t="shared" si="26"/>
        <v>CAB</v>
      </c>
      <c r="E31" s="71">
        <f t="shared" si="20"/>
        <v>23</v>
      </c>
      <c r="F31" s="71">
        <f t="shared" ca="1" si="20"/>
        <v>22</v>
      </c>
      <c r="G31" s="87">
        <f t="shared" si="16"/>
        <v>0</v>
      </c>
      <c r="H31" s="87">
        <f t="shared" si="21"/>
        <v>6</v>
      </c>
      <c r="I31" s="87">
        <f t="shared" si="21"/>
        <v>12</v>
      </c>
      <c r="J31" s="87">
        <f t="shared" si="17"/>
        <v>2</v>
      </c>
      <c r="K31" s="87">
        <f t="shared" si="18"/>
        <v>3</v>
      </c>
      <c r="L31" s="87">
        <f t="shared" si="22"/>
        <v>6</v>
      </c>
      <c r="M31" s="87">
        <f t="shared" si="22"/>
        <v>17.25</v>
      </c>
      <c r="N31" s="98">
        <f t="shared" si="22"/>
        <v>9207</v>
      </c>
      <c r="O31" s="98">
        <f t="shared" si="11"/>
        <v>11048.4</v>
      </c>
      <c r="Q31" s="247" t="s">
        <v>183</v>
      </c>
      <c r="R31" s="70" t="str">
        <f t="shared" si="12"/>
        <v>Inners</v>
      </c>
      <c r="S31" s="71" t="str">
        <f t="shared" si="27"/>
        <v>CAB</v>
      </c>
      <c r="T31" s="71">
        <f>E31+4</f>
        <v>27</v>
      </c>
      <c r="U31" s="71">
        <f ca="1">F31+$AG$24*7-112-112-112-112</f>
        <v>-34</v>
      </c>
      <c r="V31" s="87">
        <f t="shared" si="13"/>
        <v>0</v>
      </c>
      <c r="W31" s="87">
        <f>10+1/9</f>
        <v>10.111111111111111</v>
      </c>
      <c r="X31" s="87">
        <f t="shared" si="23"/>
        <v>12</v>
      </c>
      <c r="Y31" s="87">
        <f t="shared" si="24"/>
        <v>2</v>
      </c>
      <c r="Z31" s="87">
        <f t="shared" si="25"/>
        <v>3</v>
      </c>
      <c r="AA31" s="87">
        <v>8</v>
      </c>
      <c r="AB31" s="87">
        <v>16.5</v>
      </c>
      <c r="AC31" s="98">
        <f>(20000+1020+225)*1.047</f>
        <v>22243.514999999999</v>
      </c>
      <c r="AD31" s="50">
        <f t="shared" si="15"/>
        <v>26692.217999999997</v>
      </c>
    </row>
    <row r="32" spans="1:33" x14ac:dyDescent="0.25">
      <c r="A32" s="247" t="str">
        <f t="shared" si="10"/>
        <v>#12</v>
      </c>
      <c r="B32" s="70" t="str">
        <f t="shared" si="10"/>
        <v>Inners</v>
      </c>
      <c r="C32" s="71" t="str">
        <f t="shared" si="19"/>
        <v>R. Forsyth</v>
      </c>
      <c r="D32" s="71" t="str">
        <f t="shared" si="26"/>
        <v>POT</v>
      </c>
      <c r="E32" s="71">
        <f t="shared" si="20"/>
        <v>23</v>
      </c>
      <c r="F32" s="71">
        <f t="shared" ca="1" si="20"/>
        <v>77</v>
      </c>
      <c r="G32" s="87">
        <f t="shared" si="16"/>
        <v>0</v>
      </c>
      <c r="H32" s="87">
        <f t="shared" si="21"/>
        <v>7</v>
      </c>
      <c r="I32" s="87">
        <f t="shared" si="21"/>
        <v>12.222222222222221</v>
      </c>
      <c r="J32" s="87">
        <f t="shared" si="17"/>
        <v>3</v>
      </c>
      <c r="K32" s="87">
        <f t="shared" si="18"/>
        <v>4</v>
      </c>
      <c r="L32" s="87">
        <f t="shared" si="22"/>
        <v>6</v>
      </c>
      <c r="M32" s="87">
        <f t="shared" si="22"/>
        <v>15</v>
      </c>
      <c r="N32" s="98">
        <f t="shared" si="22"/>
        <v>10599.12</v>
      </c>
      <c r="O32" s="98">
        <f t="shared" si="11"/>
        <v>12718.944000000001</v>
      </c>
      <c r="Q32" s="247" t="s">
        <v>178</v>
      </c>
      <c r="R32" s="70" t="str">
        <f t="shared" si="12"/>
        <v>Inners</v>
      </c>
      <c r="S32" s="71" t="str">
        <f t="shared" si="27"/>
        <v>POT</v>
      </c>
      <c r="T32" s="71">
        <f>E32+3</f>
        <v>26</v>
      </c>
      <c r="U32" s="71">
        <f ca="1">F32+$AG$24*7-112-112-112</f>
        <v>133</v>
      </c>
      <c r="V32" s="87">
        <f t="shared" si="13"/>
        <v>0</v>
      </c>
      <c r="W32" s="87">
        <f>10+4/9</f>
        <v>10.444444444444445</v>
      </c>
      <c r="X32" s="87">
        <f t="shared" si="23"/>
        <v>12.222222222222221</v>
      </c>
      <c r="Y32" s="87">
        <f t="shared" si="24"/>
        <v>3</v>
      </c>
      <c r="Z32" s="87">
        <f t="shared" si="25"/>
        <v>4</v>
      </c>
      <c r="AA32" s="87">
        <v>8</v>
      </c>
      <c r="AB32" s="87">
        <v>15</v>
      </c>
      <c r="AC32" s="98">
        <f>(20000+1020+225+125)*1.038</f>
        <v>22182.06</v>
      </c>
      <c r="AD32" s="50">
        <f t="shared" si="15"/>
        <v>26618.472000000002</v>
      </c>
    </row>
    <row r="33" spans="1:30" x14ac:dyDescent="0.25">
      <c r="A33" s="247" t="str">
        <f>A16</f>
        <v>#13</v>
      </c>
      <c r="B33" s="70"/>
      <c r="C33" s="71"/>
      <c r="D33" s="71"/>
      <c r="E33" s="71"/>
      <c r="F33" s="71"/>
      <c r="G33" s="87">
        <f t="shared" si="16"/>
        <v>0</v>
      </c>
      <c r="H33" s="87">
        <v>2</v>
      </c>
      <c r="I33" s="87">
        <v>2</v>
      </c>
      <c r="J33" s="87">
        <v>2</v>
      </c>
      <c r="K33" s="87">
        <f t="shared" ref="K33:M34" si="28">Z16</f>
        <v>2</v>
      </c>
      <c r="L33" s="87">
        <f t="shared" si="28"/>
        <v>2</v>
      </c>
      <c r="M33" s="87">
        <f t="shared" si="28"/>
        <v>2</v>
      </c>
      <c r="N33" s="98"/>
      <c r="O33" s="98"/>
      <c r="Q33" s="247" t="s">
        <v>370</v>
      </c>
      <c r="R33" s="70"/>
      <c r="S33" s="71"/>
      <c r="T33" s="71"/>
      <c r="U33" s="71"/>
      <c r="V33" s="87">
        <f t="shared" si="13"/>
        <v>0</v>
      </c>
      <c r="W33" s="87">
        <f>H33</f>
        <v>2</v>
      </c>
      <c r="X33" s="87">
        <f t="shared" si="23"/>
        <v>2</v>
      </c>
      <c r="Y33" s="87">
        <f t="shared" si="24"/>
        <v>2</v>
      </c>
      <c r="Z33" s="87">
        <f t="shared" si="25"/>
        <v>2</v>
      </c>
      <c r="AA33" s="87">
        <f>L33</f>
        <v>2</v>
      </c>
      <c r="AB33" s="87">
        <v>2</v>
      </c>
      <c r="AC33" s="98">
        <f>(22400+2295)*1.048</f>
        <v>25880.36</v>
      </c>
      <c r="AD33" s="50">
        <f t="shared" si="15"/>
        <v>31056.432000000001</v>
      </c>
    </row>
    <row r="34" spans="1:30" x14ac:dyDescent="0.25">
      <c r="A34" s="247" t="str">
        <f>A17</f>
        <v>#14</v>
      </c>
      <c r="B34" s="70"/>
      <c r="C34" s="71"/>
      <c r="D34" s="71"/>
      <c r="E34" s="71"/>
      <c r="F34" s="71"/>
      <c r="G34" s="87">
        <f t="shared" si="16"/>
        <v>0</v>
      </c>
      <c r="H34" s="87">
        <v>2</v>
      </c>
      <c r="I34" s="87">
        <v>2</v>
      </c>
      <c r="J34" s="87">
        <v>2</v>
      </c>
      <c r="K34" s="87">
        <f t="shared" si="28"/>
        <v>2</v>
      </c>
      <c r="L34" s="87">
        <f t="shared" si="28"/>
        <v>2</v>
      </c>
      <c r="M34" s="87">
        <f t="shared" si="28"/>
        <v>2</v>
      </c>
      <c r="N34" s="98"/>
      <c r="O34" s="98"/>
      <c r="Q34" s="247" t="s">
        <v>174</v>
      </c>
      <c r="R34" s="70"/>
      <c r="S34" s="71"/>
      <c r="T34" s="71"/>
      <c r="U34" s="71"/>
      <c r="V34" s="87">
        <f t="shared" si="13"/>
        <v>0</v>
      </c>
      <c r="W34" s="87">
        <f>H34</f>
        <v>2</v>
      </c>
      <c r="X34" s="87">
        <f t="shared" si="23"/>
        <v>2</v>
      </c>
      <c r="Y34" s="87">
        <f t="shared" si="24"/>
        <v>2</v>
      </c>
      <c r="Z34" s="87">
        <f t="shared" si="25"/>
        <v>2</v>
      </c>
      <c r="AA34" s="87">
        <f>L34</f>
        <v>2</v>
      </c>
      <c r="AB34" s="87">
        <v>2</v>
      </c>
      <c r="AC34" s="98">
        <f>(22400+2295)*1.048</f>
        <v>25880.36</v>
      </c>
      <c r="AD34" s="50">
        <f t="shared" si="15"/>
        <v>31056.432000000001</v>
      </c>
    </row>
  </sheetData>
  <conditionalFormatting sqref="G8:M9">
    <cfRule type="colorScale" priority="1">
      <colorScale>
        <cfvo type="min"/>
        <cfvo type="max"/>
        <color rgb="FFFFEF9C"/>
        <color rgb="FF63BE7B"/>
      </colorScale>
    </cfRule>
  </conditionalFormatting>
  <conditionalFormatting sqref="G21:M34">
    <cfRule type="colorScale" priority="2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3">
      <colorScale>
        <cfvo type="min"/>
        <cfvo type="max"/>
        <color rgb="FFFFEF9C"/>
        <color rgb="FF63BE7B"/>
      </colorScale>
    </cfRule>
  </conditionalFormatting>
  <conditionalFormatting sqref="G4:M7 G10:M17">
    <cfRule type="colorScale" priority="4">
      <colorScale>
        <cfvo type="min"/>
        <cfvo type="max"/>
        <color rgb="FFFFEF9C"/>
        <color rgb="FF63BE7B"/>
      </colorScale>
    </cfRule>
  </conditionalFormatting>
  <conditionalFormatting sqref="V4:AB17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CD5B4"/>
  </sheetPr>
  <dimension ref="A1:AG81"/>
  <sheetViews>
    <sheetView zoomScale="80" workbookViewId="0">
      <pane xSplit="13" ySplit="3" topLeftCell="N4" activePane="bottomRight" state="frozen"/>
      <selection pane="topRight"/>
      <selection pane="bottomLeft"/>
      <selection pane="bottomRight" activeCell="M11" sqref="M11"/>
    </sheetView>
  </sheetViews>
  <sheetFormatPr baseColWidth="10" defaultColWidth="10.7109375" defaultRowHeight="15" x14ac:dyDescent="0.25"/>
  <cols>
    <col min="1" max="1" width="15.42578125" customWidth="1"/>
    <col min="2" max="2" width="9.7109375" customWidth="1"/>
    <col min="3" max="3" width="6" customWidth="1"/>
    <col min="4" max="4" width="16.5703125" customWidth="1"/>
    <col min="5" max="5" width="18" customWidth="1"/>
    <col min="6" max="6" width="7.28515625" customWidth="1"/>
    <col min="7" max="7" width="17.85546875" customWidth="1"/>
    <col min="8" max="8" width="16.5703125" customWidth="1"/>
    <col min="9" max="9" width="6.5703125" customWidth="1"/>
    <col min="10" max="10" width="7.42578125" customWidth="1"/>
    <col min="11" max="11" width="22.5703125" customWidth="1"/>
    <col min="12" max="12" width="17.42578125" customWidth="1"/>
    <col min="13" max="30" width="18" customWidth="1"/>
    <col min="32" max="32" width="11" customWidth="1"/>
    <col min="33" max="33" width="13.85546875" customWidth="1"/>
  </cols>
  <sheetData>
    <row r="1" spans="1:33" ht="21" x14ac:dyDescent="0.35">
      <c r="A1" s="344"/>
      <c r="B1" s="344"/>
      <c r="C1" s="344"/>
      <c r="D1" s="482" t="s">
        <v>376</v>
      </c>
      <c r="E1" s="483"/>
      <c r="F1" s="483"/>
      <c r="G1" s="483"/>
      <c r="H1" s="483"/>
      <c r="I1" s="484"/>
      <c r="K1" s="344"/>
      <c r="L1" s="344"/>
      <c r="M1" s="344"/>
      <c r="N1" s="345">
        <v>43637</v>
      </c>
      <c r="O1" s="345">
        <f t="shared" ref="O1:AD1" si="0">N1+7</f>
        <v>43644</v>
      </c>
      <c r="P1" s="345">
        <f t="shared" si="0"/>
        <v>43651</v>
      </c>
      <c r="Q1" s="345">
        <f t="shared" si="0"/>
        <v>43658</v>
      </c>
      <c r="R1" s="345">
        <f t="shared" si="0"/>
        <v>43665</v>
      </c>
      <c r="S1" s="345">
        <f t="shared" si="0"/>
        <v>43672</v>
      </c>
      <c r="T1" s="345">
        <f t="shared" si="0"/>
        <v>43679</v>
      </c>
      <c r="U1" s="345">
        <f t="shared" si="0"/>
        <v>43686</v>
      </c>
      <c r="V1" s="345">
        <f t="shared" si="0"/>
        <v>43693</v>
      </c>
      <c r="W1" s="345">
        <f t="shared" si="0"/>
        <v>43700</v>
      </c>
      <c r="X1" s="345">
        <f t="shared" si="0"/>
        <v>43707</v>
      </c>
      <c r="Y1" s="345">
        <f t="shared" si="0"/>
        <v>43714</v>
      </c>
      <c r="Z1" s="345">
        <f t="shared" si="0"/>
        <v>43721</v>
      </c>
      <c r="AA1" s="345">
        <f t="shared" si="0"/>
        <v>43728</v>
      </c>
      <c r="AB1" s="345">
        <f t="shared" si="0"/>
        <v>43735</v>
      </c>
      <c r="AC1" s="345">
        <f t="shared" si="0"/>
        <v>43742</v>
      </c>
      <c r="AD1" s="408">
        <f t="shared" si="0"/>
        <v>43749</v>
      </c>
    </row>
    <row r="2" spans="1:33" x14ac:dyDescent="0.25">
      <c r="A2" s="3"/>
      <c r="B2" s="3"/>
      <c r="C2" s="3"/>
      <c r="D2" s="485" t="s">
        <v>377</v>
      </c>
      <c r="E2" s="486"/>
      <c r="F2" s="487"/>
      <c r="G2" s="487"/>
      <c r="H2" s="487"/>
      <c r="I2" s="488"/>
      <c r="K2" s="3"/>
      <c r="L2" s="3"/>
      <c r="M2" s="3" t="s">
        <v>378</v>
      </c>
      <c r="N2" s="346" t="s">
        <v>379</v>
      </c>
      <c r="O2" s="346" t="s">
        <v>380</v>
      </c>
      <c r="P2" s="346" t="s">
        <v>381</v>
      </c>
      <c r="Q2" s="346" t="s">
        <v>382</v>
      </c>
      <c r="R2" s="346" t="s">
        <v>383</v>
      </c>
      <c r="S2" s="346" t="s">
        <v>384</v>
      </c>
      <c r="T2" s="346" t="s">
        <v>385</v>
      </c>
      <c r="U2" s="346" t="s">
        <v>386</v>
      </c>
      <c r="V2" s="346" t="s">
        <v>387</v>
      </c>
      <c r="W2" s="346" t="s">
        <v>388</v>
      </c>
      <c r="X2" s="346" t="s">
        <v>389</v>
      </c>
      <c r="Y2" s="346" t="s">
        <v>390</v>
      </c>
      <c r="Z2" s="346" t="s">
        <v>391</v>
      </c>
      <c r="AA2" s="346" t="s">
        <v>392</v>
      </c>
      <c r="AB2" s="346" t="s">
        <v>393</v>
      </c>
      <c r="AC2" s="346" t="s">
        <v>394</v>
      </c>
      <c r="AD2" s="424" t="s">
        <v>379</v>
      </c>
    </row>
    <row r="3" spans="1:33" ht="18.75" x14ac:dyDescent="0.3">
      <c r="A3" s="4"/>
      <c r="B3" s="4"/>
      <c r="C3" s="4"/>
      <c r="D3" s="489" t="s">
        <v>395</v>
      </c>
      <c r="E3" s="490"/>
      <c r="F3" s="445"/>
      <c r="G3" s="491" t="s">
        <v>396</v>
      </c>
      <c r="H3" s="492"/>
      <c r="I3" s="349"/>
      <c r="K3" s="4"/>
      <c r="L3" s="347"/>
      <c r="M3" s="347" t="s">
        <v>397</v>
      </c>
      <c r="N3" s="348">
        <f>3345+6</f>
        <v>3351</v>
      </c>
      <c r="O3" s="348">
        <v>3345</v>
      </c>
      <c r="P3" s="348">
        <f>O3+O11</f>
        <v>3345</v>
      </c>
      <c r="Q3" s="348">
        <f>P3+P11</f>
        <v>3435</v>
      </c>
      <c r="R3" s="348">
        <f>Q3+Q11-2</f>
        <v>3433</v>
      </c>
      <c r="S3" s="348">
        <f>R3+R11</f>
        <v>3433</v>
      </c>
      <c r="T3" s="348">
        <f>U3+10+11</f>
        <v>3288</v>
      </c>
      <c r="U3" s="348">
        <f>V3+11+11</f>
        <v>3267</v>
      </c>
      <c r="V3" s="348">
        <f>W3+13</f>
        <v>3245</v>
      </c>
      <c r="W3" s="348">
        <f>X3+10+10</f>
        <v>3232</v>
      </c>
      <c r="X3" s="348">
        <f>Y3+16</f>
        <v>3212</v>
      </c>
      <c r="Y3" s="348">
        <f>3196</f>
        <v>3196</v>
      </c>
      <c r="Z3" s="348">
        <f>Y3+Y11</f>
        <v>3196</v>
      </c>
      <c r="AA3" s="348">
        <f>Z3+Z11</f>
        <v>3196</v>
      </c>
      <c r="AB3" s="348">
        <f>AA3+AA11</f>
        <v>3196</v>
      </c>
      <c r="AC3" s="348">
        <f>AB3+AB11</f>
        <v>3196</v>
      </c>
      <c r="AD3" s="409">
        <f>AC3+AC11</f>
        <v>3196</v>
      </c>
    </row>
    <row r="4" spans="1:33" ht="18.75" x14ac:dyDescent="0.3">
      <c r="A4" s="4"/>
      <c r="B4" s="4"/>
      <c r="C4" s="4"/>
      <c r="D4" s="357"/>
      <c r="E4" s="367"/>
      <c r="F4" s="395"/>
      <c r="G4" s="353"/>
      <c r="H4" s="395"/>
      <c r="I4" s="354"/>
      <c r="K4" s="425" t="s">
        <v>398</v>
      </c>
      <c r="L4" s="425"/>
      <c r="M4" s="426">
        <f>10164100+500000</f>
        <v>10664100</v>
      </c>
      <c r="N4" s="427">
        <f>M4</f>
        <v>10664100</v>
      </c>
      <c r="O4" s="427">
        <f t="shared" ref="O4:AD4" si="1">N4-N13+N23</f>
        <v>10164100</v>
      </c>
      <c r="P4" s="427">
        <f t="shared" si="1"/>
        <v>9664100</v>
      </c>
      <c r="Q4" s="427">
        <f t="shared" si="1"/>
        <v>9164100</v>
      </c>
      <c r="R4" s="427">
        <f t="shared" si="1"/>
        <v>8664100</v>
      </c>
      <c r="S4" s="427">
        <f t="shared" si="1"/>
        <v>8164100</v>
      </c>
      <c r="T4" s="427">
        <f t="shared" si="1"/>
        <v>7664100</v>
      </c>
      <c r="U4" s="427">
        <f t="shared" si="1"/>
        <v>7164100</v>
      </c>
      <c r="V4" s="427">
        <f t="shared" si="1"/>
        <v>6664100</v>
      </c>
      <c r="W4" s="427">
        <f t="shared" si="1"/>
        <v>6164100</v>
      </c>
      <c r="X4" s="427">
        <f t="shared" si="1"/>
        <v>5664100</v>
      </c>
      <c r="Y4" s="427">
        <f t="shared" si="1"/>
        <v>5164100</v>
      </c>
      <c r="Z4" s="427">
        <f t="shared" si="1"/>
        <v>4664100</v>
      </c>
      <c r="AA4" s="427">
        <f t="shared" si="1"/>
        <v>4164100</v>
      </c>
      <c r="AB4" s="427">
        <f t="shared" si="1"/>
        <v>3664100</v>
      </c>
      <c r="AC4" s="427">
        <f t="shared" si="1"/>
        <v>4177693</v>
      </c>
      <c r="AD4" s="427">
        <f t="shared" si="1"/>
        <v>3677693</v>
      </c>
    </row>
    <row r="5" spans="1:33" ht="18.75" x14ac:dyDescent="0.3">
      <c r="A5" s="75"/>
      <c r="B5" s="75"/>
      <c r="C5" s="75"/>
      <c r="D5" s="357" t="s">
        <v>399</v>
      </c>
      <c r="E5" s="358">
        <f>SUM(E6:E8)</f>
        <v>8627340</v>
      </c>
      <c r="F5" s="428">
        <f>E5/E35</f>
        <v>9.1679633380931824E-2</v>
      </c>
      <c r="G5" s="357" t="s">
        <v>400</v>
      </c>
      <c r="H5" s="401">
        <f>H6+H7</f>
        <v>63454367</v>
      </c>
      <c r="I5" s="359">
        <f>H5/$H$35</f>
        <v>0.67430669279048916</v>
      </c>
      <c r="K5" s="350" t="s">
        <v>401</v>
      </c>
      <c r="L5" s="350"/>
      <c r="M5" s="351">
        <f>16859431-5919847+1711665-500000</f>
        <v>12151249</v>
      </c>
      <c r="N5" s="352">
        <f>M5</f>
        <v>12151249</v>
      </c>
      <c r="O5" s="352">
        <f t="shared" ref="O5:AD5" si="2">N26</f>
        <v>16853431</v>
      </c>
      <c r="P5" s="352">
        <f t="shared" si="2"/>
        <v>11755916</v>
      </c>
      <c r="Q5" s="352">
        <f t="shared" si="2"/>
        <v>12415332</v>
      </c>
      <c r="R5" s="352">
        <f t="shared" si="2"/>
        <v>13710711</v>
      </c>
      <c r="S5" s="352">
        <f t="shared" si="2"/>
        <v>14306291</v>
      </c>
      <c r="T5" s="352">
        <f t="shared" si="2"/>
        <v>16625519</v>
      </c>
      <c r="U5" s="352">
        <f t="shared" si="2"/>
        <v>17494225</v>
      </c>
      <c r="V5" s="352">
        <f t="shared" si="2"/>
        <v>18095097</v>
      </c>
      <c r="W5" s="352">
        <f t="shared" si="2"/>
        <v>19111395</v>
      </c>
      <c r="X5" s="352">
        <f t="shared" si="2"/>
        <v>19795165</v>
      </c>
      <c r="Y5" s="352">
        <f t="shared" si="2"/>
        <v>22086424</v>
      </c>
      <c r="Z5" s="352">
        <f t="shared" si="2"/>
        <v>19890687</v>
      </c>
      <c r="AA5" s="352">
        <f t="shared" si="2"/>
        <v>24708589</v>
      </c>
      <c r="AB5" s="352">
        <f t="shared" si="2"/>
        <v>25679641</v>
      </c>
      <c r="AC5" s="352">
        <f t="shared" si="2"/>
        <v>21403306</v>
      </c>
      <c r="AD5" s="352">
        <f t="shared" si="2"/>
        <v>20568388</v>
      </c>
    </row>
    <row r="6" spans="1:33" x14ac:dyDescent="0.25">
      <c r="A6" s="355" t="str">
        <f t="shared" ref="A6:A13" si="3">L6</f>
        <v>Taquillas</v>
      </c>
      <c r="B6" s="356">
        <f t="shared" ref="B6:B13" si="4">M6/$M$14</f>
        <v>0.11339620267026504</v>
      </c>
      <c r="D6" s="360" t="s">
        <v>402</v>
      </c>
      <c r="E6" s="361">
        <v>4158040</v>
      </c>
      <c r="F6" s="45">
        <f>E6/E35</f>
        <v>4.4185992760601735E-2</v>
      </c>
      <c r="G6" s="362" t="s">
        <v>403</v>
      </c>
      <c r="H6" s="434">
        <v>300000</v>
      </c>
      <c r="I6" s="363">
        <f>H6/$H$35</f>
        <v>3.1879918971872614E-3</v>
      </c>
      <c r="K6" s="405" t="s">
        <v>404</v>
      </c>
      <c r="L6" s="405" t="s">
        <v>404</v>
      </c>
      <c r="M6" s="422">
        <f t="shared" ref="M6:M25" si="5">SUM(N6:AD6)</f>
        <v>3664610</v>
      </c>
      <c r="N6" s="460">
        <v>27384</v>
      </c>
      <c r="O6" s="460">
        <f>2819+34650</f>
        <v>37469</v>
      </c>
      <c r="P6" s="460">
        <v>34650</v>
      </c>
      <c r="Q6" s="460">
        <f>734316+34267</f>
        <v>768583</v>
      </c>
      <c r="R6" s="460">
        <f>60291</f>
        <v>60291</v>
      </c>
      <c r="S6" s="460">
        <v>664612</v>
      </c>
      <c r="T6" s="460">
        <f>38789+287090</f>
        <v>325879</v>
      </c>
      <c r="U6" s="460">
        <v>57945</v>
      </c>
      <c r="V6" s="460">
        <f>72861+289034</f>
        <v>361895</v>
      </c>
      <c r="W6" s="460">
        <v>99719</v>
      </c>
      <c r="X6" s="460">
        <v>430656</v>
      </c>
      <c r="Y6" s="460">
        <v>8684</v>
      </c>
      <c r="Z6" s="460">
        <v>9434</v>
      </c>
      <c r="AA6" s="460">
        <v>360602</v>
      </c>
      <c r="AB6" s="460">
        <v>23483</v>
      </c>
      <c r="AC6" s="460">
        <v>369426</v>
      </c>
      <c r="AD6" s="406">
        <v>23898</v>
      </c>
    </row>
    <row r="7" spans="1:33" x14ac:dyDescent="0.25">
      <c r="A7" s="355" t="str">
        <f t="shared" si="3"/>
        <v>Patrocinadores</v>
      </c>
      <c r="B7" s="356">
        <f t="shared" si="4"/>
        <v>0.13302585922082114</v>
      </c>
      <c r="D7" s="360" t="s">
        <v>405</v>
      </c>
      <c r="E7" s="361">
        <f>1916000+300+2553000</f>
        <v>4469300</v>
      </c>
      <c r="F7" s="45">
        <f>E7/E35</f>
        <v>4.749364062033009E-2</v>
      </c>
      <c r="G7" s="362" t="s">
        <v>406</v>
      </c>
      <c r="H7" s="434">
        <f>63609618-455251</f>
        <v>63154367</v>
      </c>
      <c r="I7" s="363">
        <f>H7/$H$35</f>
        <v>0.67111870089330194</v>
      </c>
      <c r="K7" s="405" t="s">
        <v>407</v>
      </c>
      <c r="L7" s="405" t="s">
        <v>407</v>
      </c>
      <c r="M7" s="422">
        <f t="shared" si="5"/>
        <v>4298979</v>
      </c>
      <c r="N7" s="461">
        <v>270844</v>
      </c>
      <c r="O7" s="461">
        <v>187040</v>
      </c>
      <c r="P7" s="461">
        <v>224225</v>
      </c>
      <c r="Q7" s="461">
        <v>246055</v>
      </c>
      <c r="R7" s="461">
        <v>257710</v>
      </c>
      <c r="S7" s="461">
        <v>263630</v>
      </c>
      <c r="T7" s="461">
        <f>S7-1000</f>
        <v>262630</v>
      </c>
      <c r="U7" s="461">
        <f>T7-1000</f>
        <v>261630</v>
      </c>
      <c r="V7" s="461">
        <f>U7-1000</f>
        <v>260630</v>
      </c>
      <c r="W7" s="461">
        <f>V7-1000</f>
        <v>259630</v>
      </c>
      <c r="X7" s="461">
        <v>261780</v>
      </c>
      <c r="Y7" s="461">
        <v>260670</v>
      </c>
      <c r="Z7" s="461">
        <v>257000</v>
      </c>
      <c r="AA7" s="461">
        <v>257000</v>
      </c>
      <c r="AB7" s="461">
        <v>257155</v>
      </c>
      <c r="AC7" s="461">
        <v>256230</v>
      </c>
      <c r="AD7" s="407">
        <v>255120</v>
      </c>
    </row>
    <row r="8" spans="1:33" x14ac:dyDescent="0.25">
      <c r="A8" s="355" t="str">
        <f t="shared" si="3"/>
        <v>Ventas</v>
      </c>
      <c r="B8" s="356">
        <f t="shared" si="4"/>
        <v>0.39328079049246945</v>
      </c>
      <c r="D8" s="364" t="s">
        <v>408</v>
      </c>
      <c r="E8" s="365">
        <v>0</v>
      </c>
      <c r="F8" s="45">
        <f>E8/E35</f>
        <v>0</v>
      </c>
      <c r="G8" s="368"/>
      <c r="H8" s="343"/>
      <c r="I8" s="359"/>
      <c r="K8" s="405" t="s">
        <v>409</v>
      </c>
      <c r="L8" s="405" t="s">
        <v>410</v>
      </c>
      <c r="M8" s="422">
        <f t="shared" si="5"/>
        <v>12709603</v>
      </c>
      <c r="N8" s="460">
        <f>959086+1751596+1184557</f>
        <v>3895239</v>
      </c>
      <c r="O8" s="460">
        <v>0</v>
      </c>
      <c r="P8" s="460">
        <v>0</v>
      </c>
      <c r="Q8" s="460">
        <v>0</v>
      </c>
      <c r="R8" s="460">
        <v>0</v>
      </c>
      <c r="S8" s="460">
        <v>0</v>
      </c>
      <c r="T8" s="460">
        <v>0</v>
      </c>
      <c r="U8" s="460">
        <v>0</v>
      </c>
      <c r="V8" s="460">
        <v>0</v>
      </c>
      <c r="W8" s="460">
        <v>0</v>
      </c>
      <c r="X8" s="460">
        <v>1192436</v>
      </c>
      <c r="Y8" s="460">
        <v>0</v>
      </c>
      <c r="Z8" s="460">
        <f>3201800+1057885</f>
        <v>4259685</v>
      </c>
      <c r="AA8" s="460">
        <v>0</v>
      </c>
      <c r="AB8" s="460">
        <v>0</v>
      </c>
      <c r="AC8" s="460">
        <v>3362243</v>
      </c>
      <c r="AD8" s="406">
        <v>0</v>
      </c>
      <c r="AF8" s="343"/>
      <c r="AG8" s="343"/>
    </row>
    <row r="9" spans="1:33" x14ac:dyDescent="0.25">
      <c r="A9" s="355" t="str">
        <f t="shared" si="3"/>
        <v>VentasCantera</v>
      </c>
      <c r="B9" s="356">
        <f t="shared" si="4"/>
        <v>4.9915141835995429E-2</v>
      </c>
      <c r="D9" s="366"/>
      <c r="E9" s="367"/>
      <c r="F9" s="428"/>
      <c r="G9" s="368"/>
      <c r="H9" s="343"/>
      <c r="I9" s="359"/>
      <c r="K9" s="405"/>
      <c r="L9" s="405" t="s">
        <v>411</v>
      </c>
      <c r="M9" s="422">
        <f t="shared" si="5"/>
        <v>1613101</v>
      </c>
      <c r="N9" s="460">
        <f>515850</f>
        <v>515850</v>
      </c>
      <c r="O9" s="460">
        <v>0</v>
      </c>
      <c r="P9" s="460">
        <v>0</v>
      </c>
      <c r="Q9" s="460">
        <v>0</v>
      </c>
      <c r="R9" s="460">
        <v>950</v>
      </c>
      <c r="S9" s="460">
        <v>970900</v>
      </c>
      <c r="T9" s="460">
        <v>0</v>
      </c>
      <c r="U9" s="460">
        <v>0</v>
      </c>
      <c r="V9" s="460">
        <f>950+13300+52250</f>
        <v>66500</v>
      </c>
      <c r="W9" s="460">
        <v>36100</v>
      </c>
      <c r="X9" s="460">
        <v>950</v>
      </c>
      <c r="Y9" s="460">
        <v>0</v>
      </c>
      <c r="Z9" s="460">
        <v>0</v>
      </c>
      <c r="AA9" s="460">
        <v>0</v>
      </c>
      <c r="AB9" s="460">
        <v>0</v>
      </c>
      <c r="AC9" s="460">
        <v>0</v>
      </c>
      <c r="AD9" s="406">
        <v>21851</v>
      </c>
    </row>
    <row r="10" spans="1:33" x14ac:dyDescent="0.25">
      <c r="A10" s="355" t="str">
        <f t="shared" si="3"/>
        <v>Comisiones</v>
      </c>
      <c r="B10" s="356">
        <f t="shared" si="4"/>
        <v>1.921207275445358E-2</v>
      </c>
      <c r="D10" s="357" t="s">
        <v>412</v>
      </c>
      <c r="E10" s="358">
        <f>E11+E12+E13</f>
        <v>3177693</v>
      </c>
      <c r="F10" s="428">
        <f>E10/E35</f>
        <v>3.3768198452495603E-2</v>
      </c>
      <c r="G10" s="357" t="s">
        <v>413</v>
      </c>
      <c r="H10" s="401">
        <f>SUM(H11:H16)</f>
        <v>8084727</v>
      </c>
      <c r="I10" s="359">
        <f t="shared" ref="I10:I16" si="6">H10/$H$35</f>
        <v>8.5913480556570249E-2</v>
      </c>
      <c r="K10" s="405" t="s">
        <v>414</v>
      </c>
      <c r="L10" s="405" t="s">
        <v>414</v>
      </c>
      <c r="M10" s="422">
        <f t="shared" si="5"/>
        <v>620874</v>
      </c>
      <c r="N10" s="461">
        <v>60000</v>
      </c>
      <c r="O10" s="461">
        <f>15320+1915</f>
        <v>17235</v>
      </c>
      <c r="P10" s="461">
        <v>120000</v>
      </c>
      <c r="Q10" s="461">
        <v>0</v>
      </c>
      <c r="R10" s="461">
        <v>0</v>
      </c>
      <c r="S10" s="461">
        <v>3889</v>
      </c>
      <c r="T10" s="461">
        <v>0</v>
      </c>
      <c r="U10" s="461">
        <v>100</v>
      </c>
      <c r="V10" s="461">
        <f>20400+3250+26000</f>
        <v>49650</v>
      </c>
      <c r="W10" s="461">
        <v>0</v>
      </c>
      <c r="X10" s="461">
        <v>93040</v>
      </c>
      <c r="Y10" s="461">
        <v>0</v>
      </c>
      <c r="Z10" s="461">
        <v>0</v>
      </c>
      <c r="AA10" s="461">
        <v>59960</v>
      </c>
      <c r="AB10" s="461">
        <v>70000</v>
      </c>
      <c r="AC10" s="461">
        <v>0</v>
      </c>
      <c r="AD10" s="407">
        <v>147000</v>
      </c>
    </row>
    <row r="11" spans="1:33" x14ac:dyDescent="0.25">
      <c r="A11" s="355" t="str">
        <f t="shared" si="3"/>
        <v>Nuevos Socios</v>
      </c>
      <c r="B11" s="356">
        <f t="shared" si="4"/>
        <v>6.0247176807083436E-3</v>
      </c>
      <c r="D11" s="369" t="s">
        <v>415</v>
      </c>
      <c r="E11" s="370">
        <f>N4</f>
        <v>10664100</v>
      </c>
      <c r="F11" s="45">
        <f>E11/E35</f>
        <v>0.11332354796931558</v>
      </c>
      <c r="G11" s="388" t="s">
        <v>416</v>
      </c>
      <c r="H11" s="444">
        <v>0</v>
      </c>
      <c r="I11" s="363">
        <f t="shared" si="6"/>
        <v>0</v>
      </c>
      <c r="K11" s="493" t="s">
        <v>417</v>
      </c>
      <c r="L11" s="405" t="s">
        <v>418</v>
      </c>
      <c r="M11" s="422">
        <f t="shared" si="5"/>
        <v>194700</v>
      </c>
      <c r="N11" s="461">
        <v>100530</v>
      </c>
      <c r="O11" s="461">
        <v>0</v>
      </c>
      <c r="P11" s="461">
        <f>30+60</f>
        <v>90</v>
      </c>
      <c r="Q11" s="461">
        <v>0</v>
      </c>
      <c r="R11" s="461">
        <f t="shared" ref="R11:AC11" si="7">Q11</f>
        <v>0</v>
      </c>
      <c r="S11" s="461">
        <f t="shared" si="7"/>
        <v>0</v>
      </c>
      <c r="T11" s="461">
        <f t="shared" si="7"/>
        <v>0</v>
      </c>
      <c r="U11" s="461">
        <f t="shared" si="7"/>
        <v>0</v>
      </c>
      <c r="V11" s="461">
        <f t="shared" si="7"/>
        <v>0</v>
      </c>
      <c r="W11" s="461">
        <f t="shared" si="7"/>
        <v>0</v>
      </c>
      <c r="X11" s="461">
        <f t="shared" si="7"/>
        <v>0</v>
      </c>
      <c r="Y11" s="461">
        <f t="shared" si="7"/>
        <v>0</v>
      </c>
      <c r="Z11" s="461">
        <f t="shared" si="7"/>
        <v>0</v>
      </c>
      <c r="AA11" s="461">
        <f t="shared" si="7"/>
        <v>0</v>
      </c>
      <c r="AB11" s="461">
        <f t="shared" si="7"/>
        <v>0</v>
      </c>
      <c r="AC11" s="461">
        <f t="shared" si="7"/>
        <v>0</v>
      </c>
      <c r="AD11" s="407">
        <v>94080</v>
      </c>
    </row>
    <row r="12" spans="1:33" x14ac:dyDescent="0.25">
      <c r="A12" s="355" t="str">
        <f t="shared" si="3"/>
        <v>Premios</v>
      </c>
      <c r="B12" s="356">
        <f t="shared" si="4"/>
        <v>3.7596466266361775E-2</v>
      </c>
      <c r="D12" s="369" t="str">
        <f>L13</f>
        <v>Ing Reservas</v>
      </c>
      <c r="E12" s="370">
        <f>M13*-1</f>
        <v>-8000000</v>
      </c>
      <c r="F12" s="45">
        <f>E12/E35</f>
        <v>-8.501311725832697E-2</v>
      </c>
      <c r="G12" s="388" t="s">
        <v>419</v>
      </c>
      <c r="H12" s="444">
        <v>0</v>
      </c>
      <c r="I12" s="363">
        <f t="shared" si="6"/>
        <v>0</v>
      </c>
      <c r="K12" s="494"/>
      <c r="L12" s="405" t="s">
        <v>420</v>
      </c>
      <c r="M12" s="422">
        <f t="shared" si="5"/>
        <v>1215000</v>
      </c>
      <c r="N12" s="461">
        <v>1050000</v>
      </c>
      <c r="O12" s="461">
        <v>0</v>
      </c>
      <c r="P12" s="461">
        <v>0</v>
      </c>
      <c r="Q12" s="461">
        <v>0</v>
      </c>
      <c r="R12" s="461">
        <v>0</v>
      </c>
      <c r="S12" s="461">
        <v>140000</v>
      </c>
      <c r="T12" s="461">
        <v>0</v>
      </c>
      <c r="U12" s="461">
        <v>0</v>
      </c>
      <c r="V12" s="461">
        <v>0</v>
      </c>
      <c r="W12" s="461">
        <v>0</v>
      </c>
      <c r="X12" s="461">
        <v>25000</v>
      </c>
      <c r="Y12" s="461">
        <v>0</v>
      </c>
      <c r="Z12" s="461">
        <v>0</v>
      </c>
      <c r="AA12" s="461">
        <v>0</v>
      </c>
      <c r="AB12" s="461">
        <v>0</v>
      </c>
      <c r="AC12" s="461">
        <v>0</v>
      </c>
      <c r="AD12" s="407">
        <v>0</v>
      </c>
    </row>
    <row r="13" spans="1:33" s="421" customFormat="1" ht="18.75" x14ac:dyDescent="0.3">
      <c r="A13" s="355" t="str">
        <f t="shared" si="3"/>
        <v>Ing Reservas</v>
      </c>
      <c r="B13" s="356">
        <f t="shared" si="4"/>
        <v>0.24754874907892527</v>
      </c>
      <c r="C13" s="419"/>
      <c r="D13" s="369" t="str">
        <f>L23</f>
        <v>Pago Reservas</v>
      </c>
      <c r="E13" s="370">
        <f>M23</f>
        <v>513593</v>
      </c>
      <c r="F13" s="45">
        <f>E13/E35</f>
        <v>5.45776774150699E-3</v>
      </c>
      <c r="G13" s="388" t="s">
        <v>421</v>
      </c>
      <c r="H13" s="444">
        <f>515850+950+970900+950+36100+950+13300+52250+21851</f>
        <v>1613101</v>
      </c>
      <c r="I13" s="363">
        <f t="shared" si="6"/>
        <v>1.7141843057815562E-2</v>
      </c>
      <c r="K13" s="495"/>
      <c r="L13" s="405" t="s">
        <v>422</v>
      </c>
      <c r="M13" s="422">
        <f t="shared" si="5"/>
        <v>8000000</v>
      </c>
      <c r="N13" s="461">
        <v>500000</v>
      </c>
      <c r="O13" s="461">
        <f t="shared" ref="O13:AA13" si="8">N13</f>
        <v>500000</v>
      </c>
      <c r="P13" s="461">
        <f t="shared" si="8"/>
        <v>500000</v>
      </c>
      <c r="Q13" s="461">
        <f t="shared" si="8"/>
        <v>500000</v>
      </c>
      <c r="R13" s="461">
        <f t="shared" si="8"/>
        <v>500000</v>
      </c>
      <c r="S13" s="461">
        <f t="shared" si="8"/>
        <v>500000</v>
      </c>
      <c r="T13" s="461">
        <f t="shared" si="8"/>
        <v>500000</v>
      </c>
      <c r="U13" s="461">
        <f t="shared" si="8"/>
        <v>500000</v>
      </c>
      <c r="V13" s="461">
        <f t="shared" si="8"/>
        <v>500000</v>
      </c>
      <c r="W13" s="461">
        <f t="shared" si="8"/>
        <v>500000</v>
      </c>
      <c r="X13" s="461">
        <f t="shared" si="8"/>
        <v>500000</v>
      </c>
      <c r="Y13" s="461">
        <f t="shared" si="8"/>
        <v>500000</v>
      </c>
      <c r="Z13" s="461">
        <f t="shared" si="8"/>
        <v>500000</v>
      </c>
      <c r="AA13" s="461">
        <f t="shared" si="8"/>
        <v>500000</v>
      </c>
      <c r="AB13" s="461">
        <v>0</v>
      </c>
      <c r="AC13" s="461">
        <v>500000</v>
      </c>
      <c r="AD13" s="407">
        <f>AC13</f>
        <v>500000</v>
      </c>
    </row>
    <row r="14" spans="1:33" ht="18.75" x14ac:dyDescent="0.3">
      <c r="A14" s="419"/>
      <c r="B14" s="420">
        <f>SUM(B6:B13)</f>
        <v>1</v>
      </c>
      <c r="D14" s="366"/>
      <c r="E14" s="429"/>
      <c r="G14" s="388" t="s">
        <v>423</v>
      </c>
      <c r="H14" s="444">
        <f>959086-941000-910+1751596-1140-1841100+1184557-1900-1169788+451488+3362243-2752436</f>
        <v>1000696</v>
      </c>
      <c r="I14" s="363">
        <f t="shared" si="6"/>
        <v>1.0634035798492345E-2</v>
      </c>
      <c r="K14" s="416" t="s">
        <v>424</v>
      </c>
      <c r="L14" s="417"/>
      <c r="M14" s="423">
        <f t="shared" si="5"/>
        <v>32316867</v>
      </c>
      <c r="N14" s="418">
        <f t="shared" ref="N14:AD14" si="9">SUM(N6:N13)</f>
        <v>6419847</v>
      </c>
      <c r="O14" s="418">
        <f t="shared" si="9"/>
        <v>741744</v>
      </c>
      <c r="P14" s="418">
        <f t="shared" si="9"/>
        <v>878965</v>
      </c>
      <c r="Q14" s="418">
        <f t="shared" si="9"/>
        <v>1514638</v>
      </c>
      <c r="R14" s="418">
        <f t="shared" si="9"/>
        <v>818951</v>
      </c>
      <c r="S14" s="418">
        <f t="shared" si="9"/>
        <v>2543031</v>
      </c>
      <c r="T14" s="418">
        <f t="shared" si="9"/>
        <v>1088509</v>
      </c>
      <c r="U14" s="418">
        <f t="shared" si="9"/>
        <v>819675</v>
      </c>
      <c r="V14" s="418">
        <f t="shared" si="9"/>
        <v>1238675</v>
      </c>
      <c r="W14" s="418">
        <f t="shared" si="9"/>
        <v>895449</v>
      </c>
      <c r="X14" s="418">
        <f t="shared" si="9"/>
        <v>2503862</v>
      </c>
      <c r="Y14" s="418">
        <f t="shared" si="9"/>
        <v>769354</v>
      </c>
      <c r="Z14" s="418">
        <f t="shared" si="9"/>
        <v>5026119</v>
      </c>
      <c r="AA14" s="418">
        <f t="shared" si="9"/>
        <v>1177562</v>
      </c>
      <c r="AB14" s="418">
        <f t="shared" si="9"/>
        <v>350638</v>
      </c>
      <c r="AC14" s="418">
        <f t="shared" si="9"/>
        <v>4487899</v>
      </c>
      <c r="AD14" s="418">
        <f t="shared" si="9"/>
        <v>1041949</v>
      </c>
    </row>
    <row r="15" spans="1:33" ht="18.75" x14ac:dyDescent="0.3">
      <c r="A15" s="496">
        <f>M14</f>
        <v>32316867</v>
      </c>
      <c r="B15" s="496"/>
      <c r="D15" s="357" t="s">
        <v>425</v>
      </c>
      <c r="E15" s="358">
        <f>SUM(E16:E19)</f>
        <v>38343569</v>
      </c>
      <c r="F15" s="428">
        <f>E15/E35</f>
        <v>0.40746329093746886</v>
      </c>
      <c r="G15" s="388" t="s">
        <v>426</v>
      </c>
      <c r="H15" s="444">
        <f>-832071</f>
        <v>-832071</v>
      </c>
      <c r="I15" s="363">
        <f t="shared" si="6"/>
        <v>-8.8421186862816716E-3</v>
      </c>
      <c r="K15" s="412" t="s">
        <v>427</v>
      </c>
      <c r="L15" s="413" t="str">
        <f>K15</f>
        <v>Sueldos</v>
      </c>
      <c r="M15" s="371">
        <f t="shared" si="5"/>
        <v>1317753</v>
      </c>
      <c r="N15" s="462">
        <v>82664</v>
      </c>
      <c r="O15" s="462">
        <v>79866</v>
      </c>
      <c r="P15" s="462">
        <v>85172</v>
      </c>
      <c r="Q15" s="462">
        <v>84882</v>
      </c>
      <c r="R15" s="462">
        <v>85994</v>
      </c>
      <c r="S15" s="462">
        <v>86426</v>
      </c>
      <c r="T15" s="462">
        <f>S15-1000</f>
        <v>85426</v>
      </c>
      <c r="U15" s="462">
        <f>T15-1000</f>
        <v>84426</v>
      </c>
      <c r="V15" s="462">
        <v>82000</v>
      </c>
      <c r="W15" s="462">
        <v>73302</v>
      </c>
      <c r="X15" s="462">
        <v>71226</v>
      </c>
      <c r="Y15" s="462">
        <v>70278</v>
      </c>
      <c r="Z15" s="462">
        <f>66000+1840</f>
        <v>67840</v>
      </c>
      <c r="AA15" s="462">
        <f>64518+615</f>
        <v>65133</v>
      </c>
      <c r="AB15" s="462">
        <v>64238</v>
      </c>
      <c r="AC15" s="462">
        <v>74412</v>
      </c>
      <c r="AD15" s="410">
        <v>74468</v>
      </c>
    </row>
    <row r="16" spans="1:33" x14ac:dyDescent="0.25">
      <c r="D16" s="369" t="s">
        <v>428</v>
      </c>
      <c r="E16" s="370">
        <v>0</v>
      </c>
      <c r="F16" s="45">
        <f>E16/E35</f>
        <v>0</v>
      </c>
      <c r="G16" s="439" t="s">
        <v>429</v>
      </c>
      <c r="H16" s="435">
        <f>E29-H26</f>
        <v>6303001</v>
      </c>
      <c r="I16" s="363">
        <f t="shared" si="6"/>
        <v>6.6979720386544012E-2</v>
      </c>
      <c r="K16" s="412" t="s">
        <v>430</v>
      </c>
      <c r="L16" s="413" t="str">
        <f>K16</f>
        <v xml:space="preserve">Mantenimiento </v>
      </c>
      <c r="M16" s="371">
        <f t="shared" si="5"/>
        <v>834649</v>
      </c>
      <c r="N16" s="462">
        <v>49097</v>
      </c>
      <c r="O16" s="462">
        <f t="shared" ref="O16:AD16" si="10">N16</f>
        <v>49097</v>
      </c>
      <c r="P16" s="462">
        <f t="shared" si="10"/>
        <v>49097</v>
      </c>
      <c r="Q16" s="462">
        <f t="shared" si="10"/>
        <v>49097</v>
      </c>
      <c r="R16" s="462">
        <f t="shared" si="10"/>
        <v>49097</v>
      </c>
      <c r="S16" s="462">
        <f t="shared" si="10"/>
        <v>49097</v>
      </c>
      <c r="T16" s="462">
        <f t="shared" si="10"/>
        <v>49097</v>
      </c>
      <c r="U16" s="462">
        <f t="shared" si="10"/>
        <v>49097</v>
      </c>
      <c r="V16" s="462">
        <f t="shared" si="10"/>
        <v>49097</v>
      </c>
      <c r="W16" s="462">
        <f t="shared" si="10"/>
        <v>49097</v>
      </c>
      <c r="X16" s="462">
        <f t="shared" si="10"/>
        <v>49097</v>
      </c>
      <c r="Y16" s="462">
        <f t="shared" si="10"/>
        <v>49097</v>
      </c>
      <c r="Z16" s="462">
        <f t="shared" si="10"/>
        <v>49097</v>
      </c>
      <c r="AA16" s="462">
        <f t="shared" si="10"/>
        <v>49097</v>
      </c>
      <c r="AB16" s="462">
        <f t="shared" si="10"/>
        <v>49097</v>
      </c>
      <c r="AC16" s="462">
        <f t="shared" si="10"/>
        <v>49097</v>
      </c>
      <c r="AD16" s="410">
        <f t="shared" si="10"/>
        <v>49097</v>
      </c>
    </row>
    <row r="17" spans="1:30" ht="15.75" customHeight="1" x14ac:dyDescent="0.25">
      <c r="D17" s="369" t="s">
        <v>425</v>
      </c>
      <c r="E17" s="370">
        <f>11662680+35000</f>
        <v>11697680</v>
      </c>
      <c r="F17" s="45">
        <f>E17/E35</f>
        <v>0.12430703018629828</v>
      </c>
      <c r="G17" s="366"/>
      <c r="H17" s="343"/>
      <c r="I17" s="374"/>
      <c r="K17" s="412" t="s">
        <v>431</v>
      </c>
      <c r="L17" s="413" t="s">
        <v>402</v>
      </c>
      <c r="M17" s="371">
        <f t="shared" si="5"/>
        <v>0</v>
      </c>
      <c r="N17" s="462">
        <v>0</v>
      </c>
      <c r="O17" s="462">
        <v>0</v>
      </c>
      <c r="P17" s="462">
        <v>0</v>
      </c>
      <c r="Q17" s="462">
        <v>0</v>
      </c>
      <c r="R17" s="462">
        <v>0</v>
      </c>
      <c r="S17" s="462">
        <v>0</v>
      </c>
      <c r="T17" s="462">
        <v>0</v>
      </c>
      <c r="U17" s="462">
        <v>0</v>
      </c>
      <c r="V17" s="462">
        <v>0</v>
      </c>
      <c r="W17" s="462">
        <v>0</v>
      </c>
      <c r="X17" s="462">
        <v>0</v>
      </c>
      <c r="Y17" s="462">
        <v>0</v>
      </c>
      <c r="Z17" s="462">
        <v>0</v>
      </c>
      <c r="AA17" s="462">
        <v>0</v>
      </c>
      <c r="AB17" s="462">
        <v>0</v>
      </c>
      <c r="AC17" s="462">
        <v>0</v>
      </c>
      <c r="AD17" s="410">
        <v>0</v>
      </c>
    </row>
    <row r="18" spans="1:30" x14ac:dyDescent="0.25">
      <c r="D18" s="369" t="s">
        <v>432</v>
      </c>
      <c r="E18" s="370">
        <f>3852540+924+1308000+870+4689000+1490+1887000+1044+2327000+684+2040000+5268+1859461+3036+5093880+8148</f>
        <v>23078345</v>
      </c>
      <c r="F18" s="45">
        <f>E18/E35</f>
        <v>0.24524525620164048</v>
      </c>
      <c r="G18" s="357" t="s">
        <v>433</v>
      </c>
      <c r="H18" s="436">
        <f>H19</f>
        <v>18872869</v>
      </c>
      <c r="I18" s="359">
        <f>H18/$H$35</f>
        <v>0.20055517816225552</v>
      </c>
      <c r="K18" s="412" t="s">
        <v>434</v>
      </c>
      <c r="L18" s="413" t="str">
        <f>K18</f>
        <v>Empleados</v>
      </c>
      <c r="M18" s="371">
        <f t="shared" si="5"/>
        <v>1109760</v>
      </c>
      <c r="N18" s="462">
        <v>65280</v>
      </c>
      <c r="O18" s="462">
        <f t="shared" ref="O18:AD18" si="11">N18</f>
        <v>65280</v>
      </c>
      <c r="P18" s="462">
        <f t="shared" si="11"/>
        <v>65280</v>
      </c>
      <c r="Q18" s="462">
        <f t="shared" si="11"/>
        <v>65280</v>
      </c>
      <c r="R18" s="462">
        <f t="shared" si="11"/>
        <v>65280</v>
      </c>
      <c r="S18" s="462">
        <f t="shared" si="11"/>
        <v>65280</v>
      </c>
      <c r="T18" s="462">
        <f t="shared" si="11"/>
        <v>65280</v>
      </c>
      <c r="U18" s="462">
        <f t="shared" si="11"/>
        <v>65280</v>
      </c>
      <c r="V18" s="462">
        <f t="shared" si="11"/>
        <v>65280</v>
      </c>
      <c r="W18" s="462">
        <f t="shared" si="11"/>
        <v>65280</v>
      </c>
      <c r="X18" s="462">
        <f t="shared" si="11"/>
        <v>65280</v>
      </c>
      <c r="Y18" s="462">
        <f t="shared" si="11"/>
        <v>65280</v>
      </c>
      <c r="Z18" s="462">
        <f t="shared" si="11"/>
        <v>65280</v>
      </c>
      <c r="AA18" s="462">
        <f t="shared" si="11"/>
        <v>65280</v>
      </c>
      <c r="AB18" s="462">
        <f t="shared" si="11"/>
        <v>65280</v>
      </c>
      <c r="AC18" s="462">
        <f t="shared" si="11"/>
        <v>65280</v>
      </c>
      <c r="AD18" s="410">
        <f t="shared" si="11"/>
        <v>65280</v>
      </c>
    </row>
    <row r="19" spans="1:30" x14ac:dyDescent="0.25">
      <c r="D19" s="369" t="s">
        <v>435</v>
      </c>
      <c r="E19" s="370">
        <f>1548000+660+2017000+1884</f>
        <v>3567544</v>
      </c>
      <c r="F19" s="45">
        <f>E19/E35</f>
        <v>3.79110045495301E-2</v>
      </c>
      <c r="G19" s="375" t="s">
        <v>436</v>
      </c>
      <c r="H19" s="437">
        <f>M20</f>
        <v>18872869</v>
      </c>
      <c r="I19" s="363">
        <f>H19/$H$35</f>
        <v>0.20055517816225552</v>
      </c>
      <c r="K19" s="412" t="s">
        <v>437</v>
      </c>
      <c r="L19" s="413" t="str">
        <f>K19</f>
        <v>Juveniles</v>
      </c>
      <c r="M19" s="371">
        <f t="shared" si="5"/>
        <v>340000</v>
      </c>
      <c r="N19" s="462">
        <v>20000</v>
      </c>
      <c r="O19" s="462">
        <f t="shared" ref="O19:AD19" si="12">N19</f>
        <v>20000</v>
      </c>
      <c r="P19" s="462">
        <f t="shared" si="12"/>
        <v>20000</v>
      </c>
      <c r="Q19" s="462">
        <f t="shared" si="12"/>
        <v>20000</v>
      </c>
      <c r="R19" s="462">
        <f t="shared" si="12"/>
        <v>20000</v>
      </c>
      <c r="S19" s="462">
        <f t="shared" si="12"/>
        <v>20000</v>
      </c>
      <c r="T19" s="462">
        <f t="shared" si="12"/>
        <v>20000</v>
      </c>
      <c r="U19" s="462">
        <f t="shared" si="12"/>
        <v>20000</v>
      </c>
      <c r="V19" s="462">
        <f t="shared" si="12"/>
        <v>20000</v>
      </c>
      <c r="W19" s="462">
        <f t="shared" si="12"/>
        <v>20000</v>
      </c>
      <c r="X19" s="462">
        <f t="shared" si="12"/>
        <v>20000</v>
      </c>
      <c r="Y19" s="462">
        <f t="shared" si="12"/>
        <v>20000</v>
      </c>
      <c r="Z19" s="462">
        <f t="shared" si="12"/>
        <v>20000</v>
      </c>
      <c r="AA19" s="462">
        <f t="shared" si="12"/>
        <v>20000</v>
      </c>
      <c r="AB19" s="462">
        <f t="shared" si="12"/>
        <v>20000</v>
      </c>
      <c r="AC19" s="462">
        <f t="shared" si="12"/>
        <v>20000</v>
      </c>
      <c r="AD19" s="410">
        <f t="shared" si="12"/>
        <v>20000</v>
      </c>
    </row>
    <row r="20" spans="1:30" x14ac:dyDescent="0.25">
      <c r="D20" s="366"/>
      <c r="E20" s="429"/>
      <c r="G20" s="368"/>
      <c r="H20" s="343"/>
      <c r="I20" s="363"/>
      <c r="K20" s="412" t="s">
        <v>438</v>
      </c>
      <c r="L20" s="413" t="s">
        <v>436</v>
      </c>
      <c r="M20" s="371">
        <f t="shared" si="5"/>
        <v>18872869</v>
      </c>
      <c r="N20" s="462">
        <f>1486140+2484</f>
        <v>1488624</v>
      </c>
      <c r="O20" s="462">
        <f>3600000+3132+2017000+1884</f>
        <v>5622016</v>
      </c>
      <c r="P20" s="462">
        <v>0</v>
      </c>
      <c r="Q20" s="462">
        <f t="shared" ref="Q20:X21" si="13">P20</f>
        <v>0</v>
      </c>
      <c r="R20" s="462">
        <f t="shared" si="13"/>
        <v>0</v>
      </c>
      <c r="S20" s="462">
        <f t="shared" si="13"/>
        <v>0</v>
      </c>
      <c r="T20" s="462">
        <f t="shared" si="13"/>
        <v>0</v>
      </c>
      <c r="U20" s="462">
        <f t="shared" si="13"/>
        <v>0</v>
      </c>
      <c r="V20" s="462">
        <f t="shared" si="13"/>
        <v>0</v>
      </c>
      <c r="W20" s="462">
        <f t="shared" si="13"/>
        <v>0</v>
      </c>
      <c r="X20" s="462">
        <f t="shared" si="13"/>
        <v>0</v>
      </c>
      <c r="Y20" s="462">
        <f>2750000+2436</f>
        <v>2752436</v>
      </c>
      <c r="Z20" s="462">
        <v>0</v>
      </c>
      <c r="AA20" s="462">
        <f>Z20</f>
        <v>0</v>
      </c>
      <c r="AB20" s="462">
        <v>3907765</v>
      </c>
      <c r="AC20" s="462">
        <v>5102028</v>
      </c>
      <c r="AD20" s="410">
        <v>0</v>
      </c>
    </row>
    <row r="21" spans="1:30" x14ac:dyDescent="0.25">
      <c r="D21" s="357" t="s">
        <v>410</v>
      </c>
      <c r="E21" s="373">
        <f>E22</f>
        <v>14322704</v>
      </c>
      <c r="F21" s="428">
        <f>E21/E35</f>
        <v>0.15220221432603859</v>
      </c>
      <c r="G21" s="368"/>
      <c r="H21" s="343"/>
      <c r="I21" s="363"/>
      <c r="K21" s="497" t="s">
        <v>417</v>
      </c>
      <c r="L21" s="413" t="s">
        <v>405</v>
      </c>
      <c r="M21" s="371">
        <f t="shared" si="5"/>
        <v>0</v>
      </c>
      <c r="N21" s="462">
        <v>0</v>
      </c>
      <c r="O21" s="462">
        <f>N21</f>
        <v>0</v>
      </c>
      <c r="P21" s="462">
        <f>O21</f>
        <v>0</v>
      </c>
      <c r="Q21" s="462">
        <f t="shared" si="13"/>
        <v>0</v>
      </c>
      <c r="R21" s="462">
        <f t="shared" si="13"/>
        <v>0</v>
      </c>
      <c r="S21" s="462">
        <f t="shared" si="13"/>
        <v>0</v>
      </c>
      <c r="T21" s="462">
        <f t="shared" si="13"/>
        <v>0</v>
      </c>
      <c r="U21" s="462">
        <f t="shared" si="13"/>
        <v>0</v>
      </c>
      <c r="V21" s="462">
        <f t="shared" si="13"/>
        <v>0</v>
      </c>
      <c r="W21" s="462">
        <f t="shared" si="13"/>
        <v>0</v>
      </c>
      <c r="X21" s="462">
        <f t="shared" si="13"/>
        <v>0</v>
      </c>
      <c r="Y21" s="462">
        <f>X21</f>
        <v>0</v>
      </c>
      <c r="Z21" s="462">
        <f>Y21</f>
        <v>0</v>
      </c>
      <c r="AA21" s="462">
        <f>Z21</f>
        <v>0</v>
      </c>
      <c r="AB21" s="462">
        <f>AA21</f>
        <v>0</v>
      </c>
      <c r="AC21" s="462">
        <f>AB21</f>
        <v>0</v>
      </c>
      <c r="AD21" s="410">
        <f>AC21</f>
        <v>0</v>
      </c>
    </row>
    <row r="22" spans="1:30" x14ac:dyDescent="0.25">
      <c r="D22" s="369" t="s">
        <v>410</v>
      </c>
      <c r="E22" s="370">
        <f>M8+M9</f>
        <v>14322704</v>
      </c>
      <c r="F22" s="45">
        <f>E22/E35</f>
        <v>0.15220221432603859</v>
      </c>
      <c r="G22" s="357" t="s">
        <v>439</v>
      </c>
      <c r="H22" s="401">
        <f>SUM(H23:H24)</f>
        <v>0</v>
      </c>
      <c r="I22" s="359">
        <f>H22/$H$35</f>
        <v>0</v>
      </c>
      <c r="K22" s="498"/>
      <c r="L22" s="413" t="s">
        <v>440</v>
      </c>
      <c r="M22" s="371">
        <f t="shared" si="5"/>
        <v>89000</v>
      </c>
      <c r="N22" s="462">
        <v>12000</v>
      </c>
      <c r="O22" s="462">
        <v>3000</v>
      </c>
      <c r="P22" s="462">
        <v>0</v>
      </c>
      <c r="Q22" s="462">
        <v>0</v>
      </c>
      <c r="R22" s="462">
        <v>3000</v>
      </c>
      <c r="S22" s="462">
        <f>R22</f>
        <v>3000</v>
      </c>
      <c r="T22" s="462">
        <v>0</v>
      </c>
      <c r="U22" s="462">
        <v>0</v>
      </c>
      <c r="V22" s="462">
        <v>6000</v>
      </c>
      <c r="W22" s="462">
        <v>4000</v>
      </c>
      <c r="X22" s="462">
        <v>7000</v>
      </c>
      <c r="Y22" s="462">
        <v>8000</v>
      </c>
      <c r="Z22" s="462">
        <v>6000</v>
      </c>
      <c r="AA22" s="462">
        <v>7000</v>
      </c>
      <c r="AB22" s="462">
        <v>7000</v>
      </c>
      <c r="AC22" s="462">
        <v>12000</v>
      </c>
      <c r="AD22" s="410">
        <v>11000</v>
      </c>
    </row>
    <row r="23" spans="1:30" ht="18.75" x14ac:dyDescent="0.3">
      <c r="C23" s="377"/>
      <c r="D23" s="366"/>
      <c r="E23" s="429"/>
      <c r="G23" s="375" t="s">
        <v>402</v>
      </c>
      <c r="H23" s="438">
        <f>M17</f>
        <v>0</v>
      </c>
      <c r="I23" s="363">
        <f>H23/$H$35</f>
        <v>0</v>
      </c>
      <c r="K23" s="499"/>
      <c r="L23" s="413" t="s">
        <v>441</v>
      </c>
      <c r="M23" s="371">
        <f t="shared" si="5"/>
        <v>513593</v>
      </c>
      <c r="N23" s="462">
        <v>0</v>
      </c>
      <c r="O23" s="462">
        <f t="shared" ref="O23:R24" si="14">N23</f>
        <v>0</v>
      </c>
      <c r="P23" s="462">
        <f t="shared" si="14"/>
        <v>0</v>
      </c>
      <c r="Q23" s="462">
        <f t="shared" si="14"/>
        <v>0</v>
      </c>
      <c r="R23" s="462">
        <f t="shared" si="14"/>
        <v>0</v>
      </c>
      <c r="S23" s="462">
        <f>R23</f>
        <v>0</v>
      </c>
      <c r="T23" s="462">
        <f t="shared" ref="T23:AA24" si="15">S23</f>
        <v>0</v>
      </c>
      <c r="U23" s="462">
        <f t="shared" si="15"/>
        <v>0</v>
      </c>
      <c r="V23" s="462">
        <f t="shared" si="15"/>
        <v>0</v>
      </c>
      <c r="W23" s="462">
        <f t="shared" si="15"/>
        <v>0</v>
      </c>
      <c r="X23" s="462">
        <f t="shared" si="15"/>
        <v>0</v>
      </c>
      <c r="Y23" s="462">
        <f t="shared" si="15"/>
        <v>0</v>
      </c>
      <c r="Z23" s="462">
        <f t="shared" si="15"/>
        <v>0</v>
      </c>
      <c r="AA23" s="462">
        <f t="shared" si="15"/>
        <v>0</v>
      </c>
      <c r="AB23" s="462">
        <v>513593</v>
      </c>
      <c r="AC23" s="462">
        <v>0</v>
      </c>
      <c r="AD23" s="410">
        <v>0</v>
      </c>
    </row>
    <row r="24" spans="1:30" ht="18.75" x14ac:dyDescent="0.3">
      <c r="A24" s="378" t="str">
        <f t="shared" ref="A24:A31" si="16">L15</f>
        <v>Sueldos</v>
      </c>
      <c r="B24" s="379">
        <f t="shared" ref="B24:B31" si="17">M15/$M$25</f>
        <v>5.7100895655462627E-2</v>
      </c>
      <c r="C24" s="75"/>
      <c r="D24" s="357" t="s">
        <v>442</v>
      </c>
      <c r="E24" s="358">
        <f>E25+E26+E27</f>
        <v>19637656</v>
      </c>
      <c r="F24" s="428">
        <f>E24/E35</f>
        <v>0.20868229402583602</v>
      </c>
      <c r="G24" s="375" t="s">
        <v>405</v>
      </c>
      <c r="H24" s="438">
        <f>M21</f>
        <v>0</v>
      </c>
      <c r="I24" s="363">
        <f>H24/$H$35</f>
        <v>0</v>
      </c>
      <c r="K24" s="412" t="s">
        <v>443</v>
      </c>
      <c r="L24" s="413" t="str">
        <f>K24</f>
        <v>Intereses</v>
      </c>
      <c r="M24" s="371">
        <f t="shared" si="5"/>
        <v>0</v>
      </c>
      <c r="N24" s="462">
        <v>0</v>
      </c>
      <c r="O24" s="462">
        <f t="shared" si="14"/>
        <v>0</v>
      </c>
      <c r="P24" s="462">
        <f t="shared" si="14"/>
        <v>0</v>
      </c>
      <c r="Q24" s="462">
        <f t="shared" si="14"/>
        <v>0</v>
      </c>
      <c r="R24" s="462">
        <f t="shared" si="14"/>
        <v>0</v>
      </c>
      <c r="S24" s="462">
        <f>R24</f>
        <v>0</v>
      </c>
      <c r="T24" s="410">
        <f t="shared" si="15"/>
        <v>0</v>
      </c>
      <c r="U24" s="410">
        <f t="shared" si="15"/>
        <v>0</v>
      </c>
      <c r="V24" s="410">
        <f t="shared" si="15"/>
        <v>0</v>
      </c>
      <c r="W24" s="410">
        <f t="shared" si="15"/>
        <v>0</v>
      </c>
      <c r="X24" s="462">
        <f t="shared" si="15"/>
        <v>0</v>
      </c>
      <c r="Y24" s="462">
        <f t="shared" si="15"/>
        <v>0</v>
      </c>
      <c r="Z24" s="462">
        <f t="shared" si="15"/>
        <v>0</v>
      </c>
      <c r="AA24" s="462">
        <f t="shared" si="15"/>
        <v>0</v>
      </c>
      <c r="AB24" s="462">
        <f>AA24</f>
        <v>0</v>
      </c>
      <c r="AC24" s="462">
        <f>AB24</f>
        <v>0</v>
      </c>
      <c r="AD24" s="410">
        <f>AC24</f>
        <v>0</v>
      </c>
    </row>
    <row r="25" spans="1:30" ht="18.75" x14ac:dyDescent="0.3">
      <c r="A25" s="378" t="str">
        <f t="shared" si="16"/>
        <v xml:space="preserve">Mantenimiento </v>
      </c>
      <c r="B25" s="379">
        <f t="shared" si="17"/>
        <v>3.616702482023279E-2</v>
      </c>
      <c r="C25" s="344"/>
      <c r="D25" s="388" t="s">
        <v>444</v>
      </c>
      <c r="E25" s="389">
        <f>N5</f>
        <v>12151249</v>
      </c>
      <c r="F25" s="45">
        <f>E25/E35</f>
        <v>0.12912694450901605</v>
      </c>
      <c r="G25" s="368"/>
      <c r="H25" s="343"/>
      <c r="I25" s="363"/>
      <c r="K25" s="414" t="s">
        <v>445</v>
      </c>
      <c r="L25" s="415"/>
      <c r="M25" s="376">
        <f t="shared" si="5"/>
        <v>23077624</v>
      </c>
      <c r="N25" s="411">
        <f t="shared" ref="N25:AD25" si="18">SUM(N15:N24)</f>
        <v>1717665</v>
      </c>
      <c r="O25" s="411">
        <f t="shared" si="18"/>
        <v>5839259</v>
      </c>
      <c r="P25" s="411">
        <f t="shared" si="18"/>
        <v>219549</v>
      </c>
      <c r="Q25" s="411">
        <f t="shared" si="18"/>
        <v>219259</v>
      </c>
      <c r="R25" s="411">
        <f t="shared" si="18"/>
        <v>223371</v>
      </c>
      <c r="S25" s="411">
        <f t="shared" si="18"/>
        <v>223803</v>
      </c>
      <c r="T25" s="411">
        <f t="shared" si="18"/>
        <v>219803</v>
      </c>
      <c r="U25" s="411">
        <f t="shared" si="18"/>
        <v>218803</v>
      </c>
      <c r="V25" s="411">
        <f t="shared" si="18"/>
        <v>222377</v>
      </c>
      <c r="W25" s="411">
        <f t="shared" si="18"/>
        <v>211679</v>
      </c>
      <c r="X25" s="411">
        <f t="shared" si="18"/>
        <v>212603</v>
      </c>
      <c r="Y25" s="411">
        <f t="shared" si="18"/>
        <v>2965091</v>
      </c>
      <c r="Z25" s="411">
        <f t="shared" si="18"/>
        <v>208217</v>
      </c>
      <c r="AA25" s="411">
        <f t="shared" si="18"/>
        <v>206510</v>
      </c>
      <c r="AB25" s="411">
        <f t="shared" si="18"/>
        <v>4626973</v>
      </c>
      <c r="AC25" s="411">
        <f t="shared" si="18"/>
        <v>5322817</v>
      </c>
      <c r="AD25" s="411">
        <f t="shared" si="18"/>
        <v>219845</v>
      </c>
    </row>
    <row r="26" spans="1:30" ht="18.75" x14ac:dyDescent="0.3">
      <c r="A26" s="378" t="str">
        <f t="shared" si="16"/>
        <v>Estadio</v>
      </c>
      <c r="B26" s="379">
        <f t="shared" si="17"/>
        <v>0</v>
      </c>
      <c r="C26" s="4"/>
      <c r="D26" s="388" t="str">
        <f>D12</f>
        <v>Ing Reservas</v>
      </c>
      <c r="E26" s="389">
        <f>M13</f>
        <v>8000000</v>
      </c>
      <c r="F26" s="45">
        <f>E26/E35</f>
        <v>8.501311725832697E-2</v>
      </c>
      <c r="G26" s="357" t="s">
        <v>446</v>
      </c>
      <c r="H26" s="401">
        <f>SUM(H27:H32)</f>
        <v>3691162</v>
      </c>
      <c r="I26" s="359">
        <f t="shared" ref="I26:I32" si="19">H26/$H$35</f>
        <v>3.9224648490685084E-2</v>
      </c>
      <c r="K26" s="380" t="s">
        <v>447</v>
      </c>
      <c r="L26" s="380"/>
      <c r="M26" s="352">
        <f t="shared" ref="M26:AD26" si="20">M5+M14-M25</f>
        <v>21390492</v>
      </c>
      <c r="N26" s="352">
        <f t="shared" si="20"/>
        <v>16853431</v>
      </c>
      <c r="O26" s="352">
        <f t="shared" si="20"/>
        <v>11755916</v>
      </c>
      <c r="P26" s="352">
        <f t="shared" si="20"/>
        <v>12415332</v>
      </c>
      <c r="Q26" s="352">
        <f t="shared" si="20"/>
        <v>13710711</v>
      </c>
      <c r="R26" s="352">
        <f t="shared" si="20"/>
        <v>14306291</v>
      </c>
      <c r="S26" s="352">
        <f t="shared" si="20"/>
        <v>16625519</v>
      </c>
      <c r="T26" s="352">
        <f t="shared" si="20"/>
        <v>17494225</v>
      </c>
      <c r="U26" s="352">
        <f t="shared" si="20"/>
        <v>18095097</v>
      </c>
      <c r="V26" s="352">
        <f t="shared" si="20"/>
        <v>19111395</v>
      </c>
      <c r="W26" s="352">
        <f t="shared" si="20"/>
        <v>19795165</v>
      </c>
      <c r="X26" s="352">
        <f t="shared" si="20"/>
        <v>22086424</v>
      </c>
      <c r="Y26" s="352">
        <f t="shared" si="20"/>
        <v>19890687</v>
      </c>
      <c r="Z26" s="352">
        <f t="shared" si="20"/>
        <v>24708589</v>
      </c>
      <c r="AA26" s="352">
        <f t="shared" si="20"/>
        <v>25679641</v>
      </c>
      <c r="AB26" s="352">
        <f t="shared" si="20"/>
        <v>21403306</v>
      </c>
      <c r="AC26" s="352">
        <f t="shared" si="20"/>
        <v>20568388</v>
      </c>
      <c r="AD26" s="352">
        <f t="shared" si="20"/>
        <v>21390492</v>
      </c>
    </row>
    <row r="27" spans="1:30" x14ac:dyDescent="0.25">
      <c r="A27" s="378" t="str">
        <f t="shared" si="16"/>
        <v>Empleados</v>
      </c>
      <c r="B27" s="379">
        <f t="shared" si="17"/>
        <v>4.8088139402912539E-2</v>
      </c>
      <c r="C27" s="3"/>
      <c r="D27" s="388" t="str">
        <f>D13</f>
        <v>Pago Reservas</v>
      </c>
      <c r="E27" s="389">
        <f>M23*-1</f>
        <v>-513593</v>
      </c>
      <c r="F27" s="45">
        <f>E27/E35</f>
        <v>-5.45776774150699E-3</v>
      </c>
      <c r="G27" s="375" t="s">
        <v>448</v>
      </c>
      <c r="H27" s="438">
        <f>M15</f>
        <v>1317753</v>
      </c>
      <c r="I27" s="363">
        <f t="shared" si="19"/>
        <v>1.4003286288314017E-2</v>
      </c>
      <c r="K27" s="381"/>
      <c r="L27" s="381"/>
      <c r="M27" s="381"/>
      <c r="N27" s="382">
        <f>N1+7</f>
        <v>43644</v>
      </c>
      <c r="O27" s="382">
        <f t="shared" ref="O27:AD27" si="21">N27+7</f>
        <v>43651</v>
      </c>
      <c r="P27" s="382">
        <f t="shared" si="21"/>
        <v>43658</v>
      </c>
      <c r="Q27" s="382">
        <f t="shared" si="21"/>
        <v>43665</v>
      </c>
      <c r="R27" s="382">
        <f t="shared" si="21"/>
        <v>43672</v>
      </c>
      <c r="S27" s="382">
        <f t="shared" si="21"/>
        <v>43679</v>
      </c>
      <c r="T27" s="382">
        <f t="shared" si="21"/>
        <v>43686</v>
      </c>
      <c r="U27" s="382">
        <f t="shared" si="21"/>
        <v>43693</v>
      </c>
      <c r="V27" s="382">
        <f t="shared" si="21"/>
        <v>43700</v>
      </c>
      <c r="W27" s="382">
        <f t="shared" si="21"/>
        <v>43707</v>
      </c>
      <c r="X27" s="382">
        <f t="shared" si="21"/>
        <v>43714</v>
      </c>
      <c r="Y27" s="382">
        <f t="shared" si="21"/>
        <v>43721</v>
      </c>
      <c r="Z27" s="382">
        <f t="shared" si="21"/>
        <v>43728</v>
      </c>
      <c r="AA27" s="382">
        <f t="shared" si="21"/>
        <v>43735</v>
      </c>
      <c r="AB27" s="382">
        <f t="shared" si="21"/>
        <v>43742</v>
      </c>
      <c r="AC27" s="382">
        <f t="shared" si="21"/>
        <v>43749</v>
      </c>
      <c r="AD27" s="382">
        <f t="shared" si="21"/>
        <v>43756</v>
      </c>
    </row>
    <row r="28" spans="1:30" x14ac:dyDescent="0.25">
      <c r="A28" s="378" t="str">
        <f t="shared" si="16"/>
        <v>Juveniles</v>
      </c>
      <c r="B28" s="379">
        <f t="shared" si="17"/>
        <v>1.4732885846480557E-2</v>
      </c>
      <c r="C28" s="4"/>
      <c r="D28" s="368"/>
      <c r="E28" s="372"/>
      <c r="F28" s="45"/>
      <c r="G28" s="375" t="s">
        <v>430</v>
      </c>
      <c r="H28" s="438">
        <f>M16</f>
        <v>834649</v>
      </c>
      <c r="I28" s="363">
        <f t="shared" si="19"/>
        <v>8.8695141633181682E-3</v>
      </c>
      <c r="K28" s="383"/>
      <c r="L28" s="383"/>
      <c r="M28" s="383"/>
      <c r="N28" s="383"/>
      <c r="O28" s="383"/>
      <c r="P28" s="383"/>
      <c r="Q28" s="383"/>
      <c r="R28" s="383"/>
      <c r="S28" s="383"/>
      <c r="T28" s="383"/>
      <c r="U28" s="383"/>
      <c r="V28" s="383"/>
      <c r="W28" s="383"/>
      <c r="X28" s="383"/>
      <c r="Y28" s="383"/>
      <c r="Z28" s="383"/>
      <c r="AA28" s="383"/>
      <c r="AB28" s="383"/>
      <c r="AC28" s="383"/>
      <c r="AD28" s="383"/>
    </row>
    <row r="29" spans="1:30" x14ac:dyDescent="0.25">
      <c r="A29" s="378" t="str">
        <f t="shared" si="16"/>
        <v>Compra</v>
      </c>
      <c r="B29" s="379">
        <f t="shared" si="17"/>
        <v>0.81779948403700486</v>
      </c>
      <c r="D29" s="357" t="s">
        <v>449</v>
      </c>
      <c r="E29" s="358">
        <f>SUM(E30:E34)</f>
        <v>9994163</v>
      </c>
      <c r="F29" s="428">
        <f>E29/E35</f>
        <v>0.1062043688772291</v>
      </c>
      <c r="G29" s="375" t="s">
        <v>434</v>
      </c>
      <c r="H29" s="438">
        <f>M18</f>
        <v>1109760</v>
      </c>
      <c r="I29" s="363">
        <f t="shared" si="19"/>
        <v>1.1793019626075117E-2</v>
      </c>
      <c r="K29" s="384"/>
      <c r="L29" s="384"/>
      <c r="M29" s="385" t="s">
        <v>425</v>
      </c>
      <c r="N29" s="386"/>
      <c r="O29" s="386">
        <v>22</v>
      </c>
      <c r="P29" s="386">
        <v>25</v>
      </c>
      <c r="Q29" s="386">
        <v>24</v>
      </c>
      <c r="R29" s="386">
        <v>25</v>
      </c>
      <c r="S29" s="386">
        <v>24</v>
      </c>
      <c r="T29" s="386"/>
      <c r="U29" s="386"/>
      <c r="V29" s="386"/>
      <c r="W29" s="386"/>
      <c r="X29" s="386"/>
      <c r="Y29" s="386">
        <v>22</v>
      </c>
      <c r="Z29" s="386"/>
      <c r="AA29" s="386"/>
      <c r="AB29" s="386"/>
      <c r="AC29" s="386"/>
      <c r="AD29" s="386">
        <v>21</v>
      </c>
    </row>
    <row r="30" spans="1:30" x14ac:dyDescent="0.25">
      <c r="A30" s="378" t="str">
        <f t="shared" si="16"/>
        <v>Entrenador</v>
      </c>
      <c r="B30" s="379">
        <f t="shared" si="17"/>
        <v>0</v>
      </c>
      <c r="D30" s="388" t="s">
        <v>397</v>
      </c>
      <c r="E30" s="389">
        <f>M11</f>
        <v>194700</v>
      </c>
      <c r="F30" s="45">
        <f>E30/E35</f>
        <v>2.0690067412745326E-3</v>
      </c>
      <c r="G30" s="375" t="s">
        <v>437</v>
      </c>
      <c r="H30" s="438">
        <f>M19</f>
        <v>340000</v>
      </c>
      <c r="I30" s="363">
        <f t="shared" si="19"/>
        <v>3.6130574834788961E-3</v>
      </c>
      <c r="K30" s="4"/>
      <c r="L30" s="500" t="s">
        <v>450</v>
      </c>
      <c r="M30" s="387" t="s">
        <v>103</v>
      </c>
      <c r="N30" s="386"/>
      <c r="O30" s="386">
        <v>345970</v>
      </c>
      <c r="P30" s="386">
        <v>414040</v>
      </c>
      <c r="Q30" s="386">
        <v>409350</v>
      </c>
      <c r="R30" s="386">
        <v>405290</v>
      </c>
      <c r="S30" s="386">
        <v>401840</v>
      </c>
      <c r="T30" s="386"/>
      <c r="U30" s="386"/>
      <c r="V30" s="386"/>
      <c r="W30" s="386"/>
      <c r="X30" s="386"/>
      <c r="Y30" s="386">
        <v>384850</v>
      </c>
      <c r="Z30" s="386"/>
      <c r="AA30" s="386"/>
      <c r="AB30" s="386"/>
      <c r="AC30" s="386"/>
      <c r="AD30" s="386">
        <v>430160</v>
      </c>
    </row>
    <row r="31" spans="1:30" x14ac:dyDescent="0.25">
      <c r="A31" s="378" t="str">
        <f t="shared" si="16"/>
        <v>Viajes+Venta</v>
      </c>
      <c r="B31" s="379">
        <f t="shared" si="17"/>
        <v>3.8565495304022633E-3</v>
      </c>
      <c r="D31" s="388" t="s">
        <v>420</v>
      </c>
      <c r="E31" s="389">
        <f>M12</f>
        <v>1215000</v>
      </c>
      <c r="F31" s="45">
        <f>E31/E35</f>
        <v>1.2911367183608408E-2</v>
      </c>
      <c r="G31" s="375" t="s">
        <v>440</v>
      </c>
      <c r="H31" s="438">
        <f>M22</f>
        <v>89000</v>
      </c>
      <c r="I31" s="363">
        <f t="shared" si="19"/>
        <v>9.4577092949888755E-4</v>
      </c>
      <c r="K31" s="4"/>
      <c r="L31" s="500"/>
      <c r="M31" s="387" t="s">
        <v>354</v>
      </c>
      <c r="N31" s="386"/>
      <c r="O31" s="386">
        <v>79566</v>
      </c>
      <c r="P31" s="386">
        <v>84872</v>
      </c>
      <c r="Q31" s="386">
        <v>85038</v>
      </c>
      <c r="R31" s="386">
        <v>86476</v>
      </c>
      <c r="S31" s="386">
        <v>86476</v>
      </c>
      <c r="T31" s="386"/>
      <c r="U31" s="386"/>
      <c r="V31" s="386"/>
      <c r="W31" s="386"/>
      <c r="X31" s="386"/>
      <c r="Y31" s="386">
        <v>70794</v>
      </c>
      <c r="Z31" s="386"/>
      <c r="AA31" s="386"/>
      <c r="AB31" s="386"/>
      <c r="AC31" s="386"/>
      <c r="AD31" s="386">
        <v>73878</v>
      </c>
    </row>
    <row r="32" spans="1:30" x14ac:dyDescent="0.25">
      <c r="A32" s="378" t="str">
        <f>L24</f>
        <v>Intereses</v>
      </c>
      <c r="B32" s="379">
        <f>M24/$M$25</f>
        <v>0</v>
      </c>
      <c r="D32" s="388" t="s">
        <v>404</v>
      </c>
      <c r="E32" s="389">
        <f>M6</f>
        <v>3664610</v>
      </c>
      <c r="F32" s="45">
        <f>E32/E35</f>
        <v>3.8942489954504701E-2</v>
      </c>
      <c r="G32" s="375" t="s">
        <v>443</v>
      </c>
      <c r="H32" s="438">
        <f>M24</f>
        <v>0</v>
      </c>
      <c r="I32" s="363">
        <f t="shared" si="19"/>
        <v>0</v>
      </c>
      <c r="K32" s="4"/>
      <c r="L32" s="500"/>
      <c r="M32" s="387" t="s">
        <v>451</v>
      </c>
      <c r="N32" s="386"/>
      <c r="O32" s="386">
        <v>280250</v>
      </c>
      <c r="P32" s="386">
        <v>325260</v>
      </c>
      <c r="Q32" s="386">
        <v>321450</v>
      </c>
      <c r="R32" s="386">
        <v>315120</v>
      </c>
      <c r="S32" s="386">
        <v>307290</v>
      </c>
      <c r="T32" s="386"/>
      <c r="U32" s="386"/>
      <c r="V32" s="386"/>
      <c r="W32" s="386"/>
      <c r="X32" s="386"/>
      <c r="Y32" s="386">
        <v>304820</v>
      </c>
      <c r="Z32" s="386"/>
      <c r="AA32" s="386"/>
      <c r="AB32" s="386"/>
      <c r="AC32" s="386"/>
      <c r="AD32" s="386">
        <v>348580</v>
      </c>
    </row>
    <row r="33" spans="1:30" ht="18.75" x14ac:dyDescent="0.3">
      <c r="A33" s="4"/>
      <c r="B33" s="391">
        <f>SUM(B24:B32)</f>
        <v>0.9777449792924956</v>
      </c>
      <c r="D33" s="388" t="s">
        <v>407</v>
      </c>
      <c r="E33" s="389">
        <f>M7</f>
        <v>4298979</v>
      </c>
      <c r="F33" s="45">
        <f>E33/E35</f>
        <v>4.5683700727260648E-2</v>
      </c>
      <c r="G33" s="368"/>
      <c r="H33" s="343"/>
      <c r="I33" s="363"/>
      <c r="K33" s="4"/>
      <c r="L33" s="500"/>
      <c r="M33" s="387" t="s">
        <v>452</v>
      </c>
      <c r="N33" s="386"/>
      <c r="O33" s="386">
        <v>65410</v>
      </c>
      <c r="P33" s="386">
        <v>60046</v>
      </c>
      <c r="Q33" s="386">
        <v>58040</v>
      </c>
      <c r="R33" s="386">
        <v>59634</v>
      </c>
      <c r="S33" s="386">
        <v>58794</v>
      </c>
      <c r="T33" s="386"/>
      <c r="U33" s="386"/>
      <c r="V33" s="386"/>
      <c r="W33" s="386"/>
      <c r="X33" s="386"/>
      <c r="Y33" s="386">
        <v>52440</v>
      </c>
      <c r="Z33" s="386"/>
      <c r="AA33" s="386"/>
      <c r="AB33" s="386"/>
      <c r="AC33" s="386"/>
      <c r="AD33" s="386">
        <v>50018</v>
      </c>
    </row>
    <row r="34" spans="1:30" ht="18.75" x14ac:dyDescent="0.3">
      <c r="A34" s="3"/>
      <c r="B34" s="393"/>
      <c r="D34" s="430" t="s">
        <v>414</v>
      </c>
      <c r="E34" s="431">
        <f>M10</f>
        <v>620874</v>
      </c>
      <c r="F34" s="45">
        <f>E34/E35</f>
        <v>6.5978042705808126E-3</v>
      </c>
      <c r="G34" s="442"/>
      <c r="H34" s="443"/>
      <c r="I34" s="441"/>
      <c r="K34" s="4"/>
      <c r="L34" s="500"/>
      <c r="M34" s="387" t="s">
        <v>453</v>
      </c>
      <c r="N34" s="390"/>
      <c r="O34" s="390" t="s">
        <v>454</v>
      </c>
      <c r="P34" s="390" t="s">
        <v>455</v>
      </c>
      <c r="Q34" s="390" t="s">
        <v>456</v>
      </c>
      <c r="R34" s="390" t="s">
        <v>457</v>
      </c>
      <c r="S34" s="390" t="s">
        <v>458</v>
      </c>
      <c r="T34" s="390"/>
      <c r="U34" s="390"/>
      <c r="V34" s="390"/>
      <c r="W34" s="390"/>
      <c r="X34" s="390"/>
      <c r="Y34" s="390" t="s">
        <v>459</v>
      </c>
      <c r="Z34" s="390"/>
      <c r="AA34" s="390"/>
      <c r="AB34" s="390"/>
      <c r="AC34" s="390"/>
      <c r="AD34" s="390" t="s">
        <v>460</v>
      </c>
    </row>
    <row r="35" spans="1:30" ht="18.75" x14ac:dyDescent="0.3">
      <c r="A35" s="501">
        <f>M25</f>
        <v>23077624</v>
      </c>
      <c r="B35" s="501"/>
      <c r="D35" s="432" t="s">
        <v>461</v>
      </c>
      <c r="E35" s="433">
        <f>E29+E21+E15+E5+E10+E24</f>
        <v>94103125</v>
      </c>
      <c r="F35" s="394">
        <f>F29+F21+F15+F5+F10+F24</f>
        <v>0.99999999999999989</v>
      </c>
      <c r="G35" s="432" t="s">
        <v>461</v>
      </c>
      <c r="H35" s="433">
        <f>H26+H18+H10+H5+H22</f>
        <v>94103125</v>
      </c>
      <c r="I35" s="440">
        <f>H35/$H$35</f>
        <v>1</v>
      </c>
      <c r="K35" s="4"/>
      <c r="L35" s="500"/>
      <c r="M35" s="387" t="s">
        <v>462</v>
      </c>
      <c r="N35" s="392"/>
      <c r="O35" s="392">
        <v>5.5</v>
      </c>
      <c r="P35" s="392">
        <v>5.75</v>
      </c>
      <c r="Q35" s="392">
        <v>5.5</v>
      </c>
      <c r="R35" s="392">
        <v>5.5</v>
      </c>
      <c r="S35" s="392">
        <v>5.25</v>
      </c>
      <c r="T35" s="392"/>
      <c r="U35" s="392"/>
      <c r="V35" s="392"/>
      <c r="W35" s="392"/>
      <c r="X35" s="392"/>
      <c r="Y35" s="392">
        <v>5</v>
      </c>
      <c r="Z35" s="392"/>
      <c r="AA35" s="392"/>
      <c r="AB35" s="392"/>
      <c r="AC35" s="392"/>
      <c r="AD35" s="392">
        <v>5.5</v>
      </c>
    </row>
    <row r="36" spans="1:30" x14ac:dyDescent="0.25">
      <c r="E36" s="343"/>
      <c r="F36" s="395"/>
      <c r="G36" s="396"/>
      <c r="H36" s="397">
        <f>E35-H35</f>
        <v>0</v>
      </c>
      <c r="I36" s="343"/>
      <c r="K36" s="4"/>
      <c r="L36" s="500"/>
      <c r="M36" s="387" t="s">
        <v>463</v>
      </c>
      <c r="N36" s="392"/>
      <c r="O36" s="392">
        <v>5.5</v>
      </c>
      <c r="P36" s="392">
        <v>6</v>
      </c>
      <c r="Q36" s="392">
        <v>6.25</v>
      </c>
      <c r="R36" s="392">
        <v>6</v>
      </c>
      <c r="S36" s="392">
        <v>5.75</v>
      </c>
      <c r="T36" s="392"/>
      <c r="U36" s="392"/>
      <c r="V36" s="392"/>
      <c r="W36" s="392"/>
      <c r="X36" s="392"/>
      <c r="Y36" s="392">
        <v>5.5</v>
      </c>
      <c r="Z36" s="392"/>
      <c r="AA36" s="392"/>
      <c r="AB36" s="392"/>
      <c r="AC36" s="392"/>
      <c r="AD36" s="392">
        <v>6</v>
      </c>
    </row>
    <row r="37" spans="1:30" x14ac:dyDescent="0.25">
      <c r="E37" s="343"/>
      <c r="F37" s="343"/>
      <c r="H37" s="343"/>
      <c r="I37" s="343"/>
      <c r="K37" s="4"/>
      <c r="L37" s="500"/>
      <c r="M37" s="387" t="s">
        <v>464</v>
      </c>
      <c r="N37" s="392"/>
      <c r="O37" s="392">
        <v>11.75</v>
      </c>
      <c r="P37" s="392">
        <v>10.75</v>
      </c>
      <c r="Q37" s="392">
        <v>9.5</v>
      </c>
      <c r="R37" s="392">
        <v>9.75</v>
      </c>
      <c r="S37" s="392">
        <v>9.25</v>
      </c>
      <c r="T37" s="392"/>
      <c r="U37" s="392"/>
      <c r="V37" s="392"/>
      <c r="W37" s="392"/>
      <c r="X37" s="392"/>
      <c r="Y37" s="392">
        <v>8.25</v>
      </c>
      <c r="Z37" s="392"/>
      <c r="AA37" s="392"/>
      <c r="AB37" s="392"/>
      <c r="AC37" s="392"/>
      <c r="AD37" s="392">
        <v>5.25</v>
      </c>
    </row>
    <row r="38" spans="1:30" ht="15.75" x14ac:dyDescent="0.25">
      <c r="D38" s="399"/>
      <c r="E38" s="400"/>
      <c r="F38" s="343"/>
      <c r="G38" s="4"/>
      <c r="H38" s="401"/>
      <c r="I38" s="401"/>
      <c r="K38" s="4"/>
      <c r="L38" s="4"/>
      <c r="M38" s="347" t="s">
        <v>465</v>
      </c>
      <c r="N38" s="398"/>
      <c r="O38" s="398">
        <f t="shared" ref="O38:AD38" si="22">O30/O31</f>
        <v>4.3482140612824569</v>
      </c>
      <c r="P38" s="398">
        <f t="shared" si="22"/>
        <v>4.8784051277217459</v>
      </c>
      <c r="Q38" s="398">
        <f t="shared" si="22"/>
        <v>4.8137303323220211</v>
      </c>
      <c r="R38" s="398">
        <f t="shared" si="22"/>
        <v>4.6867338914843426</v>
      </c>
      <c r="S38" s="398">
        <f t="shared" si="22"/>
        <v>4.6468384291595353</v>
      </c>
      <c r="T38" s="398" t="e">
        <f t="shared" si="22"/>
        <v>#DIV/0!</v>
      </c>
      <c r="U38" s="398" t="e">
        <f t="shared" si="22"/>
        <v>#DIV/0!</v>
      </c>
      <c r="V38" s="398" t="e">
        <f t="shared" si="22"/>
        <v>#DIV/0!</v>
      </c>
      <c r="W38" s="398" t="e">
        <f t="shared" si="22"/>
        <v>#DIV/0!</v>
      </c>
      <c r="X38" s="398" t="e">
        <f t="shared" si="22"/>
        <v>#DIV/0!</v>
      </c>
      <c r="Y38" s="398">
        <f t="shared" si="22"/>
        <v>5.4361951577817331</v>
      </c>
      <c r="Z38" s="398" t="e">
        <f t="shared" si="22"/>
        <v>#DIV/0!</v>
      </c>
      <c r="AA38" s="398" t="e">
        <f t="shared" si="22"/>
        <v>#DIV/0!</v>
      </c>
      <c r="AB38" s="398" t="e">
        <f t="shared" si="22"/>
        <v>#DIV/0!</v>
      </c>
      <c r="AC38" s="398" t="e">
        <f t="shared" si="22"/>
        <v>#DIV/0!</v>
      </c>
      <c r="AD38" s="398">
        <f t="shared" si="22"/>
        <v>5.8225723490078236</v>
      </c>
    </row>
    <row r="39" spans="1:30" x14ac:dyDescent="0.25">
      <c r="E39" s="401"/>
      <c r="F39" s="343"/>
      <c r="H39" s="343"/>
      <c r="I39" s="343"/>
      <c r="K39" s="4"/>
      <c r="L39" s="4"/>
      <c r="M39" s="4"/>
      <c r="N39" s="58"/>
      <c r="O39" s="342"/>
      <c r="P39" s="502"/>
      <c r="Q39" s="502"/>
      <c r="R39" s="502"/>
      <c r="S39" s="502"/>
    </row>
    <row r="40" spans="1:30" x14ac:dyDescent="0.25">
      <c r="E40" s="343"/>
      <c r="F40" s="343"/>
      <c r="H40" s="343"/>
      <c r="I40" s="343"/>
      <c r="K40" s="4"/>
      <c r="L40" s="4"/>
      <c r="M40" s="4"/>
      <c r="N40" s="402"/>
      <c r="O40" s="402"/>
      <c r="P40" s="402"/>
      <c r="Q40" s="402"/>
      <c r="R40" s="402"/>
      <c r="S40" s="402"/>
      <c r="T40" s="402"/>
      <c r="U40" s="402"/>
      <c r="V40" s="402"/>
      <c r="W40" s="402"/>
      <c r="X40" s="402"/>
      <c r="Y40" s="402"/>
      <c r="AB40" s="403"/>
    </row>
    <row r="41" spans="1:30" x14ac:dyDescent="0.25">
      <c r="K41" s="4"/>
      <c r="L41" s="4"/>
      <c r="M41" s="4"/>
      <c r="O41" s="342"/>
      <c r="P41" s="342"/>
      <c r="Q41" s="342"/>
      <c r="R41" s="342"/>
      <c r="S41" s="342"/>
      <c r="T41" s="342"/>
      <c r="U41" s="342"/>
      <c r="V41" s="342"/>
      <c r="W41" s="342"/>
      <c r="X41" s="342"/>
      <c r="Y41" s="464"/>
      <c r="Z41" s="342"/>
      <c r="AA41" s="342"/>
      <c r="AB41" s="464"/>
      <c r="AC41" s="464"/>
      <c r="AD41" s="342"/>
    </row>
    <row r="42" spans="1:30" x14ac:dyDescent="0.25">
      <c r="K42" s="4"/>
      <c r="L42" s="4"/>
      <c r="M42" s="4"/>
      <c r="O42" s="342"/>
      <c r="P42" s="503"/>
      <c r="Q42" s="503"/>
      <c r="R42" s="503"/>
      <c r="S42" s="503"/>
      <c r="V42" s="403"/>
    </row>
    <row r="43" spans="1:30" x14ac:dyDescent="0.25">
      <c r="K43" s="4"/>
      <c r="L43" s="4"/>
      <c r="M43" s="4"/>
      <c r="N43" s="403"/>
      <c r="O43" s="342"/>
      <c r="P43" s="28"/>
      <c r="Q43" s="28"/>
      <c r="R43" s="28"/>
      <c r="S43" s="28"/>
    </row>
    <row r="44" spans="1:30" x14ac:dyDescent="0.25">
      <c r="K44" s="4"/>
      <c r="L44" s="4"/>
      <c r="M44" s="4"/>
      <c r="O44" s="342"/>
      <c r="P44" s="503"/>
      <c r="Q44" s="503"/>
      <c r="R44" s="503"/>
      <c r="S44" s="503"/>
      <c r="Y44" s="403"/>
    </row>
    <row r="45" spans="1:30" x14ac:dyDescent="0.25">
      <c r="K45" s="4"/>
      <c r="L45" s="4"/>
      <c r="M45" s="4"/>
      <c r="O45" s="342"/>
      <c r="P45" s="503"/>
      <c r="Q45" s="503"/>
      <c r="R45" s="503"/>
      <c r="S45" s="404"/>
    </row>
    <row r="46" spans="1:30" x14ac:dyDescent="0.25">
      <c r="K46" s="4"/>
      <c r="L46" s="4"/>
      <c r="M46" s="4"/>
      <c r="O46" s="342"/>
    </row>
    <row r="47" spans="1:30" x14ac:dyDescent="0.25">
      <c r="K47" s="4"/>
      <c r="L47" s="4"/>
      <c r="M47" s="4"/>
      <c r="O47" s="342"/>
    </row>
    <row r="48" spans="1:30" x14ac:dyDescent="0.25">
      <c r="K48" s="4"/>
      <c r="L48" s="4"/>
      <c r="M48" s="4"/>
      <c r="O48" s="342"/>
    </row>
    <row r="49" spans="11:15" x14ac:dyDescent="0.25">
      <c r="K49" s="4"/>
      <c r="L49" s="4"/>
      <c r="M49" s="4"/>
      <c r="O49" s="342"/>
    </row>
    <row r="50" spans="11:15" x14ac:dyDescent="0.25">
      <c r="K50" s="4"/>
      <c r="L50" s="4"/>
      <c r="M50" s="4"/>
      <c r="O50" s="342"/>
    </row>
    <row r="51" spans="11:15" x14ac:dyDescent="0.25">
      <c r="K51" s="4"/>
      <c r="L51" s="4"/>
      <c r="M51" s="4"/>
      <c r="O51" s="342"/>
    </row>
    <row r="52" spans="11:15" x14ac:dyDescent="0.25">
      <c r="K52" s="4"/>
      <c r="L52" s="4"/>
      <c r="M52" s="4"/>
      <c r="O52" s="342"/>
    </row>
    <row r="53" spans="11:15" x14ac:dyDescent="0.25">
      <c r="K53" s="4"/>
      <c r="L53" s="4"/>
      <c r="M53" s="4"/>
      <c r="O53" s="342"/>
    </row>
    <row r="54" spans="11:15" x14ac:dyDescent="0.25">
      <c r="K54" s="4"/>
      <c r="L54" s="4"/>
      <c r="M54" s="4"/>
      <c r="O54" s="342"/>
    </row>
    <row r="55" spans="11:15" x14ac:dyDescent="0.25">
      <c r="K55" s="4"/>
      <c r="L55" s="4"/>
      <c r="M55" s="4"/>
      <c r="O55" s="342"/>
    </row>
    <row r="56" spans="11:15" x14ac:dyDescent="0.25">
      <c r="K56" s="4"/>
      <c r="L56" s="4"/>
      <c r="M56" s="4"/>
      <c r="O56" s="342"/>
    </row>
    <row r="57" spans="11:15" x14ac:dyDescent="0.25">
      <c r="K57" s="4"/>
      <c r="L57" s="4"/>
      <c r="M57" s="4"/>
      <c r="O57" s="342"/>
    </row>
    <row r="58" spans="11:15" x14ac:dyDescent="0.25">
      <c r="K58" s="4"/>
      <c r="L58" s="4"/>
      <c r="M58" s="4"/>
      <c r="O58" s="342"/>
    </row>
    <row r="59" spans="11:15" x14ac:dyDescent="0.25">
      <c r="K59" s="4"/>
      <c r="L59" s="4"/>
      <c r="M59" s="4"/>
      <c r="O59" s="342"/>
    </row>
    <row r="60" spans="11:15" x14ac:dyDescent="0.25">
      <c r="K60" s="4"/>
      <c r="L60" s="4"/>
      <c r="M60" s="4"/>
      <c r="O60" s="342"/>
    </row>
    <row r="61" spans="11:15" x14ac:dyDescent="0.25">
      <c r="K61" s="4"/>
      <c r="L61" s="4"/>
      <c r="M61" s="4"/>
      <c r="O61" s="342"/>
    </row>
    <row r="62" spans="11:15" x14ac:dyDescent="0.25">
      <c r="K62" s="4"/>
      <c r="L62" s="4"/>
      <c r="M62" s="4"/>
      <c r="O62" s="342"/>
    </row>
    <row r="63" spans="11:15" x14ac:dyDescent="0.25">
      <c r="K63" s="4"/>
      <c r="L63" s="4"/>
      <c r="M63" s="4"/>
      <c r="O63" s="342"/>
    </row>
    <row r="64" spans="11:15" x14ac:dyDescent="0.25">
      <c r="K64" s="4"/>
      <c r="L64" s="4"/>
      <c r="M64" s="4"/>
      <c r="O64" s="342"/>
    </row>
    <row r="65" spans="11:15" x14ac:dyDescent="0.25">
      <c r="K65" s="4"/>
      <c r="L65" s="4"/>
      <c r="M65" s="4"/>
      <c r="O65" s="342"/>
    </row>
    <row r="66" spans="11:15" x14ac:dyDescent="0.25">
      <c r="K66" s="4"/>
      <c r="L66" s="4"/>
      <c r="M66" s="4"/>
      <c r="O66" s="342"/>
    </row>
    <row r="67" spans="11:15" x14ac:dyDescent="0.25">
      <c r="K67" s="4"/>
      <c r="L67" s="4"/>
      <c r="M67" s="4"/>
      <c r="O67" s="342"/>
    </row>
    <row r="68" spans="11:15" x14ac:dyDescent="0.25">
      <c r="K68" s="4"/>
      <c r="L68" s="4"/>
      <c r="M68" s="4"/>
      <c r="O68" s="342"/>
    </row>
    <row r="69" spans="11:15" x14ac:dyDescent="0.25">
      <c r="K69" s="4"/>
      <c r="L69" s="4"/>
      <c r="M69" s="4"/>
      <c r="O69" s="342"/>
    </row>
    <row r="70" spans="11:15" x14ac:dyDescent="0.25">
      <c r="K70" s="4"/>
      <c r="L70" s="4"/>
      <c r="M70" s="4"/>
      <c r="O70" s="342"/>
    </row>
    <row r="71" spans="11:15" x14ac:dyDescent="0.25">
      <c r="K71" s="4"/>
      <c r="L71" s="4"/>
      <c r="M71" s="4"/>
      <c r="O71" s="342"/>
    </row>
    <row r="72" spans="11:15" x14ac:dyDescent="0.25">
      <c r="K72" s="4"/>
      <c r="L72" s="4"/>
      <c r="M72" s="4"/>
      <c r="O72" s="342"/>
    </row>
    <row r="73" spans="11:15" x14ac:dyDescent="0.25">
      <c r="K73" s="4"/>
      <c r="L73" s="4"/>
      <c r="M73" s="4"/>
      <c r="O73" s="342"/>
    </row>
    <row r="74" spans="11:15" x14ac:dyDescent="0.25">
      <c r="K74" s="4"/>
      <c r="L74" s="4"/>
      <c r="M74" s="4"/>
      <c r="O74" s="342"/>
    </row>
    <row r="75" spans="11:15" x14ac:dyDescent="0.25">
      <c r="K75" s="4"/>
      <c r="L75" s="4"/>
      <c r="M75" s="4"/>
      <c r="O75" s="342"/>
    </row>
    <row r="76" spans="11:15" x14ac:dyDescent="0.25">
      <c r="K76" s="4"/>
      <c r="L76" s="4"/>
      <c r="M76" s="4"/>
      <c r="O76" s="342"/>
    </row>
    <row r="77" spans="11:15" x14ac:dyDescent="0.25">
      <c r="K77" s="4"/>
      <c r="L77" s="4"/>
      <c r="M77" s="4"/>
      <c r="O77" s="342"/>
    </row>
    <row r="78" spans="11:15" x14ac:dyDescent="0.25">
      <c r="K78" s="4"/>
      <c r="L78" s="4"/>
      <c r="M78" s="4"/>
      <c r="O78" s="342"/>
    </row>
    <row r="79" spans="11:15" x14ac:dyDescent="0.25">
      <c r="K79" s="4"/>
      <c r="L79" s="4"/>
      <c r="M79" s="4"/>
      <c r="O79" s="342"/>
    </row>
    <row r="80" spans="11:15" x14ac:dyDescent="0.25">
      <c r="K80" s="4"/>
      <c r="L80" s="4"/>
      <c r="M80" s="4"/>
      <c r="O80" s="342"/>
    </row>
    <row r="81" spans="11:15" x14ac:dyDescent="0.25">
      <c r="K81" s="4"/>
      <c r="L81" s="4"/>
      <c r="M81" s="4"/>
      <c r="O81" s="342"/>
    </row>
  </sheetData>
  <mergeCells count="14">
    <mergeCell ref="R39:S39"/>
    <mergeCell ref="P42:S42"/>
    <mergeCell ref="P44:S44"/>
    <mergeCell ref="P45:R45"/>
    <mergeCell ref="A15:B15"/>
    <mergeCell ref="K21:K23"/>
    <mergeCell ref="L30:L37"/>
    <mergeCell ref="A35:B35"/>
    <mergeCell ref="P39:Q39"/>
    <mergeCell ref="D1:I1"/>
    <mergeCell ref="D2:I2"/>
    <mergeCell ref="D3:E3"/>
    <mergeCell ref="G3:H3"/>
    <mergeCell ref="K11:K13"/>
  </mergeCells>
  <conditionalFormatting sqref="E39">
    <cfRule type="cellIs" dxfId="45" priority="1" operator="greaterThan">
      <formula>0</formula>
    </cfRule>
  </conditionalFormatting>
  <conditionalFormatting sqref="E39">
    <cfRule type="cellIs" dxfId="44" priority="2" operator="lessThan">
      <formula>0</formula>
    </cfRule>
  </conditionalFormatting>
  <conditionalFormatting sqref="H38">
    <cfRule type="cellIs" dxfId="43" priority="3" operator="lessThan">
      <formula>0</formula>
    </cfRule>
  </conditionalFormatting>
  <conditionalFormatting sqref="H11:H16">
    <cfRule type="cellIs" dxfId="42" priority="4" operator="lessThan">
      <formula>0</formula>
    </cfRule>
  </conditionalFormatting>
  <conditionalFormatting sqref="H11:H16">
    <cfRule type="cellIs" dxfId="41" priority="5" operator="greaterThan">
      <formula>0</formula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CDDC"/>
  </sheetPr>
  <dimension ref="A1:CK60"/>
  <sheetViews>
    <sheetView zoomScale="90" workbookViewId="0">
      <pane xSplit="17" ySplit="2" topLeftCell="R3" activePane="bottomRight" state="frozen"/>
      <selection pane="topRight"/>
      <selection pane="bottomLeft"/>
      <selection pane="bottomRight" activeCell="D43" sqref="D43"/>
    </sheetView>
  </sheetViews>
  <sheetFormatPr baseColWidth="10" defaultColWidth="11.42578125" defaultRowHeight="15" x14ac:dyDescent="0.25"/>
  <cols>
    <col min="1" max="1" width="15.140625" customWidth="1"/>
    <col min="2" max="2" width="5.85546875" customWidth="1"/>
    <col min="3" max="4" width="5.42578125" customWidth="1"/>
    <col min="5" max="5" width="13" customWidth="1"/>
    <col min="6" max="6" width="7.7109375" style="58" customWidth="1"/>
    <col min="7" max="7" width="5.85546875" customWidth="1"/>
    <col min="8" max="8" width="6" customWidth="1"/>
    <col min="9" max="9" width="7.7109375" customWidth="1"/>
    <col min="10" max="15" width="6" customWidth="1"/>
    <col min="16" max="16" width="5.28515625" customWidth="1"/>
    <col min="17" max="18" width="6.140625" customWidth="1"/>
    <col min="19" max="19" width="6.85546875" customWidth="1"/>
    <col min="20" max="20" width="7.42578125" customWidth="1"/>
    <col min="21" max="21" width="7.85546875" customWidth="1"/>
    <col min="22" max="23" width="9.42578125" customWidth="1"/>
    <col min="24" max="25" width="7.85546875" customWidth="1"/>
    <col min="26" max="26" width="7.42578125" customWidth="1"/>
    <col min="27" max="27" width="10" customWidth="1"/>
    <col min="28" max="28" width="7.85546875" customWidth="1"/>
    <col min="29" max="29" width="7.42578125" customWidth="1"/>
    <col min="30" max="30" width="5.140625" customWidth="1"/>
    <col min="31" max="31" width="7.42578125" customWidth="1"/>
    <col min="32" max="32" width="7.85546875" customWidth="1"/>
    <col min="33" max="33" width="7.42578125" customWidth="1"/>
    <col min="34" max="34" width="6.42578125" customWidth="1"/>
    <col min="35" max="35" width="9.7109375" customWidth="1"/>
    <col min="36" max="36" width="7.85546875" customWidth="1"/>
    <col min="37" max="37" width="5.140625" customWidth="1"/>
    <col min="38" max="38" width="6.42578125" customWidth="1"/>
    <col min="39" max="39" width="7.42578125" customWidth="1"/>
    <col min="40" max="40" width="7.85546875" customWidth="1"/>
    <col min="41" max="41" width="7.42578125" customWidth="1"/>
    <col min="42" max="42" width="6.42578125" customWidth="1"/>
    <col min="43" max="43" width="7.42578125" customWidth="1"/>
    <col min="44" max="44" width="7.85546875" customWidth="1"/>
    <col min="45" max="46" width="7.42578125" customWidth="1"/>
    <col min="47" max="47" width="7.85546875" customWidth="1"/>
    <col min="48" max="48" width="7.42578125" customWidth="1"/>
    <col min="49" max="49" width="6.42578125" customWidth="1"/>
    <col min="50" max="50" width="7.42578125" customWidth="1"/>
    <col min="51" max="51" width="7.85546875" customWidth="1"/>
    <col min="52" max="53" width="7.42578125" customWidth="1"/>
    <col min="54" max="54" width="7.85546875" customWidth="1"/>
    <col min="55" max="55" width="6.85546875" customWidth="1"/>
    <col min="56" max="56" width="6.42578125" customWidth="1"/>
    <col min="57" max="57" width="7.42578125" customWidth="1"/>
    <col min="58" max="59" width="7.85546875" customWidth="1"/>
    <col min="60" max="60" width="6.42578125" customWidth="1"/>
    <col min="61" max="61" width="6.85546875" customWidth="1"/>
    <col min="62" max="62" width="7.42578125" customWidth="1"/>
    <col min="63" max="64" width="7.85546875" customWidth="1"/>
    <col min="65" max="65" width="6.42578125" customWidth="1"/>
    <col min="66" max="66" width="6.85546875" customWidth="1"/>
    <col min="67" max="67" width="7.42578125" customWidth="1"/>
    <col min="68" max="69" width="7.85546875" customWidth="1"/>
    <col min="70" max="70" width="6.42578125" customWidth="1"/>
    <col min="71" max="71" width="6.85546875" customWidth="1"/>
    <col min="72" max="72" width="7.42578125" customWidth="1"/>
    <col min="73" max="74" width="7.85546875" customWidth="1"/>
    <col min="75" max="75" width="6.42578125" customWidth="1"/>
    <col min="76" max="76" width="6.85546875" customWidth="1"/>
    <col min="77" max="77" width="7.42578125" customWidth="1"/>
    <col min="78" max="78" width="7.85546875" customWidth="1"/>
    <col min="79" max="79" width="6.42578125" customWidth="1"/>
    <col min="80" max="81" width="6.85546875" customWidth="1"/>
    <col min="82" max="82" width="6.42578125" customWidth="1"/>
    <col min="83" max="84" width="6.85546875" customWidth="1"/>
    <col min="85" max="86" width="6.42578125" customWidth="1"/>
    <col min="87" max="87" width="6.85546875" customWidth="1"/>
    <col min="88" max="88" width="6.42578125" customWidth="1"/>
    <col min="89" max="89" width="5.140625" customWidth="1"/>
  </cols>
  <sheetData>
    <row r="1" spans="1:89" ht="15.75" x14ac:dyDescent="0.25">
      <c r="A1" s="504" t="s">
        <v>466</v>
      </c>
      <c r="B1" s="504"/>
      <c r="C1" s="504"/>
      <c r="D1" s="504"/>
      <c r="E1" s="504"/>
      <c r="X1" t="s">
        <v>372</v>
      </c>
      <c r="AA1" t="s">
        <v>467</v>
      </c>
      <c r="AE1" t="s">
        <v>468</v>
      </c>
      <c r="AI1" t="s">
        <v>469</v>
      </c>
      <c r="AM1" t="s">
        <v>470</v>
      </c>
      <c r="AQ1" t="s">
        <v>471</v>
      </c>
      <c r="AX1" t="s">
        <v>472</v>
      </c>
      <c r="BE1" t="s">
        <v>473</v>
      </c>
      <c r="BJ1" t="s">
        <v>474</v>
      </c>
      <c r="BO1" t="s">
        <v>475</v>
      </c>
      <c r="BT1" t="s">
        <v>476</v>
      </c>
      <c r="BY1" t="s">
        <v>477</v>
      </c>
      <c r="CD1" t="s">
        <v>140</v>
      </c>
      <c r="CH1" t="s">
        <v>21</v>
      </c>
    </row>
    <row r="2" spans="1:89" x14ac:dyDescent="0.25">
      <c r="A2" s="145" t="s">
        <v>87</v>
      </c>
      <c r="B2" s="145" t="s">
        <v>353</v>
      </c>
      <c r="C2" s="145" t="s">
        <v>89</v>
      </c>
      <c r="D2" s="146" t="s">
        <v>352</v>
      </c>
      <c r="E2" s="145" t="s">
        <v>478</v>
      </c>
      <c r="F2" s="147" t="s">
        <v>479</v>
      </c>
      <c r="G2" s="147" t="s">
        <v>101</v>
      </c>
      <c r="H2" s="147" t="s">
        <v>102</v>
      </c>
      <c r="I2" s="148" t="s">
        <v>99</v>
      </c>
      <c r="J2" s="149" t="s">
        <v>480</v>
      </c>
      <c r="K2" s="149" t="s">
        <v>14</v>
      </c>
      <c r="L2" s="149" t="s">
        <v>37</v>
      </c>
      <c r="M2" s="149" t="s">
        <v>196</v>
      </c>
      <c r="N2" s="149" t="s">
        <v>30</v>
      </c>
      <c r="O2" s="149" t="s">
        <v>198</v>
      </c>
      <c r="P2" s="149" t="s">
        <v>199</v>
      </c>
      <c r="Q2" s="149" t="s">
        <v>200</v>
      </c>
      <c r="R2" s="150" t="s">
        <v>481</v>
      </c>
      <c r="S2" s="150" t="s">
        <v>117</v>
      </c>
      <c r="T2" s="150" t="s">
        <v>482</v>
      </c>
      <c r="U2" s="150" t="s">
        <v>483</v>
      </c>
      <c r="V2" s="150" t="s">
        <v>121</v>
      </c>
      <c r="W2" s="150" t="s">
        <v>122</v>
      </c>
      <c r="X2" s="151" t="s">
        <v>484</v>
      </c>
      <c r="Y2" s="151" t="s">
        <v>485</v>
      </c>
      <c r="Z2" s="151" t="s">
        <v>484</v>
      </c>
      <c r="AA2" s="152" t="s">
        <v>484</v>
      </c>
      <c r="AB2" s="152" t="s">
        <v>485</v>
      </c>
      <c r="AC2" s="152" t="s">
        <v>484</v>
      </c>
      <c r="AD2" s="152" t="s">
        <v>28</v>
      </c>
      <c r="AE2" s="152" t="s">
        <v>484</v>
      </c>
      <c r="AF2" s="152" t="s">
        <v>485</v>
      </c>
      <c r="AG2" s="152" t="s">
        <v>484</v>
      </c>
      <c r="AH2" s="152" t="s">
        <v>28</v>
      </c>
      <c r="AI2" s="151" t="s">
        <v>484</v>
      </c>
      <c r="AJ2" s="151" t="s">
        <v>485</v>
      </c>
      <c r="AK2" s="151" t="s">
        <v>28</v>
      </c>
      <c r="AL2" s="151" t="s">
        <v>486</v>
      </c>
      <c r="AM2" s="151" t="s">
        <v>484</v>
      </c>
      <c r="AN2" s="151" t="s">
        <v>485</v>
      </c>
      <c r="AO2" s="151" t="s">
        <v>28</v>
      </c>
      <c r="AP2" s="151" t="s">
        <v>486</v>
      </c>
      <c r="AQ2" s="151" t="s">
        <v>484</v>
      </c>
      <c r="AR2" s="151" t="s">
        <v>485</v>
      </c>
      <c r="AS2" s="151" t="s">
        <v>484</v>
      </c>
      <c r="AT2" s="151" t="s">
        <v>28</v>
      </c>
      <c r="AU2" s="151" t="s">
        <v>486</v>
      </c>
      <c r="AV2" s="151" t="s">
        <v>487</v>
      </c>
      <c r="AW2" s="151" t="s">
        <v>486</v>
      </c>
      <c r="AX2" s="151" t="s">
        <v>484</v>
      </c>
      <c r="AY2" s="151" t="s">
        <v>485</v>
      </c>
      <c r="AZ2" s="151" t="s">
        <v>484</v>
      </c>
      <c r="BA2" s="151" t="s">
        <v>28</v>
      </c>
      <c r="BB2" s="151" t="s">
        <v>486</v>
      </c>
      <c r="BC2" s="151" t="s">
        <v>487</v>
      </c>
      <c r="BD2" s="151" t="s">
        <v>486</v>
      </c>
      <c r="BE2" s="152" t="s">
        <v>484</v>
      </c>
      <c r="BF2" s="152" t="s">
        <v>485</v>
      </c>
      <c r="BG2" s="152" t="s">
        <v>28</v>
      </c>
      <c r="BH2" s="152" t="s">
        <v>486</v>
      </c>
      <c r="BI2" s="152" t="s">
        <v>487</v>
      </c>
      <c r="BJ2" s="152" t="s">
        <v>484</v>
      </c>
      <c r="BK2" s="152" t="s">
        <v>485</v>
      </c>
      <c r="BL2" s="152" t="s">
        <v>28</v>
      </c>
      <c r="BM2" s="152" t="s">
        <v>486</v>
      </c>
      <c r="BN2" s="152" t="s">
        <v>487</v>
      </c>
      <c r="BO2" s="151" t="s">
        <v>484</v>
      </c>
      <c r="BP2" s="151" t="s">
        <v>485</v>
      </c>
      <c r="BQ2" s="151" t="s">
        <v>28</v>
      </c>
      <c r="BR2" s="151" t="s">
        <v>486</v>
      </c>
      <c r="BS2" s="151" t="s">
        <v>487</v>
      </c>
      <c r="BT2" s="151" t="s">
        <v>484</v>
      </c>
      <c r="BU2" s="151" t="s">
        <v>485</v>
      </c>
      <c r="BV2" s="151" t="s">
        <v>28</v>
      </c>
      <c r="BW2" s="151" t="s">
        <v>486</v>
      </c>
      <c r="BX2" s="151" t="s">
        <v>487</v>
      </c>
      <c r="BY2" s="151" t="s">
        <v>484</v>
      </c>
      <c r="BZ2" s="151" t="s">
        <v>485</v>
      </c>
      <c r="CA2" s="151" t="s">
        <v>28</v>
      </c>
      <c r="CB2" s="151" t="s">
        <v>486</v>
      </c>
      <c r="CC2" s="151" t="s">
        <v>487</v>
      </c>
      <c r="CD2" s="152" t="s">
        <v>28</v>
      </c>
      <c r="CE2" s="152" t="s">
        <v>486</v>
      </c>
      <c r="CF2" s="152" t="s">
        <v>487</v>
      </c>
      <c r="CG2" s="152" t="s">
        <v>486</v>
      </c>
      <c r="CH2" s="151" t="s">
        <v>486</v>
      </c>
      <c r="CI2" s="151" t="s">
        <v>487</v>
      </c>
      <c r="CJ2" s="151" t="s">
        <v>486</v>
      </c>
      <c r="CK2" s="151" t="s">
        <v>28</v>
      </c>
    </row>
    <row r="3" spans="1:89" x14ac:dyDescent="0.25">
      <c r="A3" t="str">
        <f>Plantilla!D4</f>
        <v>D. Gehmacher</v>
      </c>
      <c r="B3" s="58">
        <f>Plantilla!E4</f>
        <v>38</v>
      </c>
      <c r="C3" s="98">
        <f ca="1">Plantilla!F4</f>
        <v>65</v>
      </c>
      <c r="D3" s="58">
        <f>Plantilla!G4</f>
        <v>0</v>
      </c>
      <c r="E3" s="207">
        <f>Plantilla!O4</f>
        <v>42468</v>
      </c>
      <c r="F3" s="98">
        <f>Plantilla!Q4</f>
        <v>7</v>
      </c>
      <c r="G3" s="118">
        <f t="shared" ref="G3:G23" si="0">(F3/7)^0.5</f>
        <v>1</v>
      </c>
      <c r="H3" s="118">
        <f t="shared" ref="H3:H23" si="1">IF(F3=7,1,((F3+0.99)/7)^0.5)</f>
        <v>1</v>
      </c>
      <c r="I3" s="153">
        <f ca="1">Plantilla!P4</f>
        <v>1</v>
      </c>
      <c r="J3" s="154">
        <f>Plantilla!I4</f>
        <v>25.5</v>
      </c>
      <c r="K3" s="49">
        <f>Plantilla!X4</f>
        <v>14.95</v>
      </c>
      <c r="L3" s="49">
        <f>Plantilla!Y4</f>
        <v>8.9499999999999993</v>
      </c>
      <c r="M3" s="49">
        <f>Plantilla!Z4</f>
        <v>0.95</v>
      </c>
      <c r="N3" s="49">
        <f>Plantilla!AA4</f>
        <v>0</v>
      </c>
      <c r="O3" s="49">
        <f>Plantilla!AB4</f>
        <v>0</v>
      </c>
      <c r="P3" s="49">
        <f>Plantilla!AC4</f>
        <v>0</v>
      </c>
      <c r="Q3" s="49">
        <f>Plantilla!AD4</f>
        <v>17.95</v>
      </c>
      <c r="R3" s="154">
        <f t="shared" ref="R3:R23" si="2">((2*(O3+1))+(L3+1))/8</f>
        <v>1.4937499999999999</v>
      </c>
      <c r="S3" s="154">
        <f t="shared" ref="S3:S23" ca="1" si="3">1.66*(P3+(LOG(J3)*4/3)+I3)+0.55*(Q3+(LOG(J3)*4/3)+I3)-7.6</f>
        <v>8.6271050650120547</v>
      </c>
      <c r="T3" s="49">
        <f t="shared" ref="T3:T23" si="4">(0.5*P3+0.3*Q3)/10</f>
        <v>0.53849999999999998</v>
      </c>
      <c r="U3" s="49">
        <f t="shared" ref="U3:U23" si="5">(0.4*L3+0.3*Q3)/10</f>
        <v>0.89649999999999996</v>
      </c>
      <c r="V3" s="154">
        <f t="shared" ref="V3:V23" ca="1" si="6">IF(TODAY()-E3&gt;335,(Q3+1+(LOG(J3)*4/3))*(F3/7)^0.5,(Q3+((TODAY()-E3)^0.5)/(336^0.5)+(LOG(J3)*4/3))*(F3/7)^0.5)</f>
        <v>20.825386907245274</v>
      </c>
      <c r="W3" s="154">
        <f t="shared" ref="W3:W23" ca="1" si="7">IF(F3=7,V3,IF(TODAY()-E3&gt;335,(Q3+1+(LOG(J3)*4/3))*((F3+0.99)/7)^0.5,(Q3+((TODAY()-E3)^0.5)/(336^0.5)+(LOG(J3)*4/3))*((F3+0.99)/7)^0.5))</f>
        <v>20.825386907245274</v>
      </c>
      <c r="X3" s="72">
        <f t="shared" ref="X3:X23" ca="1" si="8">((K3+I3+(LOG(J3)*4/3))*0.597)+((L3+I3+(LOG(J3)*4/3))*0.276)</f>
        <v>13.905562770025124</v>
      </c>
      <c r="Y3" s="72">
        <f t="shared" ref="Y3:Y23" ca="1" si="9">((K3+I3+(LOG(J3)*4/3))*0.866)+((L3+I3+(LOG(J3)*4/3))*0.425)</f>
        <v>20.462574497253648</v>
      </c>
      <c r="Z3" s="72">
        <f t="shared" ref="Z3:Z23" ca="1" si="10">X3</f>
        <v>13.905562770025124</v>
      </c>
      <c r="AA3" s="72">
        <f t="shared" ref="AA3:AA23" ca="1" si="11">((L3+I3+(LOG(J3)*4/3))*0.516)</f>
        <v>6.1018996441385607</v>
      </c>
      <c r="AB3" s="72">
        <f t="shared" ref="AB3:AB23" ca="1" si="12">(L3+I3+(LOG(J3)*4/3))*1</f>
        <v>11.825386907245273</v>
      </c>
      <c r="AC3" s="72">
        <f t="shared" ref="AC3:AC23" ca="1" si="13">AA3/2</f>
        <v>3.0509498220692803</v>
      </c>
      <c r="AD3" s="72">
        <f t="shared" ref="AD3:AD23" ca="1" si="14">(M3+I3+(LOG(J3)*4/3))*0.238</f>
        <v>0.91044208392437509</v>
      </c>
      <c r="AE3" s="72">
        <f t="shared" ref="AE3:AE23" ca="1" si="15">((L3+I3+(LOG(J3)*4/3))*0.378)</f>
        <v>4.4699962509387134</v>
      </c>
      <c r="AF3" s="72">
        <f t="shared" ref="AF3:AF23" ca="1" si="16">(L3+I3+(LOG(J3)*4/3))*0.723</f>
        <v>8.5497547339383324</v>
      </c>
      <c r="AG3" s="72">
        <f t="shared" ref="AG3:AG23" ca="1" si="17">AE3/2</f>
        <v>2.2349981254693567</v>
      </c>
      <c r="AH3" s="72">
        <f t="shared" ref="AH3:AH23" ca="1" si="18">(M3+I3+(LOG(J3)*4/3))*0.385</f>
        <v>1.4727739592894304</v>
      </c>
      <c r="AI3" s="72">
        <f t="shared" ref="AI3:AI23" ca="1" si="19">((L3+I3+(LOG(J3)*4/3))*0.92)</f>
        <v>10.879355954665652</v>
      </c>
      <c r="AJ3" s="72">
        <f t="shared" ref="AJ3:AJ23" ca="1" si="20">(L3+I3+(LOG(J3)*4/3))*0.414</f>
        <v>4.8957101795995426</v>
      </c>
      <c r="AK3" s="72">
        <f t="shared" ref="AK3:AK23" ca="1" si="21">((M3+I3+(LOG(J3)*4/3))*0.167)</f>
        <v>0.63883961350996077</v>
      </c>
      <c r="AL3" s="72">
        <f t="shared" ref="AL3:AL23" ca="1" si="22">(N3+I3+(LOG(J3)*4/3))*0.588</f>
        <v>1.6907275014602205</v>
      </c>
      <c r="AM3" s="72">
        <f t="shared" ref="AM3:AM23" ca="1" si="23">((L3+I3+(LOG(J3)*4/3))*0.754)</f>
        <v>8.9163417280629353</v>
      </c>
      <c r="AN3" s="72">
        <f t="shared" ref="AN3:AN23" ca="1" si="24">((L3+I3+(LOG(J3)*4/3))*0.708)</f>
        <v>8.3723739303296529</v>
      </c>
      <c r="AO3" s="72">
        <f t="shared" ref="AO3:AO23" ca="1" si="25">((Q3+I3+(LOG(J3)*4/3))*0.167)</f>
        <v>3.477839613509961</v>
      </c>
      <c r="AP3" s="72">
        <f t="shared" ref="AP3:AP23" ca="1" si="26">((R3+I3+(LOG(J3)*4/3))*0.288)</f>
        <v>1.2583114292866386</v>
      </c>
      <c r="AQ3" s="72">
        <f t="shared" ref="AQ3:AQ23" ca="1" si="27">((L3+I3+(LOG(J3)*4/3))*0.27)</f>
        <v>3.1928544649562238</v>
      </c>
      <c r="AR3" s="72">
        <f t="shared" ref="AR3:AR23" ca="1" si="28">((L3+I3+(LOG(J3)*4/3))*0.594)</f>
        <v>7.0242798229036918</v>
      </c>
      <c r="AS3" s="72">
        <f t="shared" ref="AS3:AS23" ca="1" si="29">AQ3/2</f>
        <v>1.5964272324781119</v>
      </c>
      <c r="AT3" s="72">
        <f t="shared" ref="AT3:AT23" ca="1" si="30">((M3+I3+(LOG(J3)*4/3))*0.944)</f>
        <v>3.6111652404395382</v>
      </c>
      <c r="AU3" s="72">
        <f t="shared" ref="AU3:AU23" ca="1" si="31">((O3+I3+(LOG(J3)*4/3))*0.13)</f>
        <v>0.37380029794188557</v>
      </c>
      <c r="AV3" s="72">
        <f t="shared" ref="AV3:AV23" ca="1" si="32">((P3+I3+(LOG(J3)*4/3))*0.173)+((O3+I3+(LOG(J3)*4/3))*0.12)</f>
        <v>0.84248836382286507</v>
      </c>
      <c r="AW3" s="72">
        <f t="shared" ref="AW3:AW23" ca="1" si="33">AU3/2</f>
        <v>0.18690014897094279</v>
      </c>
      <c r="AX3" s="72">
        <f t="shared" ref="AX3:AX23" ca="1" si="34">((L3+I3+(LOG(J3)*4/3))*0.189)</f>
        <v>2.2349981254693567</v>
      </c>
      <c r="AY3" s="72">
        <f t="shared" ref="AY3:AY23" ca="1" si="35">((L3+I3+(LOG(J3)*4/3))*0.4)</f>
        <v>4.7301547628981089</v>
      </c>
      <c r="AZ3" s="72">
        <f t="shared" ref="AZ3:AZ23" ca="1" si="36">AX3/2</f>
        <v>1.1174990627346784</v>
      </c>
      <c r="BA3" s="72">
        <f t="shared" ref="BA3:BA23" ca="1" si="37">((M3+I3+(LOG(J3)*4/3))*1)</f>
        <v>3.8253869072452735</v>
      </c>
      <c r="BB3" s="72">
        <f t="shared" ref="BB3:BB23" ca="1" si="38">((O3+I3+(LOG(J3)*4/3))*0.253)</f>
        <v>0.72747288753305417</v>
      </c>
      <c r="BC3" s="72">
        <f t="shared" ref="BC3:BC23" ca="1" si="39">((P3+I3+(LOG(J3)*4/3))*0.21)+((O3+I3+(LOG(J3)*4/3))*0.341)</f>
        <v>1.5843381858921457</v>
      </c>
      <c r="BD3" s="72">
        <f t="shared" ref="BD3:BD23" ca="1" si="40">BB3/2</f>
        <v>0.36373644376652708</v>
      </c>
      <c r="BE3" s="72">
        <f t="shared" ref="BE3:BE23" ca="1" si="41">((L3+I3+(LOG(J3)*4/3))*0.291)</f>
        <v>3.4411875900083739</v>
      </c>
      <c r="BF3" s="72">
        <f t="shared" ref="BF3:BF23" ca="1" si="42">((L3+I3+(LOG(J3)*4/3))*0.348)</f>
        <v>4.1152346437213545</v>
      </c>
      <c r="BG3" s="72">
        <f t="shared" ref="BG3:BG23" ca="1" si="43">((M3+I3+(LOG(J3)*4/3))*0.881)</f>
        <v>3.3701658652830861</v>
      </c>
      <c r="BH3" s="72">
        <f t="shared" ref="BH3:BH23" ca="1" si="44">((N3+I3+(LOG(J3)*4/3))*0.574)+((O3+I3+(LOG(J3)*4/3))*0.315)</f>
        <v>2.5562189605410479</v>
      </c>
      <c r="BI3" s="72">
        <f t="shared" ref="BI3:BI23" ca="1" si="45">((O3+I3+(LOG(J3)*4/3))*0.241)</f>
        <v>0.69296824464611084</v>
      </c>
      <c r="BJ3" s="72">
        <f t="shared" ref="BJ3:BJ23" ca="1" si="46">((L3+I3+(LOG(J3)*4/3))*0.485)</f>
        <v>5.7353126500139568</v>
      </c>
      <c r="BK3" s="72">
        <f t="shared" ref="BK3:BK23" ca="1" si="47">((L3+I3+(LOG(J3)*4/3))*0.264)</f>
        <v>3.1219021435127523</v>
      </c>
      <c r="BL3" s="72">
        <f t="shared" ref="BL3:BL23" ca="1" si="48">((M3+I3+(LOG(J3)*4/3))*0.381)</f>
        <v>1.4574724116604492</v>
      </c>
      <c r="BM3" s="72">
        <f t="shared" ref="BM3:BM23" ca="1" si="49">((N3+I3+(LOG(J3)*4/3))*0.673)+((O3+I3+(LOG(J3)*4/3))*0.201)</f>
        <v>2.5130881569323691</v>
      </c>
      <c r="BN3" s="72">
        <f t="shared" ref="BN3:BN23" ca="1" si="50">((O3+I3+(LOG(J3)*4/3))*0.052)</f>
        <v>0.1495201191767542</v>
      </c>
      <c r="BO3" s="72">
        <f t="shared" ref="BO3:BO23" ca="1" si="51">((L3+I3+(LOG(J3)*4/3))*0.18)</f>
        <v>2.1285696433041492</v>
      </c>
      <c r="BP3" s="72">
        <f t="shared" ref="BP3:BP23" ca="1" si="52">(L3+I3+(LOG(J3)*4/3))*0.068</f>
        <v>0.80412630969267862</v>
      </c>
      <c r="BQ3" s="72">
        <f t="shared" ref="BQ3:BQ23" ca="1" si="53">((M3+I3+(LOG(J3)*4/3))*0.305)</f>
        <v>1.1667430067098084</v>
      </c>
      <c r="BR3" s="72">
        <f t="shared" ref="BR3:BR23" ca="1" si="54">((N3+I3+(LOG(J3)*4/3))*1)+((O3+I3+(LOG(J3)*4/3))*0.286)</f>
        <v>3.6977475627174217</v>
      </c>
      <c r="BS3" s="72">
        <f t="shared" ref="BS3:BS23" ca="1" si="55">((O3+I3+(LOG(J3)*4/3))*0.135)</f>
        <v>0.38817723247811192</v>
      </c>
      <c r="BT3" s="72">
        <f t="shared" ref="BT3:BT23" ca="1" si="56">((L3+I3+(LOG(J3)*4/3))*0.284)</f>
        <v>3.3584098816576571</v>
      </c>
      <c r="BU3" s="72">
        <f t="shared" ref="BU3:BU23" ca="1" si="57">(L3+I3+(LOG(J3)*4/3))*0.244</f>
        <v>2.8853944053678466</v>
      </c>
      <c r="BV3" s="72">
        <f t="shared" ref="BV3:BV23" ca="1" si="58">((M3+I3+(LOG(J3)*4/3))*0.455)</f>
        <v>1.7405510427965996</v>
      </c>
      <c r="BW3" s="72">
        <f t="shared" ref="BW3:BW23" ca="1" si="59">((N3+I3+(LOG(J3)*4/3))*0.864)+((O3+I3+(LOG(J3)*4/3))*0.244)</f>
        <v>3.1859286932277628</v>
      </c>
      <c r="BX3" s="72">
        <f t="shared" ref="BX3:BX23" ca="1" si="60">((O3+I3+(LOG(J3)*4/3))*0.121)</f>
        <v>0.34792181577667808</v>
      </c>
      <c r="BY3" s="72">
        <f t="shared" ref="BY3:BY23" ca="1" si="61">((L3+I3+(LOG(J3)*4/3))*0.284)</f>
        <v>3.3584098816576571</v>
      </c>
      <c r="BZ3" s="72">
        <f t="shared" ref="BZ3:BZ23" ca="1" si="62">((L3+I3+(LOG(J3)*4/3))*0.244)</f>
        <v>2.8853944053678466</v>
      </c>
      <c r="CA3" s="72">
        <f t="shared" ref="CA3:CA23" ca="1" si="63">((M3+I3+(LOG(J3)*4/3))*0.631)</f>
        <v>2.4138191384717675</v>
      </c>
      <c r="CB3" s="72">
        <f t="shared" ref="CB3:CB23" ca="1" si="64">((N3+I3+(LOG(J3)*4/3))*0.702)+((O3+I3+(LOG(J3)*4/3))*0.193)</f>
        <v>2.5734712819845194</v>
      </c>
      <c r="CC3" s="72">
        <f t="shared" ref="CC3:CC23" ca="1" si="65">((O3+I3+(LOG(J3)*4/3))*0.148)</f>
        <v>0.42555726227230045</v>
      </c>
      <c r="CD3" s="72">
        <f t="shared" ref="CD3:CD23" ca="1" si="66">((M3+I3+(LOG(J3)*4/3))*0.406)</f>
        <v>1.5531070843415811</v>
      </c>
      <c r="CE3" s="72">
        <f t="shared" ref="CE3:CE23" ca="1" si="67">IF(D3="TEC",((N3+I3+(LOG(J3)*4/3))*0.15)+((O3+I3+(LOG(J3)*4/3))*0.324)+((P3+I3+(LOG(J3)*4/3))*0.127),(((N3+I3+(LOG(J3)*4/3))*0.144)+((O3+I3+(LOG(J3)*4/3))*0.25)+((P3+I3+(LOG(J3)*4/3))*0.127)))</f>
        <v>1.4980765786747874</v>
      </c>
      <c r="CF3" s="72">
        <f t="shared" ref="CF3:CF23" ca="1" si="68">((O3+I3+(LOG(J3)*4/3))*0.543)+((P3+I3+(LOG(J3)*4/3))*0.583)</f>
        <v>3.2376856575581776</v>
      </c>
      <c r="CG3" s="72">
        <f t="shared" ref="CG3:CG23" ca="1" si="69">CE3</f>
        <v>1.4980765786747874</v>
      </c>
      <c r="CH3" s="72">
        <f t="shared" ref="CH3:CH23" ca="1" si="70">((P3+1+(LOG(J3)*4/3))*0.26)+((N3+I3+(LOG(J3)*4/3))*0.221)+((O3+I3+(LOG(J3)*4/3))*0.142)</f>
        <v>1.7913660432138054</v>
      </c>
      <c r="CI3" s="72">
        <f t="shared" ref="CI3:CI23" ca="1" si="71">((P3+I3+(LOG(J3)*4/3))*1)+((O3+I3+(LOG(J3)*4/3))*0.369)</f>
        <v>3.9364046760187792</v>
      </c>
      <c r="CJ3" s="72">
        <f t="shared" ref="CJ3:CJ23" ca="1" si="72">CH3</f>
        <v>1.7913660432138054</v>
      </c>
      <c r="CK3" s="72">
        <f t="shared" ref="CK3:CK23" ca="1" si="73">((M3+I3+(LOG(J3)*4/3))*0.25)</f>
        <v>0.95634672681131838</v>
      </c>
    </row>
    <row r="4" spans="1:89" x14ac:dyDescent="0.25">
      <c r="A4" t="str">
        <f>Plantilla!D5</f>
        <v>林 (Lin) 光维 (Guangwei)</v>
      </c>
      <c r="B4" s="58">
        <f>Plantilla!E5</f>
        <v>22</v>
      </c>
      <c r="C4" s="98">
        <f ca="1">Plantilla!F5</f>
        <v>104</v>
      </c>
      <c r="D4" s="58" t="str">
        <f>Plantilla!G5</f>
        <v>IMP</v>
      </c>
      <c r="E4" s="207">
        <f>Plantilla!O5</f>
        <v>43878</v>
      </c>
      <c r="F4" s="98">
        <f>Plantilla!Q5</f>
        <v>6</v>
      </c>
      <c r="G4" s="118">
        <f t="shared" si="0"/>
        <v>0.92582009977255142</v>
      </c>
      <c r="H4" s="118">
        <f t="shared" si="1"/>
        <v>0.99928545900129484</v>
      </c>
      <c r="I4" s="153">
        <f ca="1">Plantilla!P5</f>
        <v>0.62446977532493753</v>
      </c>
      <c r="J4" s="154">
        <f>Plantilla!I5</f>
        <v>3.5</v>
      </c>
      <c r="K4" s="49">
        <f>Plantilla!X5</f>
        <v>15</v>
      </c>
      <c r="L4" s="49">
        <f>Plantilla!Y5</f>
        <v>5</v>
      </c>
      <c r="M4" s="49">
        <f>Plantilla!Z5</f>
        <v>2</v>
      </c>
      <c r="N4" s="49">
        <f>Plantilla!AA5</f>
        <v>1</v>
      </c>
      <c r="O4" s="49">
        <f>Plantilla!AB5</f>
        <v>5</v>
      </c>
      <c r="P4" s="49">
        <f>Plantilla!AC5</f>
        <v>3</v>
      </c>
      <c r="Q4" s="49">
        <f>Plantilla!AD5</f>
        <v>19.25</v>
      </c>
      <c r="R4" s="154">
        <f t="shared" si="2"/>
        <v>2.25</v>
      </c>
      <c r="S4" s="154">
        <f t="shared" ca="1" si="3"/>
        <v>10.950765374153592</v>
      </c>
      <c r="T4" s="49">
        <f t="shared" si="4"/>
        <v>0.72749999999999992</v>
      </c>
      <c r="U4" s="49">
        <f t="shared" si="5"/>
        <v>0.77749999999999997</v>
      </c>
      <c r="V4" s="154">
        <f t="shared" ca="1" si="6"/>
        <v>19.134519039887845</v>
      </c>
      <c r="W4" s="154">
        <f t="shared" ca="1" si="7"/>
        <v>20.652874836310861</v>
      </c>
      <c r="X4" s="72">
        <f t="shared" ca="1" si="8"/>
        <v>11.513457317482393</v>
      </c>
      <c r="Y4" s="72">
        <f t="shared" ca="1" si="9"/>
        <v>16.857712940286106</v>
      </c>
      <c r="Z4" s="72">
        <f t="shared" ca="1" si="10"/>
        <v>11.513457317482393</v>
      </c>
      <c r="AA4" s="72">
        <f t="shared" ca="1" si="11"/>
        <v>3.2765452185806576</v>
      </c>
      <c r="AB4" s="72">
        <f t="shared" ca="1" si="12"/>
        <v>6.3498938344586389</v>
      </c>
      <c r="AC4" s="72">
        <f t="shared" ca="1" si="13"/>
        <v>1.6382726092903288</v>
      </c>
      <c r="AD4" s="72">
        <f t="shared" ca="1" si="14"/>
        <v>0.79727473260115589</v>
      </c>
      <c r="AE4" s="72">
        <f t="shared" ca="1" si="15"/>
        <v>2.4002598694253656</v>
      </c>
      <c r="AF4" s="72">
        <f t="shared" ca="1" si="16"/>
        <v>4.5909732423135958</v>
      </c>
      <c r="AG4" s="72">
        <f t="shared" ca="1" si="17"/>
        <v>1.2001299347126828</v>
      </c>
      <c r="AH4" s="72">
        <f t="shared" ca="1" si="18"/>
        <v>1.2897091262665759</v>
      </c>
      <c r="AI4" s="72">
        <f t="shared" ca="1" si="19"/>
        <v>5.8419023277019484</v>
      </c>
      <c r="AJ4" s="72">
        <f t="shared" ca="1" si="20"/>
        <v>2.6288560474658764</v>
      </c>
      <c r="AK4" s="72">
        <f t="shared" ca="1" si="21"/>
        <v>0.55943227035459264</v>
      </c>
      <c r="AL4" s="72">
        <f t="shared" ca="1" si="22"/>
        <v>1.3817375746616793</v>
      </c>
      <c r="AM4" s="72">
        <f t="shared" ca="1" si="23"/>
        <v>4.787819951181814</v>
      </c>
      <c r="AN4" s="72">
        <f t="shared" ca="1" si="24"/>
        <v>4.4957248347967163</v>
      </c>
      <c r="AO4" s="72">
        <f t="shared" ca="1" si="25"/>
        <v>3.4401822703545926</v>
      </c>
      <c r="AP4" s="72">
        <f t="shared" ca="1" si="26"/>
        <v>1.0367694243240877</v>
      </c>
      <c r="AQ4" s="72">
        <f t="shared" ca="1" si="27"/>
        <v>1.7144713353038326</v>
      </c>
      <c r="AR4" s="72">
        <f t="shared" ca="1" si="28"/>
        <v>3.7718369376684313</v>
      </c>
      <c r="AS4" s="72">
        <f t="shared" ca="1" si="29"/>
        <v>0.85723566765191628</v>
      </c>
      <c r="AT4" s="72">
        <f t="shared" ca="1" si="30"/>
        <v>3.1622997797289547</v>
      </c>
      <c r="AU4" s="72">
        <f t="shared" ca="1" si="31"/>
        <v>0.82548619847962312</v>
      </c>
      <c r="AV4" s="72">
        <f t="shared" ca="1" si="32"/>
        <v>1.5145188934963811</v>
      </c>
      <c r="AW4" s="72">
        <f t="shared" ca="1" si="33"/>
        <v>0.41274309923981156</v>
      </c>
      <c r="AX4" s="72">
        <f t="shared" ca="1" si="34"/>
        <v>1.2001299347126828</v>
      </c>
      <c r="AY4" s="72">
        <f t="shared" ca="1" si="35"/>
        <v>2.5399575337834559</v>
      </c>
      <c r="AZ4" s="72">
        <f t="shared" ca="1" si="36"/>
        <v>0.60006496735634141</v>
      </c>
      <c r="BA4" s="72">
        <f t="shared" ca="1" si="37"/>
        <v>3.3498938344586384</v>
      </c>
      <c r="BB4" s="72">
        <f t="shared" ca="1" si="38"/>
        <v>1.6065231401180355</v>
      </c>
      <c r="BC4" s="72">
        <f t="shared" ca="1" si="39"/>
        <v>3.0787915027867103</v>
      </c>
      <c r="BD4" s="72">
        <f t="shared" ca="1" si="40"/>
        <v>0.80326157005901777</v>
      </c>
      <c r="BE4" s="72">
        <f t="shared" ca="1" si="41"/>
        <v>1.8478191058274638</v>
      </c>
      <c r="BF4" s="72">
        <f t="shared" ca="1" si="42"/>
        <v>2.209763054391606</v>
      </c>
      <c r="BG4" s="72">
        <f t="shared" ca="1" si="43"/>
        <v>2.9512564681580606</v>
      </c>
      <c r="BH4" s="72">
        <f t="shared" ca="1" si="44"/>
        <v>3.3490556188337295</v>
      </c>
      <c r="BI4" s="72">
        <f t="shared" ca="1" si="45"/>
        <v>1.530324414104532</v>
      </c>
      <c r="BJ4" s="72">
        <f t="shared" ca="1" si="46"/>
        <v>3.0796985097124399</v>
      </c>
      <c r="BK4" s="72">
        <f t="shared" ca="1" si="47"/>
        <v>1.6763719722970807</v>
      </c>
      <c r="BL4" s="72">
        <f t="shared" ca="1" si="48"/>
        <v>1.2763095509287412</v>
      </c>
      <c r="BM4" s="72">
        <f t="shared" ca="1" si="49"/>
        <v>2.8578072113168504</v>
      </c>
      <c r="BN4" s="72">
        <f t="shared" ca="1" si="50"/>
        <v>0.3301944793918492</v>
      </c>
      <c r="BO4" s="72">
        <f t="shared" ca="1" si="51"/>
        <v>1.1429808902025549</v>
      </c>
      <c r="BP4" s="72">
        <f t="shared" ca="1" si="52"/>
        <v>0.4317927807431875</v>
      </c>
      <c r="BQ4" s="72">
        <f t="shared" ca="1" si="53"/>
        <v>1.0217176195098847</v>
      </c>
      <c r="BR4" s="72">
        <f t="shared" ca="1" si="54"/>
        <v>4.1659634711138089</v>
      </c>
      <c r="BS4" s="72">
        <f t="shared" ca="1" si="55"/>
        <v>0.85723566765191628</v>
      </c>
      <c r="BT4" s="72">
        <f t="shared" ca="1" si="56"/>
        <v>1.8033698489862533</v>
      </c>
      <c r="BU4" s="72">
        <f t="shared" ca="1" si="57"/>
        <v>1.5493740956079078</v>
      </c>
      <c r="BV4" s="72">
        <f t="shared" ca="1" si="58"/>
        <v>1.5242016946786805</v>
      </c>
      <c r="BW4" s="72">
        <f t="shared" ca="1" si="59"/>
        <v>3.5796823685801717</v>
      </c>
      <c r="BX4" s="72">
        <f t="shared" ca="1" si="60"/>
        <v>0.76833715396949531</v>
      </c>
      <c r="BY4" s="72">
        <f t="shared" ca="1" si="61"/>
        <v>1.8033698489862533</v>
      </c>
      <c r="BZ4" s="72">
        <f t="shared" ca="1" si="62"/>
        <v>1.5493740956079078</v>
      </c>
      <c r="CA4" s="72">
        <f t="shared" ca="1" si="63"/>
        <v>2.1137830095434009</v>
      </c>
      <c r="CB4" s="72">
        <f t="shared" ca="1" si="64"/>
        <v>2.8751549818404811</v>
      </c>
      <c r="CC4" s="72">
        <f t="shared" ca="1" si="65"/>
        <v>0.93978428749987852</v>
      </c>
      <c r="CD4" s="72">
        <f t="shared" ca="1" si="66"/>
        <v>1.3600568967902074</v>
      </c>
      <c r="CE4" s="72">
        <f t="shared" ca="1" si="67"/>
        <v>2.478294687752951</v>
      </c>
      <c r="CF4" s="72">
        <f t="shared" ca="1" si="68"/>
        <v>5.9839804576004276</v>
      </c>
      <c r="CG4" s="72">
        <f t="shared" ca="1" si="69"/>
        <v>2.478294687752951</v>
      </c>
      <c r="CH4" s="72">
        <f t="shared" ca="1" si="70"/>
        <v>2.6496217172832477</v>
      </c>
      <c r="CI4" s="72">
        <f t="shared" ca="1" si="71"/>
        <v>6.6930046593738766</v>
      </c>
      <c r="CJ4" s="72">
        <f t="shared" ca="1" si="72"/>
        <v>2.6496217172832477</v>
      </c>
      <c r="CK4" s="72">
        <f t="shared" ca="1" si="73"/>
        <v>0.8374734586146596</v>
      </c>
    </row>
    <row r="5" spans="1:89" x14ac:dyDescent="0.25">
      <c r="A5" t="str">
        <f>Plantilla!D6</f>
        <v>E. Toney</v>
      </c>
      <c r="B5" s="58">
        <f>Plantilla!E6</f>
        <v>39</v>
      </c>
      <c r="C5" s="98">
        <f ca="1">Plantilla!F6</f>
        <v>76</v>
      </c>
      <c r="D5" s="58">
        <f>Plantilla!G6</f>
        <v>0</v>
      </c>
      <c r="E5" s="207" t="str">
        <f>Plantilla!O6</f>
        <v>Cantera</v>
      </c>
      <c r="F5" s="98">
        <f>Plantilla!Q6</f>
        <v>2</v>
      </c>
      <c r="G5" s="118">
        <f t="shared" si="0"/>
        <v>0.53452248382484879</v>
      </c>
      <c r="H5" s="118">
        <f t="shared" si="1"/>
        <v>0.65356167049702141</v>
      </c>
      <c r="I5" s="153">
        <f>Plantilla!P6</f>
        <v>1.5</v>
      </c>
      <c r="J5" s="154">
        <f>Plantilla!I6</f>
        <v>19.100000000000001</v>
      </c>
      <c r="K5" s="49">
        <f>Plantilla!X6</f>
        <v>0</v>
      </c>
      <c r="L5" s="49">
        <f>Plantilla!Y6</f>
        <v>8.9499999999999975</v>
      </c>
      <c r="M5" s="49">
        <f>Plantilla!Z6</f>
        <v>7.95</v>
      </c>
      <c r="N5" s="49">
        <f>Plantilla!AA6</f>
        <v>4.95</v>
      </c>
      <c r="O5" s="49">
        <f>Plantilla!AB6</f>
        <v>3.95</v>
      </c>
      <c r="P5" s="49">
        <f>Plantilla!AC6</f>
        <v>0</v>
      </c>
      <c r="Q5" s="49">
        <f>Plantilla!AD6</f>
        <v>15</v>
      </c>
      <c r="R5" s="154">
        <f t="shared" si="2"/>
        <v>2.4812499999999997</v>
      </c>
      <c r="S5" s="154">
        <f t="shared" si="3"/>
        <v>7.7397783221566367</v>
      </c>
      <c r="T5" s="49">
        <f t="shared" si="4"/>
        <v>0.45</v>
      </c>
      <c r="U5" s="49">
        <f t="shared" si="5"/>
        <v>0.80799999999999983</v>
      </c>
      <c r="V5" s="154" t="e">
        <f t="shared" ca="1" si="6"/>
        <v>#VALUE!</v>
      </c>
      <c r="W5" s="154" t="e">
        <f t="shared" ca="1" si="7"/>
        <v>#VALUE!</v>
      </c>
      <c r="X5" s="72">
        <f t="shared" si="8"/>
        <v>5.2708228394763541</v>
      </c>
      <c r="Y5" s="72">
        <f t="shared" si="9"/>
        <v>7.9453354361557542</v>
      </c>
      <c r="Z5" s="72">
        <f t="shared" si="10"/>
        <v>5.2708228394763541</v>
      </c>
      <c r="AA5" s="72">
        <f t="shared" si="11"/>
        <v>6.2735509566664351</v>
      </c>
      <c r="AB5" s="72">
        <f t="shared" si="12"/>
        <v>12.158044489663634</v>
      </c>
      <c r="AC5" s="72">
        <f t="shared" si="13"/>
        <v>3.1367754783332176</v>
      </c>
      <c r="AD5" s="72">
        <f t="shared" si="14"/>
        <v>2.6556145885399451</v>
      </c>
      <c r="AE5" s="72">
        <f t="shared" si="15"/>
        <v>4.595740817092854</v>
      </c>
      <c r="AF5" s="72">
        <f t="shared" si="16"/>
        <v>8.7902661660268073</v>
      </c>
      <c r="AG5" s="72">
        <f t="shared" si="17"/>
        <v>2.297870408546427</v>
      </c>
      <c r="AH5" s="72">
        <f t="shared" si="18"/>
        <v>4.2958471285205002</v>
      </c>
      <c r="AI5" s="72">
        <f t="shared" si="19"/>
        <v>11.185400930490545</v>
      </c>
      <c r="AJ5" s="72">
        <f t="shared" si="20"/>
        <v>5.0334304187207444</v>
      </c>
      <c r="AK5" s="72">
        <f t="shared" si="21"/>
        <v>1.8633934297738273</v>
      </c>
      <c r="AL5" s="72">
        <f t="shared" si="22"/>
        <v>4.7969301599222192</v>
      </c>
      <c r="AM5" s="72">
        <f t="shared" si="23"/>
        <v>9.1671655452063803</v>
      </c>
      <c r="AN5" s="72">
        <f t="shared" si="24"/>
        <v>8.6078954986818523</v>
      </c>
      <c r="AO5" s="72">
        <f t="shared" si="25"/>
        <v>3.0407434297738272</v>
      </c>
      <c r="AP5" s="72">
        <f t="shared" si="26"/>
        <v>1.6385168130231271</v>
      </c>
      <c r="AQ5" s="72">
        <f t="shared" si="27"/>
        <v>3.2826720122091815</v>
      </c>
      <c r="AR5" s="72">
        <f t="shared" si="28"/>
        <v>7.2218784268601981</v>
      </c>
      <c r="AS5" s="72">
        <f t="shared" si="29"/>
        <v>1.6413360061045907</v>
      </c>
      <c r="AT5" s="72">
        <f t="shared" si="30"/>
        <v>10.533193998242472</v>
      </c>
      <c r="AU5" s="72">
        <f t="shared" si="31"/>
        <v>0.93054578365627283</v>
      </c>
      <c r="AV5" s="72">
        <f t="shared" si="32"/>
        <v>1.4139570354714457</v>
      </c>
      <c r="AW5" s="72">
        <f t="shared" si="33"/>
        <v>0.46527289182813641</v>
      </c>
      <c r="AX5" s="72">
        <f t="shared" si="34"/>
        <v>2.297870408546427</v>
      </c>
      <c r="AY5" s="72">
        <f t="shared" si="35"/>
        <v>4.8632177958654541</v>
      </c>
      <c r="AZ5" s="72">
        <f t="shared" si="36"/>
        <v>1.1489352042732135</v>
      </c>
      <c r="BA5" s="72">
        <f t="shared" si="37"/>
        <v>11.158044489663636</v>
      </c>
      <c r="BB5" s="72">
        <f t="shared" si="38"/>
        <v>1.8109852558849002</v>
      </c>
      <c r="BC5" s="72">
        <f t="shared" si="39"/>
        <v>3.1145825138046641</v>
      </c>
      <c r="BD5" s="72">
        <f t="shared" si="40"/>
        <v>0.90549262794245011</v>
      </c>
      <c r="BE5" s="72">
        <f t="shared" si="41"/>
        <v>3.5379909464921173</v>
      </c>
      <c r="BF5" s="72">
        <f t="shared" si="42"/>
        <v>4.2309994824029449</v>
      </c>
      <c r="BG5" s="72">
        <f t="shared" si="43"/>
        <v>9.8302371953936643</v>
      </c>
      <c r="BH5" s="72">
        <f t="shared" si="44"/>
        <v>6.9375015513109739</v>
      </c>
      <c r="BI5" s="72">
        <f t="shared" si="45"/>
        <v>1.7250887220089364</v>
      </c>
      <c r="BJ5" s="72">
        <f t="shared" si="46"/>
        <v>5.8966515774868622</v>
      </c>
      <c r="BK5" s="72">
        <f t="shared" si="47"/>
        <v>3.2097237452711997</v>
      </c>
      <c r="BL5" s="72">
        <f t="shared" si="48"/>
        <v>4.2512149505618453</v>
      </c>
      <c r="BM5" s="72">
        <f t="shared" si="49"/>
        <v>6.9291308839660193</v>
      </c>
      <c r="BN5" s="72">
        <f t="shared" si="50"/>
        <v>0.37221831346250911</v>
      </c>
      <c r="BO5" s="72">
        <f t="shared" si="51"/>
        <v>2.1884480081394542</v>
      </c>
      <c r="BP5" s="72">
        <f t="shared" si="52"/>
        <v>0.82674702529712718</v>
      </c>
      <c r="BQ5" s="72">
        <f t="shared" si="53"/>
        <v>3.4032035693474088</v>
      </c>
      <c r="BR5" s="72">
        <f t="shared" si="54"/>
        <v>10.205245213707439</v>
      </c>
      <c r="BS5" s="72">
        <f t="shared" si="55"/>
        <v>0.96633600610459103</v>
      </c>
      <c r="BT5" s="72">
        <f t="shared" si="56"/>
        <v>3.4528846350644717</v>
      </c>
      <c r="BU5" s="72">
        <f t="shared" si="57"/>
        <v>2.9665628554779269</v>
      </c>
      <c r="BV5" s="72">
        <f t="shared" si="58"/>
        <v>5.0769102427969548</v>
      </c>
      <c r="BW5" s="72">
        <f t="shared" si="59"/>
        <v>8.7951132945473098</v>
      </c>
      <c r="BX5" s="72">
        <f t="shared" si="60"/>
        <v>0.86612338324930005</v>
      </c>
      <c r="BY5" s="72">
        <f t="shared" si="61"/>
        <v>3.4528846350644717</v>
      </c>
      <c r="BZ5" s="72">
        <f t="shared" si="62"/>
        <v>2.9665628554779269</v>
      </c>
      <c r="CA5" s="72">
        <f t="shared" si="63"/>
        <v>7.0407260729777548</v>
      </c>
      <c r="CB5" s="72">
        <f t="shared" si="64"/>
        <v>7.1084498182489559</v>
      </c>
      <c r="CC5" s="72">
        <f t="shared" si="65"/>
        <v>1.0593905844702183</v>
      </c>
      <c r="CD5" s="72">
        <f t="shared" si="66"/>
        <v>4.5301660628034366</v>
      </c>
      <c r="CE5" s="72">
        <f t="shared" si="67"/>
        <v>3.3716911791147552</v>
      </c>
      <c r="CF5" s="72">
        <f t="shared" si="68"/>
        <v>5.7571080953612555</v>
      </c>
      <c r="CG5" s="72">
        <f t="shared" si="69"/>
        <v>3.3716911791147552</v>
      </c>
      <c r="CH5" s="72">
        <f t="shared" si="70"/>
        <v>3.5234617170604459</v>
      </c>
      <c r="CI5" s="72">
        <f t="shared" si="71"/>
        <v>5.8493629063495192</v>
      </c>
      <c r="CJ5" s="72">
        <f t="shared" si="72"/>
        <v>3.5234617170604459</v>
      </c>
      <c r="CK5" s="72">
        <f t="shared" si="73"/>
        <v>2.789511122415909</v>
      </c>
    </row>
    <row r="6" spans="1:89" x14ac:dyDescent="0.25">
      <c r="A6" t="str">
        <f>Plantilla!D7</f>
        <v>F. Lasprilla</v>
      </c>
      <c r="B6" s="58">
        <f>Plantilla!E7</f>
        <v>35</v>
      </c>
      <c r="C6" s="98">
        <f ca="1">Plantilla!F7</f>
        <v>84</v>
      </c>
      <c r="D6" s="58">
        <f>Plantilla!G7</f>
        <v>0</v>
      </c>
      <c r="E6" s="207" t="str">
        <f>Plantilla!O7</f>
        <v>Cantera</v>
      </c>
      <c r="F6" s="98">
        <f>Plantilla!Q7</f>
        <v>1</v>
      </c>
      <c r="G6" s="118">
        <f t="shared" si="0"/>
        <v>0.3779644730092272</v>
      </c>
      <c r="H6" s="118">
        <f t="shared" si="1"/>
        <v>0.53318450304347209</v>
      </c>
      <c r="I6" s="153">
        <f>Plantilla!P7</f>
        <v>1.5</v>
      </c>
      <c r="J6" s="154">
        <f>Plantilla!I7</f>
        <v>7.1</v>
      </c>
      <c r="K6" s="49">
        <f>Plantilla!X7</f>
        <v>0</v>
      </c>
      <c r="L6" s="49">
        <f>Plantilla!Y7</f>
        <v>8.9499999999999975</v>
      </c>
      <c r="M6" s="49">
        <f>Plantilla!Z7</f>
        <v>7.95</v>
      </c>
      <c r="N6" s="49">
        <f>Plantilla!AA7</f>
        <v>4.95</v>
      </c>
      <c r="O6" s="49">
        <f>Plantilla!AB7</f>
        <v>7.95</v>
      </c>
      <c r="P6" s="49">
        <f>Plantilla!AC7</f>
        <v>0.95</v>
      </c>
      <c r="Q6" s="49">
        <f>Plantilla!AD7</f>
        <v>14</v>
      </c>
      <c r="R6" s="154">
        <f t="shared" si="2"/>
        <v>3.4812499999999993</v>
      </c>
      <c r="S6" s="154">
        <f t="shared" si="3"/>
        <v>7.5003746008922096</v>
      </c>
      <c r="T6" s="49">
        <f t="shared" si="4"/>
        <v>0.46749999999999997</v>
      </c>
      <c r="U6" s="49">
        <f t="shared" si="5"/>
        <v>0.77799999999999991</v>
      </c>
      <c r="V6" s="154" t="e">
        <f t="shared" ca="1" si="6"/>
        <v>#VALUE!</v>
      </c>
      <c r="W6" s="154" t="e">
        <f t="shared" ca="1" si="7"/>
        <v>#VALUE!</v>
      </c>
      <c r="X6" s="72">
        <f t="shared" si="8"/>
        <v>4.7705647179090036</v>
      </c>
      <c r="Y6" s="72">
        <f t="shared" si="9"/>
        <v>7.2055493709284342</v>
      </c>
      <c r="Z6" s="72">
        <f t="shared" si="10"/>
        <v>4.7705647179090036</v>
      </c>
      <c r="AA6" s="72">
        <f t="shared" si="11"/>
        <v>5.9778657439187235</v>
      </c>
      <c r="AB6" s="72">
        <f t="shared" si="12"/>
        <v>11.585011131625432</v>
      </c>
      <c r="AC6" s="72">
        <f t="shared" si="13"/>
        <v>2.9889328719593617</v>
      </c>
      <c r="AD6" s="72">
        <f t="shared" si="14"/>
        <v>2.5192326493268529</v>
      </c>
      <c r="AE6" s="72">
        <f t="shared" si="15"/>
        <v>4.3791342077544133</v>
      </c>
      <c r="AF6" s="72">
        <f t="shared" si="16"/>
        <v>8.3759630481651879</v>
      </c>
      <c r="AG6" s="72">
        <f t="shared" si="17"/>
        <v>2.1895671038772067</v>
      </c>
      <c r="AH6" s="72">
        <f t="shared" si="18"/>
        <v>4.0752292856757917</v>
      </c>
      <c r="AI6" s="72">
        <f t="shared" si="19"/>
        <v>10.658210241095398</v>
      </c>
      <c r="AJ6" s="72">
        <f t="shared" si="20"/>
        <v>4.7961946084929288</v>
      </c>
      <c r="AK6" s="72">
        <f t="shared" si="21"/>
        <v>1.7676968589814472</v>
      </c>
      <c r="AL6" s="72">
        <f t="shared" si="22"/>
        <v>4.459986545395755</v>
      </c>
      <c r="AM6" s="72">
        <f t="shared" si="23"/>
        <v>8.7350983932455755</v>
      </c>
      <c r="AN6" s="72">
        <f t="shared" si="24"/>
        <v>8.202187881190806</v>
      </c>
      <c r="AO6" s="72">
        <f t="shared" si="25"/>
        <v>2.7780468589814475</v>
      </c>
      <c r="AP6" s="72">
        <f t="shared" si="26"/>
        <v>1.7614832059081245</v>
      </c>
      <c r="AQ6" s="72">
        <f t="shared" si="27"/>
        <v>3.1279530055388669</v>
      </c>
      <c r="AR6" s="72">
        <f t="shared" si="28"/>
        <v>6.8814966121855061</v>
      </c>
      <c r="AS6" s="72">
        <f t="shared" si="29"/>
        <v>1.5639765027694335</v>
      </c>
      <c r="AT6" s="72">
        <f t="shared" si="30"/>
        <v>9.9922505082544077</v>
      </c>
      <c r="AU6" s="72">
        <f t="shared" si="31"/>
        <v>1.3760514471113061</v>
      </c>
      <c r="AV6" s="72">
        <f t="shared" si="32"/>
        <v>1.8904082615662519</v>
      </c>
      <c r="AW6" s="72">
        <f t="shared" si="33"/>
        <v>0.68802572355565306</v>
      </c>
      <c r="AX6" s="72">
        <f t="shared" si="34"/>
        <v>2.1895671038772067</v>
      </c>
      <c r="AY6" s="72">
        <f t="shared" si="35"/>
        <v>4.6340044526501734</v>
      </c>
      <c r="AZ6" s="72">
        <f t="shared" si="36"/>
        <v>1.0947835519386033</v>
      </c>
      <c r="BA6" s="72">
        <f t="shared" si="37"/>
        <v>10.585011131625432</v>
      </c>
      <c r="BB6" s="72">
        <f t="shared" si="38"/>
        <v>2.6780078163012342</v>
      </c>
      <c r="BC6" s="72">
        <f t="shared" si="39"/>
        <v>4.3623411335256135</v>
      </c>
      <c r="BD6" s="72">
        <f t="shared" si="40"/>
        <v>1.3390039081506171</v>
      </c>
      <c r="BE6" s="72">
        <f t="shared" si="41"/>
        <v>3.3712382393030005</v>
      </c>
      <c r="BF6" s="72">
        <f t="shared" si="42"/>
        <v>4.0315838738056504</v>
      </c>
      <c r="BG6" s="72">
        <f t="shared" si="43"/>
        <v>9.3253948069620058</v>
      </c>
      <c r="BH6" s="72">
        <f t="shared" si="44"/>
        <v>7.68807489601501</v>
      </c>
      <c r="BI6" s="72">
        <f t="shared" si="45"/>
        <v>2.550987682721729</v>
      </c>
      <c r="BJ6" s="72">
        <f t="shared" si="46"/>
        <v>5.6187303988383341</v>
      </c>
      <c r="BK6" s="72">
        <f t="shared" si="47"/>
        <v>3.0584429387491143</v>
      </c>
      <c r="BL6" s="72">
        <f t="shared" si="48"/>
        <v>4.0328892411492898</v>
      </c>
      <c r="BM6" s="72">
        <f t="shared" si="49"/>
        <v>7.2322997290406299</v>
      </c>
      <c r="BN6" s="72">
        <f t="shared" si="50"/>
        <v>0.55042057884452245</v>
      </c>
      <c r="BO6" s="72">
        <f t="shared" si="51"/>
        <v>2.0853020036925778</v>
      </c>
      <c r="BP6" s="72">
        <f t="shared" si="52"/>
        <v>0.7877807569505294</v>
      </c>
      <c r="BQ6" s="72">
        <f t="shared" si="53"/>
        <v>3.2284283951457566</v>
      </c>
      <c r="BR6" s="72">
        <f t="shared" si="54"/>
        <v>10.612324315270307</v>
      </c>
      <c r="BS6" s="72">
        <f t="shared" si="55"/>
        <v>1.4289765027694334</v>
      </c>
      <c r="BT6" s="72">
        <f t="shared" si="56"/>
        <v>3.2901431613816223</v>
      </c>
      <c r="BU6" s="72">
        <f t="shared" si="57"/>
        <v>2.8267427161166054</v>
      </c>
      <c r="BV6" s="72">
        <f t="shared" si="58"/>
        <v>4.8161800648895721</v>
      </c>
      <c r="BW6" s="72">
        <f t="shared" si="59"/>
        <v>9.1361923338409792</v>
      </c>
      <c r="BX6" s="72">
        <f t="shared" si="60"/>
        <v>1.2807863469266771</v>
      </c>
      <c r="BY6" s="72">
        <f t="shared" si="61"/>
        <v>3.2901431613816223</v>
      </c>
      <c r="BZ6" s="72">
        <f t="shared" si="62"/>
        <v>2.8267427161166054</v>
      </c>
      <c r="CA6" s="72">
        <f t="shared" si="63"/>
        <v>6.6791420240556478</v>
      </c>
      <c r="CB6" s="72">
        <f t="shared" si="64"/>
        <v>7.3675849628047629</v>
      </c>
      <c r="CC6" s="72">
        <f t="shared" si="65"/>
        <v>1.5665816474805638</v>
      </c>
      <c r="CD6" s="72">
        <f t="shared" si="66"/>
        <v>4.2975145194399254</v>
      </c>
      <c r="CE6" s="72">
        <f t="shared" si="67"/>
        <v>4.19379079957685</v>
      </c>
      <c r="CF6" s="72">
        <f t="shared" si="68"/>
        <v>7.8377225342102381</v>
      </c>
      <c r="CG6" s="72">
        <f t="shared" si="69"/>
        <v>4.19379079957685</v>
      </c>
      <c r="CH6" s="72">
        <f t="shared" si="70"/>
        <v>3.981461935002645</v>
      </c>
      <c r="CI6" s="72">
        <f t="shared" si="71"/>
        <v>7.4908802391952181</v>
      </c>
      <c r="CJ6" s="72">
        <f t="shared" si="72"/>
        <v>3.981461935002645</v>
      </c>
      <c r="CK6" s="72">
        <f t="shared" si="73"/>
        <v>2.646252782906358</v>
      </c>
    </row>
    <row r="7" spans="1:89" x14ac:dyDescent="0.25">
      <c r="A7" t="str">
        <f>Plantilla!D8</f>
        <v>E. Romweber</v>
      </c>
      <c r="B7" s="58">
        <f>Plantilla!E8</f>
        <v>39</v>
      </c>
      <c r="C7" s="98">
        <f ca="1">Plantilla!F8</f>
        <v>38</v>
      </c>
      <c r="D7" s="58" t="str">
        <f>Plantilla!G8</f>
        <v>IMP</v>
      </c>
      <c r="E7" s="207" t="str">
        <f>Plantilla!O8</f>
        <v>Cantera</v>
      </c>
      <c r="F7" s="98">
        <f>Plantilla!Q8</f>
        <v>4</v>
      </c>
      <c r="G7" s="118">
        <f t="shared" si="0"/>
        <v>0.7559289460184544</v>
      </c>
      <c r="H7" s="118">
        <f t="shared" si="1"/>
        <v>0.84430867747355465</v>
      </c>
      <c r="I7" s="153">
        <f>Plantilla!P8</f>
        <v>1.5</v>
      </c>
      <c r="J7" s="154">
        <f>Plantilla!I8</f>
        <v>19.100000000000001</v>
      </c>
      <c r="K7" s="49">
        <f>Plantilla!X8</f>
        <v>0</v>
      </c>
      <c r="L7" s="49">
        <f>Plantilla!Y8</f>
        <v>8.9499999999999975</v>
      </c>
      <c r="M7" s="49">
        <f>Plantilla!Z8</f>
        <v>8.9499999999999975</v>
      </c>
      <c r="N7" s="49">
        <f>Plantilla!AA8</f>
        <v>8.9499999999999975</v>
      </c>
      <c r="O7" s="49">
        <f>Plantilla!AB8</f>
        <v>6.95</v>
      </c>
      <c r="P7" s="49">
        <f>Plantilla!AC8</f>
        <v>0.95</v>
      </c>
      <c r="Q7" s="49">
        <f>Plantilla!AD8</f>
        <v>16</v>
      </c>
      <c r="R7" s="154">
        <f t="shared" si="2"/>
        <v>3.2312499999999997</v>
      </c>
      <c r="S7" s="154">
        <f t="shared" si="3"/>
        <v>9.8667783221566356</v>
      </c>
      <c r="T7" s="49">
        <f t="shared" si="4"/>
        <v>0.52749999999999997</v>
      </c>
      <c r="U7" s="49">
        <f t="shared" si="5"/>
        <v>0.83799999999999986</v>
      </c>
      <c r="V7" s="154" t="e">
        <f t="shared" ca="1" si="6"/>
        <v>#VALUE!</v>
      </c>
      <c r="W7" s="154" t="e">
        <f t="shared" ca="1" si="7"/>
        <v>#VALUE!</v>
      </c>
      <c r="X7" s="72">
        <f t="shared" si="8"/>
        <v>5.2708228394763541</v>
      </c>
      <c r="Y7" s="72">
        <f t="shared" si="9"/>
        <v>7.9453354361557542</v>
      </c>
      <c r="Z7" s="72">
        <f t="shared" si="10"/>
        <v>5.2708228394763541</v>
      </c>
      <c r="AA7" s="72">
        <f t="shared" si="11"/>
        <v>6.2735509566664351</v>
      </c>
      <c r="AB7" s="72">
        <f t="shared" si="12"/>
        <v>12.158044489663634</v>
      </c>
      <c r="AC7" s="72">
        <f t="shared" si="13"/>
        <v>3.1367754783332176</v>
      </c>
      <c r="AD7" s="72">
        <f t="shared" si="14"/>
        <v>2.8936145885399447</v>
      </c>
      <c r="AE7" s="72">
        <f t="shared" si="15"/>
        <v>4.595740817092854</v>
      </c>
      <c r="AF7" s="72">
        <f t="shared" si="16"/>
        <v>8.7902661660268073</v>
      </c>
      <c r="AG7" s="72">
        <f t="shared" si="17"/>
        <v>2.297870408546427</v>
      </c>
      <c r="AH7" s="72">
        <f t="shared" si="18"/>
        <v>4.6808471285204991</v>
      </c>
      <c r="AI7" s="72">
        <f t="shared" si="19"/>
        <v>11.185400930490545</v>
      </c>
      <c r="AJ7" s="72">
        <f t="shared" si="20"/>
        <v>5.0334304187207444</v>
      </c>
      <c r="AK7" s="72">
        <f t="shared" si="21"/>
        <v>2.0303934297738269</v>
      </c>
      <c r="AL7" s="72">
        <f t="shared" si="22"/>
        <v>7.1489301599222168</v>
      </c>
      <c r="AM7" s="72">
        <f t="shared" si="23"/>
        <v>9.1671655452063803</v>
      </c>
      <c r="AN7" s="72">
        <f t="shared" si="24"/>
        <v>8.6078954986818523</v>
      </c>
      <c r="AO7" s="72">
        <f t="shared" si="25"/>
        <v>3.2077434297738274</v>
      </c>
      <c r="AP7" s="72">
        <f t="shared" si="26"/>
        <v>1.8545168130231271</v>
      </c>
      <c r="AQ7" s="72">
        <f t="shared" si="27"/>
        <v>3.2826720122091815</v>
      </c>
      <c r="AR7" s="72">
        <f t="shared" si="28"/>
        <v>7.2218784268601981</v>
      </c>
      <c r="AS7" s="72">
        <f t="shared" si="29"/>
        <v>1.6413360061045907</v>
      </c>
      <c r="AT7" s="72">
        <f t="shared" si="30"/>
        <v>11.47719399824247</v>
      </c>
      <c r="AU7" s="72">
        <f t="shared" si="31"/>
        <v>1.3205457836562728</v>
      </c>
      <c r="AV7" s="72">
        <f t="shared" si="32"/>
        <v>1.9383070354714453</v>
      </c>
      <c r="AW7" s="72">
        <f t="shared" si="33"/>
        <v>0.66027289182813642</v>
      </c>
      <c r="AX7" s="72">
        <f t="shared" si="34"/>
        <v>2.297870408546427</v>
      </c>
      <c r="AY7" s="72">
        <f t="shared" si="35"/>
        <v>4.8632177958654541</v>
      </c>
      <c r="AZ7" s="72">
        <f t="shared" si="36"/>
        <v>1.1489352042732135</v>
      </c>
      <c r="BA7" s="72">
        <f t="shared" si="37"/>
        <v>12.158044489663634</v>
      </c>
      <c r="BB7" s="72">
        <f t="shared" si="38"/>
        <v>2.5699852558848999</v>
      </c>
      <c r="BC7" s="72">
        <f t="shared" si="39"/>
        <v>4.3370825138046643</v>
      </c>
      <c r="BD7" s="72">
        <f t="shared" si="40"/>
        <v>1.2849926279424499</v>
      </c>
      <c r="BE7" s="72">
        <f t="shared" si="41"/>
        <v>3.5379909464921173</v>
      </c>
      <c r="BF7" s="72">
        <f t="shared" si="42"/>
        <v>4.2309994824029449</v>
      </c>
      <c r="BG7" s="72">
        <f t="shared" si="43"/>
        <v>10.711237195393663</v>
      </c>
      <c r="BH7" s="72">
        <f t="shared" si="44"/>
        <v>10.178501551310971</v>
      </c>
      <c r="BI7" s="72">
        <f t="shared" si="45"/>
        <v>2.448088722008936</v>
      </c>
      <c r="BJ7" s="72">
        <f t="shared" si="46"/>
        <v>5.8966515774868622</v>
      </c>
      <c r="BK7" s="72">
        <f t="shared" si="47"/>
        <v>3.2097237452711997</v>
      </c>
      <c r="BL7" s="72">
        <f t="shared" si="48"/>
        <v>4.6322149505618446</v>
      </c>
      <c r="BM7" s="72">
        <f t="shared" si="49"/>
        <v>10.224130883966017</v>
      </c>
      <c r="BN7" s="72">
        <f t="shared" si="50"/>
        <v>0.52821831346250903</v>
      </c>
      <c r="BO7" s="72">
        <f t="shared" si="51"/>
        <v>2.1884480081394542</v>
      </c>
      <c r="BP7" s="72">
        <f t="shared" si="52"/>
        <v>0.82674702529712718</v>
      </c>
      <c r="BQ7" s="72">
        <f t="shared" si="53"/>
        <v>3.7082035693474085</v>
      </c>
      <c r="BR7" s="72">
        <f t="shared" si="54"/>
        <v>15.063245213707434</v>
      </c>
      <c r="BS7" s="72">
        <f t="shared" si="55"/>
        <v>1.3713360061045909</v>
      </c>
      <c r="BT7" s="72">
        <f t="shared" si="56"/>
        <v>3.4528846350644717</v>
      </c>
      <c r="BU7" s="72">
        <f t="shared" si="57"/>
        <v>2.9665628554779269</v>
      </c>
      <c r="BV7" s="72">
        <f t="shared" si="58"/>
        <v>5.531910242796954</v>
      </c>
      <c r="BW7" s="72">
        <f t="shared" si="59"/>
        <v>12.983113294547307</v>
      </c>
      <c r="BX7" s="72">
        <f t="shared" si="60"/>
        <v>1.2291233832493</v>
      </c>
      <c r="BY7" s="72">
        <f t="shared" si="61"/>
        <v>3.4528846350644717</v>
      </c>
      <c r="BZ7" s="72">
        <f t="shared" si="62"/>
        <v>2.9665628554779269</v>
      </c>
      <c r="CA7" s="72">
        <f t="shared" si="63"/>
        <v>7.6717260729777532</v>
      </c>
      <c r="CB7" s="72">
        <f t="shared" si="64"/>
        <v>10.495449818248954</v>
      </c>
      <c r="CC7" s="72">
        <f t="shared" si="65"/>
        <v>1.503390584470218</v>
      </c>
      <c r="CD7" s="72">
        <f t="shared" si="66"/>
        <v>4.9361660628034363</v>
      </c>
      <c r="CE7" s="72">
        <f t="shared" si="67"/>
        <v>4.8183411791147535</v>
      </c>
      <c r="CF7" s="72">
        <f t="shared" si="68"/>
        <v>7.9399580953612556</v>
      </c>
      <c r="CG7" s="72">
        <f t="shared" si="69"/>
        <v>4.8183411791147535</v>
      </c>
      <c r="CH7" s="72">
        <f t="shared" si="70"/>
        <v>5.0804617170604454</v>
      </c>
      <c r="CI7" s="72">
        <f t="shared" si="71"/>
        <v>7.9063629063495187</v>
      </c>
      <c r="CJ7" s="72">
        <f t="shared" si="72"/>
        <v>5.0804617170604454</v>
      </c>
      <c r="CK7" s="72">
        <f t="shared" si="73"/>
        <v>3.0395111224159086</v>
      </c>
    </row>
    <row r="8" spans="1:89" x14ac:dyDescent="0.25">
      <c r="A8" t="str">
        <f>Plantilla!D21</f>
        <v>S. Buschelman</v>
      </c>
      <c r="B8" s="58">
        <f>Plantilla!E21</f>
        <v>37</v>
      </c>
      <c r="C8" s="98">
        <f ca="1">Plantilla!F21</f>
        <v>109</v>
      </c>
      <c r="D8" s="58" t="str">
        <f>Plantilla!G21</f>
        <v>TEC</v>
      </c>
      <c r="E8" s="207" t="str">
        <f>Plantilla!O21</f>
        <v>Cantera</v>
      </c>
      <c r="F8" s="98">
        <f>Plantilla!Q21</f>
        <v>7</v>
      </c>
      <c r="G8" s="118">
        <f t="shared" si="0"/>
        <v>1</v>
      </c>
      <c r="H8" s="118">
        <f t="shared" si="1"/>
        <v>1</v>
      </c>
      <c r="I8" s="153">
        <f>Plantilla!P21</f>
        <v>1.5</v>
      </c>
      <c r="J8" s="154">
        <f>Plantilla!I21</f>
        <v>15.4</v>
      </c>
      <c r="K8" s="49">
        <f>Plantilla!X21</f>
        <v>0</v>
      </c>
      <c r="L8" s="49">
        <f>Plantilla!Y21</f>
        <v>7.95</v>
      </c>
      <c r="M8" s="49">
        <f>Plantilla!Z21</f>
        <v>11.95</v>
      </c>
      <c r="N8" s="49">
        <f>Plantilla!AA21</f>
        <v>9.9499999999999993</v>
      </c>
      <c r="O8" s="49">
        <f>Plantilla!AB21</f>
        <v>6.95</v>
      </c>
      <c r="P8" s="49">
        <f>Plantilla!AC21</f>
        <v>0.95</v>
      </c>
      <c r="Q8" s="49">
        <f>Plantilla!AD21</f>
        <v>16</v>
      </c>
      <c r="R8" s="154">
        <f t="shared" si="2"/>
        <v>3.1062500000000002</v>
      </c>
      <c r="S8" s="154">
        <f t="shared" si="3"/>
        <v>9.5912277240647779</v>
      </c>
      <c r="T8" s="49">
        <f t="shared" si="4"/>
        <v>0.52749999999999997</v>
      </c>
      <c r="U8" s="49">
        <f t="shared" si="5"/>
        <v>0.79800000000000004</v>
      </c>
      <c r="V8" s="154" t="e">
        <f t="shared" ca="1" si="6"/>
        <v>#VALUE!</v>
      </c>
      <c r="W8" s="154" t="e">
        <f t="shared" ca="1" si="7"/>
        <v>#VALUE!</v>
      </c>
      <c r="X8" s="72">
        <f t="shared" si="8"/>
        <v>4.8859741190536425</v>
      </c>
      <c r="Y8" s="72">
        <f t="shared" si="9"/>
        <v>7.3593690007998314</v>
      </c>
      <c r="Z8" s="72">
        <f t="shared" si="10"/>
        <v>4.8859741190536425</v>
      </c>
      <c r="AA8" s="72">
        <f t="shared" si="11"/>
        <v>5.6932142559354864</v>
      </c>
      <c r="AB8" s="72">
        <f t="shared" si="12"/>
        <v>11.033360961115283</v>
      </c>
      <c r="AC8" s="72">
        <f t="shared" si="13"/>
        <v>2.8466071279677432</v>
      </c>
      <c r="AD8" s="72">
        <f t="shared" si="14"/>
        <v>3.5779399087454373</v>
      </c>
      <c r="AE8" s="72">
        <f t="shared" si="15"/>
        <v>4.1706104433015776</v>
      </c>
      <c r="AF8" s="72">
        <f t="shared" si="16"/>
        <v>7.9771199748863495</v>
      </c>
      <c r="AG8" s="72">
        <f t="shared" si="17"/>
        <v>2.0853052216507888</v>
      </c>
      <c r="AH8" s="72">
        <f t="shared" si="18"/>
        <v>5.7878439700293844</v>
      </c>
      <c r="AI8" s="72">
        <f t="shared" si="19"/>
        <v>10.150692084226062</v>
      </c>
      <c r="AJ8" s="72">
        <f t="shared" si="20"/>
        <v>4.5678114379017272</v>
      </c>
      <c r="AK8" s="72">
        <f t="shared" si="21"/>
        <v>2.5105712805062526</v>
      </c>
      <c r="AL8" s="72">
        <f t="shared" si="22"/>
        <v>7.6636162451357865</v>
      </c>
      <c r="AM8" s="72">
        <f t="shared" si="23"/>
        <v>8.3191541646809242</v>
      </c>
      <c r="AN8" s="72">
        <f t="shared" si="24"/>
        <v>7.8116195604696204</v>
      </c>
      <c r="AO8" s="72">
        <f t="shared" si="25"/>
        <v>3.1869212805062523</v>
      </c>
      <c r="AP8" s="72">
        <f t="shared" si="26"/>
        <v>1.7826079568012017</v>
      </c>
      <c r="AQ8" s="72">
        <f t="shared" si="27"/>
        <v>2.9790074595011267</v>
      </c>
      <c r="AR8" s="72">
        <f t="shared" si="28"/>
        <v>6.5538164109024777</v>
      </c>
      <c r="AS8" s="72">
        <f t="shared" si="29"/>
        <v>1.4895037297505633</v>
      </c>
      <c r="AT8" s="72">
        <f t="shared" si="30"/>
        <v>14.191492747292827</v>
      </c>
      <c r="AU8" s="72">
        <f t="shared" si="31"/>
        <v>1.304336924944987</v>
      </c>
      <c r="AV8" s="72">
        <f t="shared" si="32"/>
        <v>1.9017747616067782</v>
      </c>
      <c r="AW8" s="72">
        <f t="shared" si="33"/>
        <v>0.65216846247249349</v>
      </c>
      <c r="AX8" s="72">
        <f t="shared" si="34"/>
        <v>2.0853052216507888</v>
      </c>
      <c r="AY8" s="72">
        <f t="shared" si="35"/>
        <v>4.4133443844461135</v>
      </c>
      <c r="AZ8" s="72">
        <f t="shared" si="36"/>
        <v>1.0426526108253944</v>
      </c>
      <c r="BA8" s="72">
        <f t="shared" si="37"/>
        <v>15.033360961115283</v>
      </c>
      <c r="BB8" s="72">
        <f t="shared" si="38"/>
        <v>2.5384403231621668</v>
      </c>
      <c r="BC8" s="72">
        <f t="shared" si="39"/>
        <v>4.2683818895745214</v>
      </c>
      <c r="BD8" s="72">
        <f t="shared" si="40"/>
        <v>1.2692201615810834</v>
      </c>
      <c r="BE8" s="72">
        <f t="shared" si="41"/>
        <v>3.2107080396845471</v>
      </c>
      <c r="BF8" s="72">
        <f t="shared" si="42"/>
        <v>3.8396096144681184</v>
      </c>
      <c r="BG8" s="72">
        <f t="shared" si="43"/>
        <v>13.244391006742564</v>
      </c>
      <c r="BH8" s="72">
        <f t="shared" si="44"/>
        <v>10.641657894431486</v>
      </c>
      <c r="BI8" s="72">
        <f t="shared" si="45"/>
        <v>2.4180399916287834</v>
      </c>
      <c r="BJ8" s="72">
        <f t="shared" si="46"/>
        <v>5.3511800661409126</v>
      </c>
      <c r="BK8" s="72">
        <f t="shared" si="47"/>
        <v>2.9128072937344349</v>
      </c>
      <c r="BL8" s="72">
        <f t="shared" si="48"/>
        <v>5.7277105261849233</v>
      </c>
      <c r="BM8" s="72">
        <f t="shared" si="49"/>
        <v>10.788157480014759</v>
      </c>
      <c r="BN8" s="72">
        <f t="shared" si="50"/>
        <v>0.52173476997799473</v>
      </c>
      <c r="BO8" s="72">
        <f t="shared" si="51"/>
        <v>1.986004973000751</v>
      </c>
      <c r="BP8" s="72">
        <f t="shared" si="52"/>
        <v>0.75026854535583931</v>
      </c>
      <c r="BQ8" s="72">
        <f t="shared" si="53"/>
        <v>4.5851750931401609</v>
      </c>
      <c r="BR8" s="72">
        <f t="shared" si="54"/>
        <v>15.902902195994255</v>
      </c>
      <c r="BS8" s="72">
        <f t="shared" si="55"/>
        <v>1.3545037297505633</v>
      </c>
      <c r="BT8" s="72">
        <f t="shared" si="56"/>
        <v>3.1334745129567403</v>
      </c>
      <c r="BU8" s="72">
        <f t="shared" si="57"/>
        <v>2.6921400745121291</v>
      </c>
      <c r="BV8" s="72">
        <f t="shared" si="58"/>
        <v>6.8401792373074546</v>
      </c>
      <c r="BW8" s="72">
        <f t="shared" si="59"/>
        <v>13.708963944915734</v>
      </c>
      <c r="BX8" s="72">
        <f t="shared" si="60"/>
        <v>1.2140366762949493</v>
      </c>
      <c r="BY8" s="72">
        <f t="shared" si="61"/>
        <v>3.1334745129567403</v>
      </c>
      <c r="BZ8" s="72">
        <f t="shared" si="62"/>
        <v>2.6921400745121291</v>
      </c>
      <c r="CA8" s="72">
        <f t="shared" si="63"/>
        <v>9.4860507664637446</v>
      </c>
      <c r="CB8" s="72">
        <f t="shared" si="64"/>
        <v>11.085858060198177</v>
      </c>
      <c r="CC8" s="72">
        <f t="shared" si="65"/>
        <v>1.484937422245062</v>
      </c>
      <c r="CD8" s="72">
        <f t="shared" si="66"/>
        <v>6.1035445502128054</v>
      </c>
      <c r="CE8" s="72">
        <f t="shared" si="67"/>
        <v>5.718049937630286</v>
      </c>
      <c r="CF8" s="72">
        <f t="shared" si="68"/>
        <v>7.7995644422158108</v>
      </c>
      <c r="CG8" s="72">
        <f t="shared" si="69"/>
        <v>5.718049937630286</v>
      </c>
      <c r="CH8" s="72">
        <f t="shared" si="70"/>
        <v>5.2237838787748219</v>
      </c>
      <c r="CI8" s="72">
        <f t="shared" si="71"/>
        <v>7.7356711557668234</v>
      </c>
      <c r="CJ8" s="72">
        <f t="shared" si="72"/>
        <v>5.2237838787748219</v>
      </c>
      <c r="CK8" s="72">
        <f t="shared" si="73"/>
        <v>3.7583402402788209</v>
      </c>
    </row>
    <row r="9" spans="1:89" x14ac:dyDescent="0.25">
      <c r="A9" t="str">
        <f>Plantilla!D9</f>
        <v>L. Tutorić</v>
      </c>
      <c r="B9" s="58">
        <f>Plantilla!E9</f>
        <v>29</v>
      </c>
      <c r="C9" s="98">
        <f ca="1">Plantilla!F9</f>
        <v>19</v>
      </c>
      <c r="D9" s="58" t="str">
        <f>Plantilla!G9</f>
        <v>CAB</v>
      </c>
      <c r="E9" s="207">
        <f>Plantilla!O9</f>
        <v>43982</v>
      </c>
      <c r="F9" s="98">
        <f>Plantilla!Q9</f>
        <v>5</v>
      </c>
      <c r="G9" s="118">
        <f t="shared" si="0"/>
        <v>0.84515425472851657</v>
      </c>
      <c r="H9" s="118">
        <f t="shared" si="1"/>
        <v>0.92504826128926143</v>
      </c>
      <c r="I9" s="153">
        <f ca="1">Plantilla!P9</f>
        <v>0.32129411444772915</v>
      </c>
      <c r="J9" s="154">
        <f>Plantilla!I9</f>
        <v>5.8</v>
      </c>
      <c r="K9" s="49">
        <f>Plantilla!X9</f>
        <v>0</v>
      </c>
      <c r="L9" s="49">
        <f>Plantilla!Y9</f>
        <v>13</v>
      </c>
      <c r="M9" s="49">
        <f>Plantilla!Z9</f>
        <v>6</v>
      </c>
      <c r="N9" s="49">
        <f>Plantilla!AA9</f>
        <v>2</v>
      </c>
      <c r="O9" s="49">
        <f>Plantilla!AB9</f>
        <v>1</v>
      </c>
      <c r="P9" s="49">
        <f>Plantilla!AC9</f>
        <v>7</v>
      </c>
      <c r="Q9" s="49">
        <f>Plantilla!AD9</f>
        <v>15.333333333333334</v>
      </c>
      <c r="R9" s="154">
        <f t="shared" si="2"/>
        <v>2.25</v>
      </c>
      <c r="S9" s="154">
        <f t="shared" ca="1" si="3"/>
        <v>15.412961147294938</v>
      </c>
      <c r="T9" s="49">
        <f t="shared" si="4"/>
        <v>0.80999999999999994</v>
      </c>
      <c r="U9" s="49">
        <f t="shared" si="5"/>
        <v>0.98000000000000009</v>
      </c>
      <c r="V9" s="154">
        <f t="shared" ca="1" si="6"/>
        <v>14.167417593117575</v>
      </c>
      <c r="W9" s="154">
        <f t="shared" ca="1" si="7"/>
        <v>15.506689977774666</v>
      </c>
      <c r="X9" s="72">
        <f t="shared" ca="1" si="8"/>
        <v>4.7571199464201266</v>
      </c>
      <c r="Y9" s="72">
        <f t="shared" ca="1" si="9"/>
        <v>7.2539047546716873</v>
      </c>
      <c r="Z9" s="72">
        <f t="shared" ca="1" si="10"/>
        <v>4.7571199464201266</v>
      </c>
      <c r="AA9" s="72">
        <f t="shared" ca="1" si="11"/>
        <v>7.399026222626329</v>
      </c>
      <c r="AB9" s="72">
        <f t="shared" ca="1" si="12"/>
        <v>14.339198105864979</v>
      </c>
      <c r="AC9" s="72">
        <f t="shared" ca="1" si="13"/>
        <v>3.6995131113131645</v>
      </c>
      <c r="AD9" s="72">
        <f t="shared" ca="1" si="14"/>
        <v>1.7467291491958647</v>
      </c>
      <c r="AE9" s="72">
        <f t="shared" ca="1" si="15"/>
        <v>5.4202168840169618</v>
      </c>
      <c r="AF9" s="72">
        <f t="shared" ca="1" si="16"/>
        <v>10.367240230540379</v>
      </c>
      <c r="AG9" s="72">
        <f t="shared" ca="1" si="17"/>
        <v>2.7101084420084809</v>
      </c>
      <c r="AH9" s="72">
        <f t="shared" ca="1" si="18"/>
        <v>2.8255912707580166</v>
      </c>
      <c r="AI9" s="72">
        <f t="shared" ca="1" si="19"/>
        <v>13.192062257395781</v>
      </c>
      <c r="AJ9" s="72">
        <f t="shared" ca="1" si="20"/>
        <v>5.9364280158281009</v>
      </c>
      <c r="AK9" s="72">
        <f t="shared" ca="1" si="21"/>
        <v>1.2256460836794516</v>
      </c>
      <c r="AL9" s="72">
        <f t="shared" ca="1" si="22"/>
        <v>1.9634484862486072</v>
      </c>
      <c r="AM9" s="72">
        <f t="shared" ca="1" si="23"/>
        <v>10.811755371822194</v>
      </c>
      <c r="AN9" s="72">
        <f t="shared" ca="1" si="24"/>
        <v>10.152152258952404</v>
      </c>
      <c r="AO9" s="72">
        <f t="shared" ca="1" si="25"/>
        <v>2.7843127503461185</v>
      </c>
      <c r="AP9" s="72">
        <f t="shared" ca="1" si="26"/>
        <v>1.0336890544891137</v>
      </c>
      <c r="AQ9" s="72">
        <f t="shared" ca="1" si="27"/>
        <v>3.8715834885835445</v>
      </c>
      <c r="AR9" s="72">
        <f t="shared" ca="1" si="28"/>
        <v>8.5174836748837972</v>
      </c>
      <c r="AS9" s="72">
        <f t="shared" ca="1" si="29"/>
        <v>1.9357917442917723</v>
      </c>
      <c r="AT9" s="72">
        <f t="shared" ca="1" si="30"/>
        <v>6.9282030119365396</v>
      </c>
      <c r="AU9" s="72">
        <f t="shared" ca="1" si="31"/>
        <v>0.30409575376244724</v>
      </c>
      <c r="AV9" s="72">
        <f t="shared" ca="1" si="32"/>
        <v>1.7233850450184387</v>
      </c>
      <c r="AW9" s="72">
        <f t="shared" ca="1" si="33"/>
        <v>0.15204787688122362</v>
      </c>
      <c r="AX9" s="72">
        <f t="shared" ca="1" si="34"/>
        <v>2.7101084420084809</v>
      </c>
      <c r="AY9" s="72">
        <f t="shared" ca="1" si="35"/>
        <v>5.7356792423459915</v>
      </c>
      <c r="AZ9" s="72">
        <f t="shared" ca="1" si="36"/>
        <v>1.3550542210042404</v>
      </c>
      <c r="BA9" s="72">
        <f t="shared" ca="1" si="37"/>
        <v>7.3391981058649787</v>
      </c>
      <c r="BB9" s="72">
        <f t="shared" ca="1" si="38"/>
        <v>0.59181712078383963</v>
      </c>
      <c r="BC9" s="72">
        <f t="shared" ca="1" si="39"/>
        <v>2.5488981563316031</v>
      </c>
      <c r="BD9" s="72">
        <f t="shared" ca="1" si="40"/>
        <v>0.29590856039191982</v>
      </c>
      <c r="BE9" s="72">
        <f t="shared" ca="1" si="41"/>
        <v>4.1727066488067086</v>
      </c>
      <c r="BF9" s="72">
        <f t="shared" ca="1" si="42"/>
        <v>4.9900409408410118</v>
      </c>
      <c r="BG9" s="72">
        <f t="shared" ca="1" si="43"/>
        <v>6.4658335312670463</v>
      </c>
      <c r="BH9" s="72">
        <f t="shared" ca="1" si="44"/>
        <v>2.6535471161139657</v>
      </c>
      <c r="BI9" s="72">
        <f t="shared" ca="1" si="45"/>
        <v>0.56374674351345988</v>
      </c>
      <c r="BJ9" s="72">
        <f t="shared" ca="1" si="46"/>
        <v>6.9545110813445143</v>
      </c>
      <c r="BK9" s="72">
        <f t="shared" ca="1" si="47"/>
        <v>3.7855482999483545</v>
      </c>
      <c r="BL9" s="72">
        <f t="shared" ca="1" si="48"/>
        <v>2.796234478334557</v>
      </c>
      <c r="BM9" s="72">
        <f t="shared" ca="1" si="49"/>
        <v>2.7174591445259919</v>
      </c>
      <c r="BN9" s="72">
        <f t="shared" ca="1" si="50"/>
        <v>0.12163830150497888</v>
      </c>
      <c r="BO9" s="72">
        <f t="shared" ca="1" si="51"/>
        <v>2.5810556590556959</v>
      </c>
      <c r="BP9" s="72">
        <f t="shared" ca="1" si="52"/>
        <v>0.97506547119881859</v>
      </c>
      <c r="BQ9" s="72">
        <f t="shared" ca="1" si="53"/>
        <v>2.2384554222888187</v>
      </c>
      <c r="BR9" s="72">
        <f t="shared" ca="1" si="54"/>
        <v>4.0082087641423625</v>
      </c>
      <c r="BS9" s="72">
        <f t="shared" ca="1" si="55"/>
        <v>0.31579174429177215</v>
      </c>
      <c r="BT9" s="72">
        <f t="shared" ca="1" si="56"/>
        <v>4.0723322620656539</v>
      </c>
      <c r="BU9" s="72">
        <f t="shared" ca="1" si="57"/>
        <v>3.4987643378310547</v>
      </c>
      <c r="BV9" s="72">
        <f t="shared" ca="1" si="58"/>
        <v>3.3393351381685652</v>
      </c>
      <c r="BW9" s="72">
        <f t="shared" ca="1" si="59"/>
        <v>3.4558315012983964</v>
      </c>
      <c r="BX9" s="72">
        <f t="shared" ca="1" si="60"/>
        <v>0.2830429708096624</v>
      </c>
      <c r="BY9" s="72">
        <f t="shared" ca="1" si="61"/>
        <v>4.0723322620656539</v>
      </c>
      <c r="BZ9" s="72">
        <f t="shared" ca="1" si="62"/>
        <v>3.4987643378310547</v>
      </c>
      <c r="CA9" s="72">
        <f t="shared" ca="1" si="63"/>
        <v>4.6310340048008012</v>
      </c>
      <c r="CB9" s="72">
        <f t="shared" ca="1" si="64"/>
        <v>2.7955823047491557</v>
      </c>
      <c r="CC9" s="72">
        <f t="shared" ca="1" si="65"/>
        <v>0.34620131966801682</v>
      </c>
      <c r="CD9" s="72">
        <f t="shared" ca="1" si="66"/>
        <v>2.9797144309811814</v>
      </c>
      <c r="CE9" s="72">
        <f t="shared" ca="1" si="67"/>
        <v>2.1247222131556542</v>
      </c>
      <c r="CF9" s="72">
        <f t="shared" ca="1" si="68"/>
        <v>6.1319370672039657</v>
      </c>
      <c r="CG9" s="72">
        <f t="shared" ca="1" si="69"/>
        <v>2.1247222131556542</v>
      </c>
      <c r="CH9" s="72">
        <f t="shared" ca="1" si="70"/>
        <v>3.4147839501974717</v>
      </c>
      <c r="CI9" s="72">
        <f t="shared" ca="1" si="71"/>
        <v>9.2023622069291555</v>
      </c>
      <c r="CJ9" s="72">
        <f t="shared" ca="1" si="72"/>
        <v>3.4147839501974717</v>
      </c>
      <c r="CK9" s="72">
        <f t="shared" ca="1" si="73"/>
        <v>1.8347995264662447</v>
      </c>
    </row>
    <row r="10" spans="1:89" x14ac:dyDescent="0.25">
      <c r="A10" t="str">
        <f>Plantilla!D10</f>
        <v>S. Swärdborn</v>
      </c>
      <c r="B10" s="58">
        <f>Plantilla!E10</f>
        <v>22</v>
      </c>
      <c r="C10" s="98">
        <f ca="1">Plantilla!F10</f>
        <v>21</v>
      </c>
      <c r="D10" s="58" t="str">
        <f>Plantilla!G10</f>
        <v>IMP</v>
      </c>
      <c r="E10" s="207">
        <f>Plantilla!O10</f>
        <v>43884</v>
      </c>
      <c r="F10" s="98">
        <f>Plantilla!Q10</f>
        <v>5</v>
      </c>
      <c r="G10" s="118">
        <f t="shared" si="0"/>
        <v>0.84515425472851657</v>
      </c>
      <c r="H10" s="118">
        <f t="shared" si="1"/>
        <v>0.92504826128926143</v>
      </c>
      <c r="I10" s="153">
        <f ca="1">Plantilla!P10</f>
        <v>0.60947395205809318</v>
      </c>
      <c r="J10" s="154">
        <f>Plantilla!I10</f>
        <v>4.7</v>
      </c>
      <c r="K10" s="49">
        <f>Plantilla!X10</f>
        <v>0</v>
      </c>
      <c r="L10" s="49">
        <f>Plantilla!Y10</f>
        <v>12</v>
      </c>
      <c r="M10" s="49">
        <f>Plantilla!Z10</f>
        <v>7</v>
      </c>
      <c r="N10" s="49">
        <f>Plantilla!AA10</f>
        <v>1</v>
      </c>
      <c r="O10" s="49">
        <f>Plantilla!AB10</f>
        <v>3</v>
      </c>
      <c r="P10" s="49">
        <f>Plantilla!AC10</f>
        <v>6</v>
      </c>
      <c r="Q10" s="49">
        <f>Plantilla!AD10</f>
        <v>15.333333333333334</v>
      </c>
      <c r="R10" s="154">
        <f t="shared" si="2"/>
        <v>2.625</v>
      </c>
      <c r="S10" s="154">
        <f t="shared" ca="1" si="3"/>
        <v>14.120719122098967</v>
      </c>
      <c r="T10" s="49">
        <f t="shared" si="4"/>
        <v>0.76</v>
      </c>
      <c r="U10" s="49">
        <f t="shared" si="5"/>
        <v>0.94000000000000006</v>
      </c>
      <c r="V10" s="154">
        <f t="shared" ca="1" si="6"/>
        <v>14.290427222486464</v>
      </c>
      <c r="W10" s="154">
        <f t="shared" ca="1" si="7"/>
        <v>15.641327936624061</v>
      </c>
      <c r="X10" s="72">
        <f t="shared" ca="1" si="8"/>
        <v>4.6263926667838913</v>
      </c>
      <c r="Y10" s="72">
        <f t="shared" ca="1" si="9"/>
        <v>7.0437353182336793</v>
      </c>
      <c r="Z10" s="72">
        <f t="shared" ca="1" si="10"/>
        <v>4.6263926667838913</v>
      </c>
      <c r="AA10" s="72">
        <f t="shared" ca="1" si="11"/>
        <v>6.9688918855217494</v>
      </c>
      <c r="AB10" s="72">
        <f t="shared" ca="1" si="12"/>
        <v>13.505604429305716</v>
      </c>
      <c r="AC10" s="72">
        <f t="shared" ca="1" si="13"/>
        <v>3.4844459427608747</v>
      </c>
      <c r="AD10" s="72">
        <f t="shared" ca="1" si="14"/>
        <v>2.0243338541747602</v>
      </c>
      <c r="AE10" s="72">
        <f t="shared" ca="1" si="15"/>
        <v>5.1051184742775604</v>
      </c>
      <c r="AF10" s="72">
        <f t="shared" ca="1" si="16"/>
        <v>9.764552002388033</v>
      </c>
      <c r="AG10" s="72">
        <f t="shared" ca="1" si="17"/>
        <v>2.5525592371387802</v>
      </c>
      <c r="AH10" s="72">
        <f t="shared" ca="1" si="18"/>
        <v>3.2746577052827006</v>
      </c>
      <c r="AI10" s="72">
        <f t="shared" ca="1" si="19"/>
        <v>12.42515607496126</v>
      </c>
      <c r="AJ10" s="72">
        <f t="shared" ca="1" si="20"/>
        <v>5.5913202337325663</v>
      </c>
      <c r="AK10" s="72">
        <f t="shared" ca="1" si="21"/>
        <v>1.4204359396940547</v>
      </c>
      <c r="AL10" s="72">
        <f t="shared" ca="1" si="22"/>
        <v>1.4732954044317614</v>
      </c>
      <c r="AM10" s="72">
        <f t="shared" ca="1" si="23"/>
        <v>10.18322573969651</v>
      </c>
      <c r="AN10" s="72">
        <f t="shared" ca="1" si="24"/>
        <v>9.5619679359484469</v>
      </c>
      <c r="AO10" s="72">
        <f t="shared" ca="1" si="25"/>
        <v>2.812102606360722</v>
      </c>
      <c r="AP10" s="72">
        <f t="shared" ca="1" si="26"/>
        <v>1.1896140756400462</v>
      </c>
      <c r="AQ10" s="72">
        <f t="shared" ca="1" si="27"/>
        <v>3.6465131959125436</v>
      </c>
      <c r="AR10" s="72">
        <f t="shared" ca="1" si="28"/>
        <v>8.0223290310075956</v>
      </c>
      <c r="AS10" s="72">
        <f t="shared" ca="1" si="29"/>
        <v>1.8232565979562718</v>
      </c>
      <c r="AT10" s="72">
        <f t="shared" ca="1" si="30"/>
        <v>8.0292905812645952</v>
      </c>
      <c r="AU10" s="72">
        <f t="shared" ca="1" si="31"/>
        <v>0.58572857580974313</v>
      </c>
      <c r="AV10" s="72">
        <f t="shared" ca="1" si="32"/>
        <v>1.8391420977865747</v>
      </c>
      <c r="AW10" s="72">
        <f t="shared" ca="1" si="33"/>
        <v>0.29286428790487157</v>
      </c>
      <c r="AX10" s="72">
        <f t="shared" ca="1" si="34"/>
        <v>2.5525592371387802</v>
      </c>
      <c r="AY10" s="72">
        <f t="shared" ca="1" si="35"/>
        <v>5.402241771722287</v>
      </c>
      <c r="AZ10" s="72">
        <f t="shared" ca="1" si="36"/>
        <v>1.2762796185693901</v>
      </c>
      <c r="BA10" s="72">
        <f t="shared" ca="1" si="37"/>
        <v>8.5056044293057163</v>
      </c>
      <c r="BB10" s="72">
        <f t="shared" ca="1" si="38"/>
        <v>1.1399179206143462</v>
      </c>
      <c r="BC10" s="72">
        <f t="shared" ca="1" si="39"/>
        <v>3.1125880405474495</v>
      </c>
      <c r="BD10" s="72">
        <f t="shared" ca="1" si="40"/>
        <v>0.56995896030717308</v>
      </c>
      <c r="BE10" s="72">
        <f t="shared" ca="1" si="41"/>
        <v>3.9301308889279634</v>
      </c>
      <c r="BF10" s="72">
        <f t="shared" ca="1" si="42"/>
        <v>4.699950341398389</v>
      </c>
      <c r="BG10" s="72">
        <f t="shared" ca="1" si="43"/>
        <v>7.4934375022183364</v>
      </c>
      <c r="BH10" s="72">
        <f t="shared" ca="1" si="44"/>
        <v>2.8574823376527818</v>
      </c>
      <c r="BI10" s="72">
        <f t="shared" ca="1" si="45"/>
        <v>1.0858506674626776</v>
      </c>
      <c r="BJ10" s="72">
        <f t="shared" ca="1" si="46"/>
        <v>6.550218148213272</v>
      </c>
      <c r="BK10" s="72">
        <f t="shared" ca="1" si="47"/>
        <v>3.5654795693367092</v>
      </c>
      <c r="BL10" s="72">
        <f t="shared" ca="1" si="48"/>
        <v>3.2406352875654778</v>
      </c>
      <c r="BM10" s="72">
        <f t="shared" ca="1" si="49"/>
        <v>2.5918982712131964</v>
      </c>
      <c r="BN10" s="72">
        <f t="shared" ca="1" si="50"/>
        <v>0.23429143032389724</v>
      </c>
      <c r="BO10" s="72">
        <f t="shared" ca="1" si="51"/>
        <v>2.4310087972750289</v>
      </c>
      <c r="BP10" s="72">
        <f t="shared" ca="1" si="52"/>
        <v>0.91838110119278882</v>
      </c>
      <c r="BQ10" s="72">
        <f t="shared" ca="1" si="53"/>
        <v>2.5942093509382436</v>
      </c>
      <c r="BR10" s="72">
        <f t="shared" ca="1" si="54"/>
        <v>3.7942072960871513</v>
      </c>
      <c r="BS10" s="72">
        <f t="shared" ca="1" si="55"/>
        <v>0.60825659795627174</v>
      </c>
      <c r="BT10" s="72">
        <f t="shared" ca="1" si="56"/>
        <v>3.8355916579228229</v>
      </c>
      <c r="BU10" s="72">
        <f t="shared" ca="1" si="57"/>
        <v>3.2953674807505946</v>
      </c>
      <c r="BV10" s="72">
        <f t="shared" ca="1" si="58"/>
        <v>3.8700500153341011</v>
      </c>
      <c r="BW10" s="72">
        <f t="shared" ca="1" si="59"/>
        <v>3.2642097076707337</v>
      </c>
      <c r="BX10" s="72">
        <f t="shared" ca="1" si="60"/>
        <v>0.54517813594599163</v>
      </c>
      <c r="BY10" s="72">
        <f t="shared" ca="1" si="61"/>
        <v>3.8355916579228229</v>
      </c>
      <c r="BZ10" s="72">
        <f t="shared" ca="1" si="62"/>
        <v>3.2953674807505946</v>
      </c>
      <c r="CA10" s="72">
        <f t="shared" ca="1" si="63"/>
        <v>5.3670363948919073</v>
      </c>
      <c r="CB10" s="72">
        <f t="shared" ca="1" si="64"/>
        <v>2.6285159642286162</v>
      </c>
      <c r="CC10" s="72">
        <f t="shared" ca="1" si="65"/>
        <v>0.66682945553724593</v>
      </c>
      <c r="CD10" s="72">
        <f t="shared" ca="1" si="66"/>
        <v>3.4532753982981212</v>
      </c>
      <c r="CE10" s="72">
        <f t="shared" ca="1" si="67"/>
        <v>2.4404199076682782</v>
      </c>
      <c r="CF10" s="72">
        <f t="shared" ca="1" si="68"/>
        <v>6.8223105873982366</v>
      </c>
      <c r="CG10" s="72">
        <f t="shared" ca="1" si="69"/>
        <v>2.4404199076682782</v>
      </c>
      <c r="CH10" s="72">
        <f t="shared" ca="1" si="70"/>
        <v>3.2465283319223577</v>
      </c>
      <c r="CI10" s="72">
        <f t="shared" ca="1" si="71"/>
        <v>9.1681724637195252</v>
      </c>
      <c r="CJ10" s="72">
        <f t="shared" ca="1" si="72"/>
        <v>3.2465283319223577</v>
      </c>
      <c r="CK10" s="72">
        <f t="shared" ca="1" si="73"/>
        <v>2.1264011073264291</v>
      </c>
    </row>
    <row r="11" spans="1:89" x14ac:dyDescent="0.25">
      <c r="A11" t="str">
        <f>Plantilla!D11</f>
        <v>A. Grimaud</v>
      </c>
      <c r="B11" s="58">
        <f>Plantilla!E11</f>
        <v>22</v>
      </c>
      <c r="C11" s="98">
        <f ca="1">Plantilla!F11</f>
        <v>44</v>
      </c>
      <c r="D11" s="58" t="str">
        <f>Plantilla!G11</f>
        <v>RAP</v>
      </c>
      <c r="E11" s="207">
        <f>Plantilla!O11</f>
        <v>43739</v>
      </c>
      <c r="F11" s="98">
        <f>Plantilla!Q11</f>
        <v>6</v>
      </c>
      <c r="G11" s="118">
        <f t="shared" si="0"/>
        <v>0.92582009977255142</v>
      </c>
      <c r="H11" s="118">
        <f t="shared" si="1"/>
        <v>0.99928545900129484</v>
      </c>
      <c r="I11" s="153">
        <f ca="1">Plantilla!P11</f>
        <v>0.93003751159816417</v>
      </c>
      <c r="J11" s="154">
        <f>Plantilla!I11</f>
        <v>4.7</v>
      </c>
      <c r="K11" s="49">
        <f>Plantilla!X11</f>
        <v>0</v>
      </c>
      <c r="L11" s="49">
        <f>Plantilla!Y11</f>
        <v>12</v>
      </c>
      <c r="M11" s="49">
        <f>Plantilla!Z11</f>
        <v>7</v>
      </c>
      <c r="N11" s="49">
        <f>Plantilla!AA11</f>
        <v>3</v>
      </c>
      <c r="O11" s="49">
        <f>Plantilla!AB11</f>
        <v>3</v>
      </c>
      <c r="P11" s="49">
        <f>Plantilla!AC11</f>
        <v>5</v>
      </c>
      <c r="Q11" s="49">
        <f>Plantilla!AD11</f>
        <v>14.333333333333334</v>
      </c>
      <c r="R11" s="154">
        <f t="shared" si="2"/>
        <v>2.625</v>
      </c>
      <c r="S11" s="154">
        <f t="shared" ca="1" si="3"/>
        <v>12.619164588682525</v>
      </c>
      <c r="T11" s="49">
        <f t="shared" si="4"/>
        <v>0.67999999999999994</v>
      </c>
      <c r="U11" s="49">
        <f t="shared" si="5"/>
        <v>0.91000000000000014</v>
      </c>
      <c r="V11" s="154">
        <f t="shared" ca="1" si="6"/>
        <v>14.974561469874228</v>
      </c>
      <c r="W11" s="154">
        <f t="shared" ca="1" si="7"/>
        <v>16.162817739043021</v>
      </c>
      <c r="X11" s="72">
        <f t="shared" ca="1" si="8"/>
        <v>4.9062446542623732</v>
      </c>
      <c r="Y11" s="72">
        <f t="shared" ca="1" si="9"/>
        <v>7.457582873599911</v>
      </c>
      <c r="Z11" s="72">
        <f t="shared" ca="1" si="10"/>
        <v>4.9062446542623732</v>
      </c>
      <c r="AA11" s="72">
        <f t="shared" ca="1" si="11"/>
        <v>7.1343026822444262</v>
      </c>
      <c r="AB11" s="72">
        <f t="shared" ca="1" si="12"/>
        <v>13.826167988845787</v>
      </c>
      <c r="AC11" s="72">
        <f t="shared" ca="1" si="13"/>
        <v>3.5671513411222131</v>
      </c>
      <c r="AD11" s="72">
        <f t="shared" ca="1" si="14"/>
        <v>2.1006279813452973</v>
      </c>
      <c r="AE11" s="72">
        <f t="shared" ca="1" si="15"/>
        <v>5.2262914997837076</v>
      </c>
      <c r="AF11" s="72">
        <f t="shared" ca="1" si="16"/>
        <v>9.9963194559355042</v>
      </c>
      <c r="AG11" s="72">
        <f t="shared" ca="1" si="17"/>
        <v>2.6131457498918538</v>
      </c>
      <c r="AH11" s="72">
        <f t="shared" ca="1" si="18"/>
        <v>3.3980746757056282</v>
      </c>
      <c r="AI11" s="72">
        <f t="shared" ca="1" si="19"/>
        <v>12.720074549738126</v>
      </c>
      <c r="AJ11" s="72">
        <f t="shared" ca="1" si="20"/>
        <v>5.724033547382156</v>
      </c>
      <c r="AK11" s="72">
        <f t="shared" ca="1" si="21"/>
        <v>1.4739700541372465</v>
      </c>
      <c r="AL11" s="72">
        <f t="shared" ca="1" si="22"/>
        <v>2.8377867774413228</v>
      </c>
      <c r="AM11" s="72">
        <f t="shared" ca="1" si="23"/>
        <v>10.424930663589723</v>
      </c>
      <c r="AN11" s="72">
        <f t="shared" ca="1" si="24"/>
        <v>9.7889269361028166</v>
      </c>
      <c r="AO11" s="72">
        <f t="shared" ca="1" si="25"/>
        <v>2.6986367208039135</v>
      </c>
      <c r="AP11" s="72">
        <f t="shared" ca="1" si="26"/>
        <v>1.2819363807875868</v>
      </c>
      <c r="AQ11" s="72">
        <f t="shared" ca="1" si="27"/>
        <v>3.7330653569883627</v>
      </c>
      <c r="AR11" s="72">
        <f t="shared" ca="1" si="28"/>
        <v>8.2127437853743981</v>
      </c>
      <c r="AS11" s="72">
        <f t="shared" ca="1" si="29"/>
        <v>1.8665326784941814</v>
      </c>
      <c r="AT11" s="72">
        <f t="shared" ca="1" si="30"/>
        <v>8.3319025814704233</v>
      </c>
      <c r="AU11" s="72">
        <f t="shared" ca="1" si="31"/>
        <v>0.62740183854995235</v>
      </c>
      <c r="AV11" s="72">
        <f t="shared" ca="1" si="32"/>
        <v>1.7600672207318158</v>
      </c>
      <c r="AW11" s="72">
        <f t="shared" ca="1" si="33"/>
        <v>0.31370091927497618</v>
      </c>
      <c r="AX11" s="72">
        <f t="shared" ca="1" si="34"/>
        <v>2.6131457498918538</v>
      </c>
      <c r="AY11" s="72">
        <f t="shared" ca="1" si="35"/>
        <v>5.5304671955383151</v>
      </c>
      <c r="AZ11" s="72">
        <f t="shared" ca="1" si="36"/>
        <v>1.3065728749459269</v>
      </c>
      <c r="BA11" s="72">
        <f t="shared" ca="1" si="37"/>
        <v>8.8261679888457873</v>
      </c>
      <c r="BB11" s="72">
        <f t="shared" ca="1" si="38"/>
        <v>1.2210205011779842</v>
      </c>
      <c r="BC11" s="72">
        <f t="shared" ca="1" si="39"/>
        <v>3.0792185618540291</v>
      </c>
      <c r="BD11" s="72">
        <f t="shared" ca="1" si="40"/>
        <v>0.61051025058899211</v>
      </c>
      <c r="BE11" s="72">
        <f t="shared" ca="1" si="41"/>
        <v>4.023414884754124</v>
      </c>
      <c r="BF11" s="72">
        <f t="shared" ca="1" si="42"/>
        <v>4.8115064601183333</v>
      </c>
      <c r="BG11" s="72">
        <f t="shared" ca="1" si="43"/>
        <v>7.7758539981731385</v>
      </c>
      <c r="BH11" s="72">
        <f t="shared" ca="1" si="44"/>
        <v>4.2904633420839051</v>
      </c>
      <c r="BI11" s="72">
        <f t="shared" ca="1" si="45"/>
        <v>1.1631064853118347</v>
      </c>
      <c r="BJ11" s="72">
        <f t="shared" ca="1" si="46"/>
        <v>6.705691474590207</v>
      </c>
      <c r="BK11" s="72">
        <f t="shared" ca="1" si="47"/>
        <v>3.6501083490552881</v>
      </c>
      <c r="BL11" s="72">
        <f t="shared" ca="1" si="48"/>
        <v>3.3627700037502448</v>
      </c>
      <c r="BM11" s="72">
        <f t="shared" ca="1" si="49"/>
        <v>4.2180708222512182</v>
      </c>
      <c r="BN11" s="72">
        <f t="shared" ca="1" si="50"/>
        <v>0.25096073541998093</v>
      </c>
      <c r="BO11" s="72">
        <f t="shared" ca="1" si="51"/>
        <v>2.4887102379922417</v>
      </c>
      <c r="BP11" s="72">
        <f t="shared" ca="1" si="52"/>
        <v>0.9401794232415136</v>
      </c>
      <c r="BQ11" s="72">
        <f t="shared" ca="1" si="53"/>
        <v>2.691981236597965</v>
      </c>
      <c r="BR11" s="72">
        <f t="shared" ca="1" si="54"/>
        <v>6.2064520336556823</v>
      </c>
      <c r="BS11" s="72">
        <f t="shared" ca="1" si="55"/>
        <v>0.65153267849418128</v>
      </c>
      <c r="BT11" s="72">
        <f t="shared" ca="1" si="56"/>
        <v>3.9266317088322031</v>
      </c>
      <c r="BU11" s="72">
        <f t="shared" ca="1" si="57"/>
        <v>3.3735849892783722</v>
      </c>
      <c r="BV11" s="72">
        <f t="shared" ca="1" si="58"/>
        <v>4.0159064349248332</v>
      </c>
      <c r="BW11" s="72">
        <f t="shared" ca="1" si="59"/>
        <v>5.3473941316411331</v>
      </c>
      <c r="BX11" s="72">
        <f t="shared" ca="1" si="60"/>
        <v>0.58396632665034021</v>
      </c>
      <c r="BY11" s="72">
        <f t="shared" ca="1" si="61"/>
        <v>3.9266317088322031</v>
      </c>
      <c r="BZ11" s="72">
        <f t="shared" ca="1" si="62"/>
        <v>3.3735849892783722</v>
      </c>
      <c r="CA11" s="72">
        <f t="shared" ca="1" si="63"/>
        <v>5.5693120009616921</v>
      </c>
      <c r="CB11" s="72">
        <f t="shared" ca="1" si="64"/>
        <v>4.3194203500169799</v>
      </c>
      <c r="CC11" s="72">
        <f t="shared" ca="1" si="65"/>
        <v>0.71427286234917653</v>
      </c>
      <c r="CD11" s="72">
        <f t="shared" ca="1" si="66"/>
        <v>3.5834242034713899</v>
      </c>
      <c r="CE11" s="72">
        <f t="shared" ca="1" si="67"/>
        <v>2.7684335221886553</v>
      </c>
      <c r="CF11" s="72">
        <f t="shared" ca="1" si="68"/>
        <v>6.600265155440356</v>
      </c>
      <c r="CG11" s="72">
        <f t="shared" ca="1" si="69"/>
        <v>2.7684335221886553</v>
      </c>
      <c r="CH11" s="72">
        <f t="shared" ca="1" si="70"/>
        <v>3.5448929040354029</v>
      </c>
      <c r="CI11" s="72">
        <f t="shared" ca="1" si="71"/>
        <v>8.6070239767298826</v>
      </c>
      <c r="CJ11" s="72">
        <f t="shared" ca="1" si="72"/>
        <v>3.5448929040354029</v>
      </c>
      <c r="CK11" s="72">
        <f t="shared" ca="1" si="73"/>
        <v>2.2065419972114468</v>
      </c>
    </row>
    <row r="12" spans="1:89" x14ac:dyDescent="0.25">
      <c r="A12" t="str">
        <f>Plantilla!D12</f>
        <v>V. Gardner</v>
      </c>
      <c r="B12" s="58">
        <f>Plantilla!E12</f>
        <v>22</v>
      </c>
      <c r="C12" s="98">
        <f ca="1">Plantilla!F12</f>
        <v>33</v>
      </c>
      <c r="D12" s="58">
        <f>Plantilla!G12</f>
        <v>0</v>
      </c>
      <c r="E12" s="207">
        <f>Plantilla!O12</f>
        <v>43756</v>
      </c>
      <c r="F12" s="98">
        <f>Plantilla!Q12</f>
        <v>7</v>
      </c>
      <c r="G12" s="118">
        <f t="shared" si="0"/>
        <v>1</v>
      </c>
      <c r="H12" s="118">
        <f t="shared" si="1"/>
        <v>1</v>
      </c>
      <c r="I12" s="153">
        <f ca="1">Plantilla!P12</f>
        <v>0.89595496648943951</v>
      </c>
      <c r="J12" s="154">
        <f>Plantilla!I12</f>
        <v>3.7</v>
      </c>
      <c r="K12" s="49">
        <f>Plantilla!X12</f>
        <v>0</v>
      </c>
      <c r="L12" s="49">
        <f>Plantilla!Y12</f>
        <v>12</v>
      </c>
      <c r="M12" s="49">
        <f>Plantilla!Z12</f>
        <v>5</v>
      </c>
      <c r="N12" s="49">
        <f>Plantilla!AA12</f>
        <v>3</v>
      </c>
      <c r="O12" s="49">
        <f>Plantilla!AB12</f>
        <v>5</v>
      </c>
      <c r="P12" s="49">
        <f>Plantilla!AC12</f>
        <v>6</v>
      </c>
      <c r="Q12" s="49">
        <f>Plantilla!AD12</f>
        <v>16</v>
      </c>
      <c r="R12" s="154">
        <f t="shared" si="2"/>
        <v>3.125</v>
      </c>
      <c r="S12" s="154">
        <f t="shared" ca="1" si="3"/>
        <v>14.814361556192411</v>
      </c>
      <c r="T12" s="49">
        <f t="shared" si="4"/>
        <v>0.78</v>
      </c>
      <c r="U12" s="49">
        <f t="shared" si="5"/>
        <v>0.96000000000000019</v>
      </c>
      <c r="V12" s="154">
        <f t="shared" ca="1" si="6"/>
        <v>17.675350578384947</v>
      </c>
      <c r="W12" s="154">
        <f t="shared" ca="1" si="7"/>
        <v>17.675350578384947</v>
      </c>
      <c r="X12" s="72">
        <f t="shared" ca="1" si="8"/>
        <v>4.7555554925592629</v>
      </c>
      <c r="Y12" s="72">
        <f t="shared" ca="1" si="9"/>
        <v>7.2347424294318534</v>
      </c>
      <c r="Z12" s="72">
        <f t="shared" ca="1" si="10"/>
        <v>4.7555554925592629</v>
      </c>
      <c r="AA12" s="72">
        <f t="shared" ca="1" si="11"/>
        <v>7.0452355488666427</v>
      </c>
      <c r="AB12" s="72">
        <f t="shared" ca="1" si="12"/>
        <v>13.653557265245432</v>
      </c>
      <c r="AC12" s="72">
        <f t="shared" ca="1" si="13"/>
        <v>3.5226177744333214</v>
      </c>
      <c r="AD12" s="72">
        <f t="shared" ca="1" si="14"/>
        <v>1.583546629128413</v>
      </c>
      <c r="AE12" s="72">
        <f t="shared" ca="1" si="15"/>
        <v>5.1610446462627735</v>
      </c>
      <c r="AF12" s="72">
        <f t="shared" ca="1" si="16"/>
        <v>9.8715219027724466</v>
      </c>
      <c r="AG12" s="72">
        <f t="shared" ca="1" si="17"/>
        <v>2.5805223231313867</v>
      </c>
      <c r="AH12" s="72">
        <f t="shared" ca="1" si="18"/>
        <v>2.5616195471194918</v>
      </c>
      <c r="AI12" s="72">
        <f t="shared" ca="1" si="19"/>
        <v>12.561272684025798</v>
      </c>
      <c r="AJ12" s="72">
        <f t="shared" ca="1" si="20"/>
        <v>5.6525727078116086</v>
      </c>
      <c r="AK12" s="72">
        <f t="shared" ca="1" si="21"/>
        <v>1.1111440632959872</v>
      </c>
      <c r="AL12" s="72">
        <f t="shared" ca="1" si="22"/>
        <v>2.7362916719643144</v>
      </c>
      <c r="AM12" s="72">
        <f t="shared" ca="1" si="23"/>
        <v>10.294782177995057</v>
      </c>
      <c r="AN12" s="72">
        <f t="shared" ca="1" si="24"/>
        <v>9.6667185437937651</v>
      </c>
      <c r="AO12" s="72">
        <f t="shared" ca="1" si="25"/>
        <v>2.9481440632959881</v>
      </c>
      <c r="AP12" s="72">
        <f t="shared" ca="1" si="26"/>
        <v>1.3762244923906846</v>
      </c>
      <c r="AQ12" s="72">
        <f t="shared" ca="1" si="27"/>
        <v>3.6864604616162668</v>
      </c>
      <c r="AR12" s="72">
        <f t="shared" ca="1" si="28"/>
        <v>8.1102130155557859</v>
      </c>
      <c r="AS12" s="72">
        <f t="shared" ca="1" si="29"/>
        <v>1.8432302308081334</v>
      </c>
      <c r="AT12" s="72">
        <f t="shared" ca="1" si="30"/>
        <v>6.280958058391688</v>
      </c>
      <c r="AU12" s="72">
        <f t="shared" ca="1" si="31"/>
        <v>0.86496244448190629</v>
      </c>
      <c r="AV12" s="72">
        <f t="shared" ca="1" si="32"/>
        <v>2.1224922787169116</v>
      </c>
      <c r="AW12" s="72">
        <f t="shared" ca="1" si="33"/>
        <v>0.43248122224095314</v>
      </c>
      <c r="AX12" s="72">
        <f t="shared" ca="1" si="34"/>
        <v>2.5805223231313867</v>
      </c>
      <c r="AY12" s="72">
        <f t="shared" ca="1" si="35"/>
        <v>5.4614229060981732</v>
      </c>
      <c r="AZ12" s="72">
        <f t="shared" ca="1" si="36"/>
        <v>1.2902611615656934</v>
      </c>
      <c r="BA12" s="72">
        <f t="shared" ca="1" si="37"/>
        <v>6.6535572652454329</v>
      </c>
      <c r="BB12" s="72">
        <f t="shared" ca="1" si="38"/>
        <v>1.6833499881070946</v>
      </c>
      <c r="BC12" s="72">
        <f t="shared" ca="1" si="39"/>
        <v>3.8761100531502333</v>
      </c>
      <c r="BD12" s="72">
        <f t="shared" ca="1" si="40"/>
        <v>0.84167499405354729</v>
      </c>
      <c r="BE12" s="72">
        <f t="shared" ca="1" si="41"/>
        <v>3.9731851641864204</v>
      </c>
      <c r="BF12" s="72">
        <f t="shared" ca="1" si="42"/>
        <v>4.7514379283054105</v>
      </c>
      <c r="BG12" s="72">
        <f t="shared" ca="1" si="43"/>
        <v>5.8617839506812262</v>
      </c>
      <c r="BH12" s="72">
        <f t="shared" ca="1" si="44"/>
        <v>4.7670124088031898</v>
      </c>
      <c r="BI12" s="72">
        <f t="shared" ca="1" si="45"/>
        <v>1.6035073009241492</v>
      </c>
      <c r="BJ12" s="72">
        <f t="shared" ca="1" si="46"/>
        <v>6.6219752736440345</v>
      </c>
      <c r="BK12" s="72">
        <f t="shared" ca="1" si="47"/>
        <v>3.6045391180247943</v>
      </c>
      <c r="BL12" s="72">
        <f t="shared" ca="1" si="48"/>
        <v>2.5350053180585101</v>
      </c>
      <c r="BM12" s="72">
        <f t="shared" ca="1" si="49"/>
        <v>4.4692090498245083</v>
      </c>
      <c r="BN12" s="72">
        <f t="shared" ca="1" si="50"/>
        <v>0.34598497779276249</v>
      </c>
      <c r="BO12" s="72">
        <f t="shared" ca="1" si="51"/>
        <v>2.4576403077441777</v>
      </c>
      <c r="BP12" s="72">
        <f t="shared" ca="1" si="52"/>
        <v>0.92844189403668942</v>
      </c>
      <c r="BQ12" s="72">
        <f t="shared" ca="1" si="53"/>
        <v>2.029334965899857</v>
      </c>
      <c r="BR12" s="72">
        <f t="shared" ca="1" si="54"/>
        <v>6.5564746431056262</v>
      </c>
      <c r="BS12" s="72">
        <f t="shared" ca="1" si="55"/>
        <v>0.89823023080813347</v>
      </c>
      <c r="BT12" s="72">
        <f t="shared" ca="1" si="56"/>
        <v>3.8776102633297023</v>
      </c>
      <c r="BU12" s="72">
        <f t="shared" ca="1" si="57"/>
        <v>3.3314679727198855</v>
      </c>
      <c r="BV12" s="72">
        <f t="shared" ca="1" si="58"/>
        <v>3.0273685556866723</v>
      </c>
      <c r="BW12" s="72">
        <f t="shared" ca="1" si="59"/>
        <v>5.64414144989194</v>
      </c>
      <c r="BX12" s="72">
        <f t="shared" ca="1" si="60"/>
        <v>0.80508042909469735</v>
      </c>
      <c r="BY12" s="72">
        <f t="shared" ca="1" si="61"/>
        <v>3.8776102633297023</v>
      </c>
      <c r="BZ12" s="72">
        <f t="shared" ca="1" si="62"/>
        <v>3.3314679727198855</v>
      </c>
      <c r="CA12" s="72">
        <f t="shared" ca="1" si="63"/>
        <v>4.1983946343698682</v>
      </c>
      <c r="CB12" s="72">
        <f t="shared" ca="1" si="64"/>
        <v>4.5509337523946627</v>
      </c>
      <c r="CC12" s="72">
        <f t="shared" ca="1" si="65"/>
        <v>0.98472647525632406</v>
      </c>
      <c r="CD12" s="72">
        <f t="shared" ca="1" si="66"/>
        <v>2.701344249689646</v>
      </c>
      <c r="CE12" s="72">
        <f t="shared" ca="1" si="67"/>
        <v>3.3055033351928702</v>
      </c>
      <c r="CF12" s="72">
        <f t="shared" ca="1" si="68"/>
        <v>8.0749054806663576</v>
      </c>
      <c r="CG12" s="72">
        <f t="shared" ca="1" si="69"/>
        <v>3.3055033351928702</v>
      </c>
      <c r="CH12" s="72">
        <f t="shared" ca="1" si="70"/>
        <v>3.9902178849606509</v>
      </c>
      <c r="CI12" s="72">
        <f t="shared" ca="1" si="71"/>
        <v>10.108719896120999</v>
      </c>
      <c r="CJ12" s="72">
        <f t="shared" ca="1" si="72"/>
        <v>3.9902178849606509</v>
      </c>
      <c r="CK12" s="72">
        <f t="shared" ca="1" si="73"/>
        <v>1.6633893163113582</v>
      </c>
    </row>
    <row r="13" spans="1:89" x14ac:dyDescent="0.25">
      <c r="A13" t="str">
        <f>Plantilla!D13</f>
        <v>S. Embe</v>
      </c>
      <c r="B13" s="58">
        <f>Plantilla!E13</f>
        <v>22</v>
      </c>
      <c r="C13" s="98">
        <f ca="1">Plantilla!F13</f>
        <v>89</v>
      </c>
      <c r="D13" s="58">
        <f>Plantilla!G13</f>
        <v>0</v>
      </c>
      <c r="E13" s="207">
        <f>Plantilla!O13</f>
        <v>43920</v>
      </c>
      <c r="F13" s="98">
        <f>Plantilla!Q13</f>
        <v>6</v>
      </c>
      <c r="G13" s="118">
        <f t="shared" si="0"/>
        <v>0.92582009977255142</v>
      </c>
      <c r="H13" s="118">
        <f t="shared" si="1"/>
        <v>0.99928545900129484</v>
      </c>
      <c r="I13" s="153">
        <f ca="1">Plantilla!P13</f>
        <v>0.51462741468122808</v>
      </c>
      <c r="J13" s="154">
        <f>Plantilla!I13</f>
        <v>2.5</v>
      </c>
      <c r="K13" s="49">
        <f>Plantilla!X13</f>
        <v>0</v>
      </c>
      <c r="L13" s="49">
        <f>Plantilla!Y13</f>
        <v>11</v>
      </c>
      <c r="M13" s="49">
        <f>Plantilla!Z13</f>
        <v>4</v>
      </c>
      <c r="N13" s="49">
        <f>Plantilla!AA13</f>
        <v>1</v>
      </c>
      <c r="O13" s="49">
        <f>Plantilla!AB13</f>
        <v>5</v>
      </c>
      <c r="P13" s="49">
        <f>Plantilla!AC13</f>
        <v>6</v>
      </c>
      <c r="Q13" s="49">
        <f>Plantilla!AD13</f>
        <v>17.333333333333332</v>
      </c>
      <c r="R13" s="154">
        <f t="shared" si="2"/>
        <v>3</v>
      </c>
      <c r="S13" s="154">
        <f t="shared" ca="1" si="3"/>
        <v>14.203256478665788</v>
      </c>
      <c r="T13" s="49">
        <f t="shared" si="4"/>
        <v>0.82</v>
      </c>
      <c r="U13" s="49">
        <f t="shared" si="5"/>
        <v>0.96</v>
      </c>
      <c r="V13" s="154">
        <f t="shared" ca="1" si="6"/>
        <v>17.089749372453209</v>
      </c>
      <c r="W13" s="154">
        <f t="shared" ca="1" si="7"/>
        <v>18.445849307078642</v>
      </c>
      <c r="X13" s="72">
        <f t="shared" ca="1" si="8"/>
        <v>3.9484719031109643</v>
      </c>
      <c r="Y13" s="72">
        <f t="shared" ca="1" si="9"/>
        <v>6.0243713939475994</v>
      </c>
      <c r="Z13" s="72">
        <f t="shared" ca="1" si="10"/>
        <v>3.9484719031109643</v>
      </c>
      <c r="AA13" s="72">
        <f t="shared" ca="1" si="11"/>
        <v>6.2153304719418765</v>
      </c>
      <c r="AB13" s="72">
        <f t="shared" ca="1" si="12"/>
        <v>12.045214092910612</v>
      </c>
      <c r="AC13" s="72">
        <f t="shared" ca="1" si="13"/>
        <v>3.1076652359709382</v>
      </c>
      <c r="AD13" s="72">
        <f t="shared" ca="1" si="14"/>
        <v>1.2007609541127255</v>
      </c>
      <c r="AE13" s="72">
        <f t="shared" ca="1" si="15"/>
        <v>4.5530909271202118</v>
      </c>
      <c r="AF13" s="72">
        <f t="shared" ca="1" si="16"/>
        <v>8.7086897891743718</v>
      </c>
      <c r="AG13" s="72">
        <f t="shared" ca="1" si="17"/>
        <v>2.2765454635601059</v>
      </c>
      <c r="AH13" s="72">
        <f t="shared" ca="1" si="18"/>
        <v>1.9424074257705854</v>
      </c>
      <c r="AI13" s="72">
        <f t="shared" ca="1" si="19"/>
        <v>11.081596965477763</v>
      </c>
      <c r="AJ13" s="72">
        <f t="shared" ca="1" si="20"/>
        <v>4.9867186344649932</v>
      </c>
      <c r="AK13" s="72">
        <f t="shared" ca="1" si="21"/>
        <v>0.84255075351607212</v>
      </c>
      <c r="AL13" s="72">
        <f t="shared" ca="1" si="22"/>
        <v>1.2025858866314394</v>
      </c>
      <c r="AM13" s="72">
        <f t="shared" ca="1" si="23"/>
        <v>9.0820914260546015</v>
      </c>
      <c r="AN13" s="72">
        <f t="shared" ca="1" si="24"/>
        <v>8.5280115777807133</v>
      </c>
      <c r="AO13" s="72">
        <f t="shared" ca="1" si="25"/>
        <v>3.0692174201827389</v>
      </c>
      <c r="AP13" s="72">
        <f t="shared" ca="1" si="26"/>
        <v>1.165021658758256</v>
      </c>
      <c r="AQ13" s="72">
        <f t="shared" ca="1" si="27"/>
        <v>3.2522078050858654</v>
      </c>
      <c r="AR13" s="72">
        <f t="shared" ca="1" si="28"/>
        <v>7.1548571711889037</v>
      </c>
      <c r="AS13" s="72">
        <f t="shared" ca="1" si="29"/>
        <v>1.6261039025429327</v>
      </c>
      <c r="AT13" s="72">
        <f t="shared" ca="1" si="30"/>
        <v>4.7626821037076166</v>
      </c>
      <c r="AU13" s="72">
        <f t="shared" ca="1" si="31"/>
        <v>0.78587783207837947</v>
      </c>
      <c r="AV13" s="72">
        <f t="shared" ca="1" si="32"/>
        <v>1.9442477292228091</v>
      </c>
      <c r="AW13" s="72">
        <f t="shared" ca="1" si="33"/>
        <v>0.39293891603918973</v>
      </c>
      <c r="AX13" s="72">
        <f t="shared" ca="1" si="34"/>
        <v>2.2765454635601059</v>
      </c>
      <c r="AY13" s="72">
        <f t="shared" ca="1" si="35"/>
        <v>4.8180856371642449</v>
      </c>
      <c r="AZ13" s="72">
        <f t="shared" ca="1" si="36"/>
        <v>1.1382727317800529</v>
      </c>
      <c r="BA13" s="72">
        <f t="shared" ca="1" si="37"/>
        <v>5.0452140929106113</v>
      </c>
      <c r="BB13" s="72">
        <f t="shared" ca="1" si="38"/>
        <v>1.5294391655063846</v>
      </c>
      <c r="BC13" s="72">
        <f t="shared" ca="1" si="39"/>
        <v>3.5409129651937468</v>
      </c>
      <c r="BD13" s="72">
        <f t="shared" ca="1" si="40"/>
        <v>0.7647195827531923</v>
      </c>
      <c r="BE13" s="72">
        <f t="shared" ca="1" si="41"/>
        <v>3.5051573010369879</v>
      </c>
      <c r="BF13" s="72">
        <f t="shared" ca="1" si="42"/>
        <v>4.1917345043328931</v>
      </c>
      <c r="BG13" s="72">
        <f t="shared" ca="1" si="43"/>
        <v>4.4448336158542485</v>
      </c>
      <c r="BH13" s="72">
        <f t="shared" ca="1" si="44"/>
        <v>3.0781953285975332</v>
      </c>
      <c r="BI13" s="72">
        <f t="shared" ca="1" si="45"/>
        <v>1.4568965963914573</v>
      </c>
      <c r="BJ13" s="72">
        <f t="shared" ca="1" si="46"/>
        <v>5.8419288350616467</v>
      </c>
      <c r="BK13" s="72">
        <f t="shared" ca="1" si="47"/>
        <v>3.1799365205284018</v>
      </c>
      <c r="BL13" s="72">
        <f t="shared" ca="1" si="48"/>
        <v>1.9222265693989429</v>
      </c>
      <c r="BM13" s="72">
        <f t="shared" ca="1" si="49"/>
        <v>2.5915171172038742</v>
      </c>
      <c r="BN13" s="72">
        <f t="shared" ca="1" si="50"/>
        <v>0.3143511328313518</v>
      </c>
      <c r="BO13" s="72">
        <f t="shared" ca="1" si="51"/>
        <v>2.1681385367239101</v>
      </c>
      <c r="BP13" s="72">
        <f t="shared" ca="1" si="52"/>
        <v>0.81907455831792164</v>
      </c>
      <c r="BQ13" s="72">
        <f t="shared" ca="1" si="53"/>
        <v>1.5387902983377364</v>
      </c>
      <c r="BR13" s="72">
        <f t="shared" ca="1" si="54"/>
        <v>3.774145323483046</v>
      </c>
      <c r="BS13" s="72">
        <f t="shared" ca="1" si="55"/>
        <v>0.81610390254293252</v>
      </c>
      <c r="BT13" s="72">
        <f t="shared" ca="1" si="56"/>
        <v>3.4208408023866137</v>
      </c>
      <c r="BU13" s="72">
        <f t="shared" ca="1" si="57"/>
        <v>2.9390322386701895</v>
      </c>
      <c r="BV13" s="72">
        <f t="shared" ca="1" si="58"/>
        <v>2.2955724122743284</v>
      </c>
      <c r="BW13" s="72">
        <f t="shared" ca="1" si="59"/>
        <v>3.2420972149449572</v>
      </c>
      <c r="BX13" s="72">
        <f t="shared" ca="1" si="60"/>
        <v>0.73147090524218394</v>
      </c>
      <c r="BY13" s="72">
        <f t="shared" ca="1" si="61"/>
        <v>3.4208408023866137</v>
      </c>
      <c r="BZ13" s="72">
        <f t="shared" ca="1" si="62"/>
        <v>2.9390322386701895</v>
      </c>
      <c r="CA13" s="72">
        <f t="shared" ca="1" si="63"/>
        <v>3.1835300926265959</v>
      </c>
      <c r="CB13" s="72">
        <f t="shared" ca="1" si="64"/>
        <v>2.6024666131549967</v>
      </c>
      <c r="CC13" s="72">
        <f t="shared" ca="1" si="65"/>
        <v>0.8946916857507704</v>
      </c>
      <c r="CD13" s="72">
        <f t="shared" ca="1" si="66"/>
        <v>2.0483569217217084</v>
      </c>
      <c r="CE13" s="72">
        <f t="shared" ca="1" si="67"/>
        <v>2.7005565424064284</v>
      </c>
      <c r="CF13" s="72">
        <f t="shared" ca="1" si="68"/>
        <v>7.3899110686173479</v>
      </c>
      <c r="CG13" s="72">
        <f t="shared" ca="1" si="69"/>
        <v>2.7005565424064284</v>
      </c>
      <c r="CH13" s="72">
        <f t="shared" ca="1" si="70"/>
        <v>3.2683652520661917</v>
      </c>
      <c r="CI13" s="72">
        <f t="shared" ca="1" si="71"/>
        <v>9.2758980931946269</v>
      </c>
      <c r="CJ13" s="72">
        <f t="shared" ca="1" si="72"/>
        <v>3.2683652520661917</v>
      </c>
      <c r="CK13" s="72">
        <f t="shared" ca="1" si="73"/>
        <v>1.2613035232276528</v>
      </c>
    </row>
    <row r="14" spans="1:89" x14ac:dyDescent="0.25">
      <c r="A14" t="str">
        <f>Plantilla!D14</f>
        <v>E. Deus</v>
      </c>
      <c r="B14" s="58">
        <f>Plantilla!E14</f>
        <v>21</v>
      </c>
      <c r="C14" s="98">
        <f ca="1">Plantilla!F14</f>
        <v>72</v>
      </c>
      <c r="D14" s="58" t="str">
        <f>Plantilla!G14</f>
        <v>IMP</v>
      </c>
      <c r="E14" s="207">
        <f>Plantilla!O14</f>
        <v>43898</v>
      </c>
      <c r="F14" s="98">
        <f>Plantilla!Q14</f>
        <v>6</v>
      </c>
      <c r="G14" s="118">
        <f t="shared" si="0"/>
        <v>0.92582009977255142</v>
      </c>
      <c r="H14" s="118">
        <f t="shared" si="1"/>
        <v>0.99928545900129484</v>
      </c>
      <c r="I14" s="153">
        <f ca="1">Plantilla!P14</f>
        <v>0.57364484417316941</v>
      </c>
      <c r="J14" s="154">
        <f>Plantilla!I14</f>
        <v>3.9</v>
      </c>
      <c r="K14" s="49">
        <f>Plantilla!X14</f>
        <v>0</v>
      </c>
      <c r="L14" s="49">
        <f>Plantilla!Y14</f>
        <v>11</v>
      </c>
      <c r="M14" s="49">
        <f>Plantilla!Z14</f>
        <v>7</v>
      </c>
      <c r="N14" s="49">
        <f>Plantilla!AA14</f>
        <v>1</v>
      </c>
      <c r="O14" s="49">
        <f>Plantilla!AB14</f>
        <v>6</v>
      </c>
      <c r="P14" s="49">
        <f>Plantilla!AC14</f>
        <v>5</v>
      </c>
      <c r="Q14" s="49">
        <f>Plantilla!AD14</f>
        <v>15.333333333333334</v>
      </c>
      <c r="R14" s="154">
        <f t="shared" si="2"/>
        <v>3.25</v>
      </c>
      <c r="S14" s="154">
        <f t="shared" ca="1" si="3"/>
        <v>12.142758814327459</v>
      </c>
      <c r="T14" s="49">
        <f t="shared" si="4"/>
        <v>0.71</v>
      </c>
      <c r="U14" s="49">
        <f t="shared" si="5"/>
        <v>0.9</v>
      </c>
      <c r="V14" s="154">
        <f t="shared" ca="1" si="6"/>
        <v>15.525279031483423</v>
      </c>
      <c r="W14" s="154">
        <f t="shared" ca="1" si="7"/>
        <v>16.75723565184046</v>
      </c>
      <c r="X14" s="72">
        <f t="shared" ca="1" si="8"/>
        <v>4.2247911515420231</v>
      </c>
      <c r="Y14" s="72">
        <f t="shared" ca="1" si="9"/>
        <v>6.4329947040558428</v>
      </c>
      <c r="Z14" s="72">
        <f t="shared" ca="1" si="10"/>
        <v>4.2247911515420231</v>
      </c>
      <c r="AA14" s="72">
        <f t="shared" ca="1" si="11"/>
        <v>6.3786531892275882</v>
      </c>
      <c r="AB14" s="72">
        <f t="shared" ca="1" si="12"/>
        <v>12.36173098687517</v>
      </c>
      <c r="AC14" s="72">
        <f t="shared" ca="1" si="13"/>
        <v>3.1893265946137941</v>
      </c>
      <c r="AD14" s="72">
        <f t="shared" ca="1" si="14"/>
        <v>1.99009197487629</v>
      </c>
      <c r="AE14" s="72">
        <f t="shared" ca="1" si="15"/>
        <v>4.6727343130388146</v>
      </c>
      <c r="AF14" s="72">
        <f t="shared" ca="1" si="16"/>
        <v>8.9375315035107477</v>
      </c>
      <c r="AG14" s="72">
        <f t="shared" ca="1" si="17"/>
        <v>2.3363671565194073</v>
      </c>
      <c r="AH14" s="72">
        <f t="shared" ca="1" si="18"/>
        <v>3.2192664299469396</v>
      </c>
      <c r="AI14" s="72">
        <f t="shared" ca="1" si="19"/>
        <v>11.372792507925157</v>
      </c>
      <c r="AJ14" s="72">
        <f t="shared" ca="1" si="20"/>
        <v>5.1177566285663199</v>
      </c>
      <c r="AK14" s="72">
        <f t="shared" ca="1" si="21"/>
        <v>1.396409074808153</v>
      </c>
      <c r="AL14" s="72">
        <f t="shared" ca="1" si="22"/>
        <v>1.388697820282599</v>
      </c>
      <c r="AM14" s="72">
        <f t="shared" ca="1" si="23"/>
        <v>9.3207451641038777</v>
      </c>
      <c r="AN14" s="72">
        <f t="shared" ca="1" si="24"/>
        <v>8.7521055387076192</v>
      </c>
      <c r="AO14" s="72">
        <f t="shared" ca="1" si="25"/>
        <v>2.7880757414748198</v>
      </c>
      <c r="AP14" s="72">
        <f t="shared" ca="1" si="26"/>
        <v>1.3281785242200483</v>
      </c>
      <c r="AQ14" s="72">
        <f t="shared" ca="1" si="27"/>
        <v>3.3376673664562961</v>
      </c>
      <c r="AR14" s="72">
        <f t="shared" ca="1" si="28"/>
        <v>7.3428682062038506</v>
      </c>
      <c r="AS14" s="72">
        <f t="shared" ca="1" si="29"/>
        <v>1.6688336832281481</v>
      </c>
      <c r="AT14" s="72">
        <f t="shared" ca="1" si="30"/>
        <v>7.8934740516101582</v>
      </c>
      <c r="AU14" s="72">
        <f t="shared" ca="1" si="31"/>
        <v>0.9570250282937719</v>
      </c>
      <c r="AV14" s="72">
        <f t="shared" ca="1" si="32"/>
        <v>1.9839871791544241</v>
      </c>
      <c r="AW14" s="72">
        <f t="shared" ca="1" si="33"/>
        <v>0.47851251414688595</v>
      </c>
      <c r="AX14" s="72">
        <f t="shared" ca="1" si="34"/>
        <v>2.3363671565194073</v>
      </c>
      <c r="AY14" s="72">
        <f t="shared" ca="1" si="35"/>
        <v>4.9446923947500681</v>
      </c>
      <c r="AZ14" s="72">
        <f t="shared" ca="1" si="36"/>
        <v>1.1681835782597036</v>
      </c>
      <c r="BA14" s="72">
        <f t="shared" ca="1" si="37"/>
        <v>8.3617309868751679</v>
      </c>
      <c r="BB14" s="72">
        <f t="shared" ca="1" si="38"/>
        <v>1.8625179396794176</v>
      </c>
      <c r="BC14" s="72">
        <f t="shared" ca="1" si="39"/>
        <v>3.8463137737682178</v>
      </c>
      <c r="BD14" s="72">
        <f t="shared" ca="1" si="40"/>
        <v>0.93125896983970879</v>
      </c>
      <c r="BE14" s="72">
        <f t="shared" ca="1" si="41"/>
        <v>3.5972637171806743</v>
      </c>
      <c r="BF14" s="72">
        <f t="shared" ca="1" si="42"/>
        <v>4.3018823834325586</v>
      </c>
      <c r="BG14" s="72">
        <f t="shared" ca="1" si="43"/>
        <v>7.3666849994370232</v>
      </c>
      <c r="BH14" s="72">
        <f t="shared" ca="1" si="44"/>
        <v>3.6745788473320244</v>
      </c>
      <c r="BI14" s="72">
        <f t="shared" ca="1" si="45"/>
        <v>1.7741771678369154</v>
      </c>
      <c r="BJ14" s="72">
        <f t="shared" ca="1" si="46"/>
        <v>5.9954395286344573</v>
      </c>
      <c r="BK14" s="72">
        <f t="shared" ca="1" si="47"/>
        <v>3.2634969805350451</v>
      </c>
      <c r="BL14" s="72">
        <f t="shared" ca="1" si="48"/>
        <v>3.1858195059994392</v>
      </c>
      <c r="BM14" s="72">
        <f t="shared" ca="1" si="49"/>
        <v>3.069152882528897</v>
      </c>
      <c r="BN14" s="72">
        <f t="shared" ca="1" si="50"/>
        <v>0.38281001131750869</v>
      </c>
      <c r="BO14" s="72">
        <f t="shared" ca="1" si="51"/>
        <v>2.2251115776375303</v>
      </c>
      <c r="BP14" s="72">
        <f t="shared" ca="1" si="52"/>
        <v>0.84059770710751158</v>
      </c>
      <c r="BQ14" s="72">
        <f t="shared" ca="1" si="53"/>
        <v>2.5503279509969263</v>
      </c>
      <c r="BR14" s="72">
        <f t="shared" ca="1" si="54"/>
        <v>4.4671860491214659</v>
      </c>
      <c r="BS14" s="72">
        <f t="shared" ca="1" si="55"/>
        <v>0.99383368322814769</v>
      </c>
      <c r="BT14" s="72">
        <f t="shared" ca="1" si="56"/>
        <v>3.5107316002725479</v>
      </c>
      <c r="BU14" s="72">
        <f t="shared" ca="1" si="57"/>
        <v>3.0162623607975414</v>
      </c>
      <c r="BV14" s="72">
        <f t="shared" ca="1" si="58"/>
        <v>3.8045875990282014</v>
      </c>
      <c r="BW14" s="72">
        <f t="shared" ca="1" si="59"/>
        <v>3.836797933457686</v>
      </c>
      <c r="BX14" s="72">
        <f t="shared" ca="1" si="60"/>
        <v>0.89076944941189529</v>
      </c>
      <c r="BY14" s="72">
        <f t="shared" ca="1" si="61"/>
        <v>3.5107316002725479</v>
      </c>
      <c r="BZ14" s="72">
        <f t="shared" ca="1" si="62"/>
        <v>3.0162623607975414</v>
      </c>
      <c r="CA14" s="72">
        <f t="shared" ca="1" si="63"/>
        <v>5.2762522527182307</v>
      </c>
      <c r="CB14" s="72">
        <f t="shared" ca="1" si="64"/>
        <v>3.0787492332532755</v>
      </c>
      <c r="CC14" s="72">
        <f t="shared" ca="1" si="65"/>
        <v>1.0895361860575248</v>
      </c>
      <c r="CD14" s="72">
        <f t="shared" ca="1" si="66"/>
        <v>3.3948627806713185</v>
      </c>
      <c r="CE14" s="72">
        <f t="shared" ca="1" si="67"/>
        <v>2.9884618441619626</v>
      </c>
      <c r="CF14" s="72">
        <f t="shared" ca="1" si="68"/>
        <v>7.7063090912214394</v>
      </c>
      <c r="CG14" s="72">
        <f t="shared" ca="1" si="69"/>
        <v>2.9884618441619626</v>
      </c>
      <c r="CH14" s="72">
        <f t="shared" ca="1" si="70"/>
        <v>3.3322107453382062</v>
      </c>
      <c r="CI14" s="72">
        <f t="shared" ca="1" si="71"/>
        <v>9.0782097210321044</v>
      </c>
      <c r="CJ14" s="72">
        <f t="shared" ca="1" si="72"/>
        <v>3.3322107453382062</v>
      </c>
      <c r="CK14" s="72">
        <f t="shared" ca="1" si="73"/>
        <v>2.090432746718792</v>
      </c>
    </row>
    <row r="15" spans="1:89" x14ac:dyDescent="0.25">
      <c r="A15" t="str">
        <f>Plantilla!D15</f>
        <v>I. Vanags</v>
      </c>
      <c r="B15" s="58">
        <f>Plantilla!E15</f>
        <v>22</v>
      </c>
      <c r="C15" s="98">
        <f ca="1">Plantilla!F15</f>
        <v>20</v>
      </c>
      <c r="D15" s="58" t="str">
        <f>Plantilla!G15</f>
        <v>CAB</v>
      </c>
      <c r="E15" s="207">
        <f>Plantilla!O15</f>
        <v>43626</v>
      </c>
      <c r="F15" s="98">
        <f>Plantilla!Q15</f>
        <v>7</v>
      </c>
      <c r="G15" s="118">
        <f t="shared" si="0"/>
        <v>1</v>
      </c>
      <c r="H15" s="118">
        <f t="shared" si="1"/>
        <v>1</v>
      </c>
      <c r="I15" s="153">
        <f ca="1">Plantilla!P15</f>
        <v>1</v>
      </c>
      <c r="J15" s="154">
        <f>Plantilla!I15</f>
        <v>2.6</v>
      </c>
      <c r="K15" s="49">
        <f>Plantilla!X15</f>
        <v>0</v>
      </c>
      <c r="L15" s="49">
        <f>Plantilla!Y15</f>
        <v>4</v>
      </c>
      <c r="M15" s="49">
        <f>Plantilla!Z15</f>
        <v>13</v>
      </c>
      <c r="N15" s="49">
        <f>Plantilla!AA15</f>
        <v>3</v>
      </c>
      <c r="O15" s="49">
        <f>Plantilla!AB15</f>
        <v>4</v>
      </c>
      <c r="P15" s="49">
        <f>Plantilla!AC15</f>
        <v>7</v>
      </c>
      <c r="Q15" s="49">
        <f>Plantilla!AD15</f>
        <v>16.333333333333332</v>
      </c>
      <c r="R15" s="154">
        <f t="shared" si="2"/>
        <v>1.875</v>
      </c>
      <c r="S15" s="154">
        <f t="shared" ca="1" si="3"/>
        <v>16.436121465354006</v>
      </c>
      <c r="T15" s="49">
        <f t="shared" si="4"/>
        <v>0.83999999999999986</v>
      </c>
      <c r="U15" s="49">
        <f t="shared" si="5"/>
        <v>0.65</v>
      </c>
      <c r="V15" s="154">
        <f t="shared" ca="1" si="6"/>
        <v>17.886631130627755</v>
      </c>
      <c r="W15" s="154">
        <f t="shared" ca="1" si="7"/>
        <v>17.886631130627755</v>
      </c>
      <c r="X15" s="72">
        <f t="shared" ca="1" si="8"/>
        <v>2.4600289770380321</v>
      </c>
      <c r="Y15" s="72">
        <f t="shared" ca="1" si="9"/>
        <v>3.7053074563071013</v>
      </c>
      <c r="Z15" s="72">
        <f t="shared" ca="1" si="10"/>
        <v>2.4600289770380321</v>
      </c>
      <c r="AA15" s="72">
        <f t="shared" ca="1" si="11"/>
        <v>2.865501663403923</v>
      </c>
      <c r="AB15" s="72">
        <f t="shared" ca="1" si="12"/>
        <v>5.553297797294424</v>
      </c>
      <c r="AC15" s="72">
        <f t="shared" ca="1" si="13"/>
        <v>1.4327508317019615</v>
      </c>
      <c r="AD15" s="72">
        <f t="shared" ca="1" si="14"/>
        <v>3.4636848757560728</v>
      </c>
      <c r="AE15" s="72">
        <f t="shared" ca="1" si="15"/>
        <v>2.0991465673772924</v>
      </c>
      <c r="AF15" s="72">
        <f t="shared" ca="1" si="16"/>
        <v>4.0150343074438686</v>
      </c>
      <c r="AG15" s="72">
        <f t="shared" ca="1" si="17"/>
        <v>1.0495732836886462</v>
      </c>
      <c r="AH15" s="72">
        <f t="shared" ca="1" si="18"/>
        <v>5.6030196519583528</v>
      </c>
      <c r="AI15" s="72">
        <f t="shared" ca="1" si="19"/>
        <v>5.1090339735108703</v>
      </c>
      <c r="AJ15" s="72">
        <f t="shared" ca="1" si="20"/>
        <v>2.2990652880798912</v>
      </c>
      <c r="AK15" s="72">
        <f t="shared" ca="1" si="21"/>
        <v>2.4304007321481689</v>
      </c>
      <c r="AL15" s="72">
        <f t="shared" ca="1" si="22"/>
        <v>2.6773391048091213</v>
      </c>
      <c r="AM15" s="72">
        <f t="shared" ca="1" si="23"/>
        <v>4.1871865391599954</v>
      </c>
      <c r="AN15" s="72">
        <f t="shared" ca="1" si="24"/>
        <v>3.9317348404844519</v>
      </c>
      <c r="AO15" s="72">
        <f t="shared" ca="1" si="25"/>
        <v>2.9870673988148351</v>
      </c>
      <c r="AP15" s="72">
        <f t="shared" ca="1" si="26"/>
        <v>0.98734976562079402</v>
      </c>
      <c r="AQ15" s="72">
        <f t="shared" ca="1" si="27"/>
        <v>1.4993904052694946</v>
      </c>
      <c r="AR15" s="72">
        <f t="shared" ca="1" si="28"/>
        <v>3.2986588915928876</v>
      </c>
      <c r="AS15" s="72">
        <f t="shared" ca="1" si="29"/>
        <v>0.74969520263474732</v>
      </c>
      <c r="AT15" s="72">
        <f t="shared" ca="1" si="30"/>
        <v>13.738313120645934</v>
      </c>
      <c r="AU15" s="72">
        <f t="shared" ca="1" si="31"/>
        <v>0.72192871364827516</v>
      </c>
      <c r="AV15" s="72">
        <f t="shared" ca="1" si="32"/>
        <v>2.1461162546072661</v>
      </c>
      <c r="AW15" s="72">
        <f t="shared" ca="1" si="33"/>
        <v>0.36096435682413758</v>
      </c>
      <c r="AX15" s="72">
        <f t="shared" ca="1" si="34"/>
        <v>1.0495732836886462</v>
      </c>
      <c r="AY15" s="72">
        <f t="shared" ca="1" si="35"/>
        <v>2.2213191189177697</v>
      </c>
      <c r="AZ15" s="72">
        <f t="shared" ca="1" si="36"/>
        <v>0.52478664184432311</v>
      </c>
      <c r="BA15" s="72">
        <f t="shared" ca="1" si="37"/>
        <v>14.553297797294423</v>
      </c>
      <c r="BB15" s="72">
        <f t="shared" ca="1" si="38"/>
        <v>1.4049843427154893</v>
      </c>
      <c r="BC15" s="72">
        <f t="shared" ca="1" si="39"/>
        <v>3.6898670863092278</v>
      </c>
      <c r="BD15" s="72">
        <f t="shared" ca="1" si="40"/>
        <v>0.70249217135774467</v>
      </c>
      <c r="BE15" s="72">
        <f t="shared" ca="1" si="41"/>
        <v>1.6160096590126773</v>
      </c>
      <c r="BF15" s="72">
        <f t="shared" ca="1" si="42"/>
        <v>1.9325476334584595</v>
      </c>
      <c r="BG15" s="72">
        <f t="shared" ca="1" si="43"/>
        <v>12.821455359416387</v>
      </c>
      <c r="BH15" s="72">
        <f t="shared" ca="1" si="44"/>
        <v>4.3628817417947428</v>
      </c>
      <c r="BI15" s="72">
        <f t="shared" ca="1" si="45"/>
        <v>1.3383447691479562</v>
      </c>
      <c r="BJ15" s="72">
        <f t="shared" ca="1" si="46"/>
        <v>2.6933494316877957</v>
      </c>
      <c r="BK15" s="72">
        <f t="shared" ca="1" si="47"/>
        <v>1.4660706184857279</v>
      </c>
      <c r="BL15" s="72">
        <f t="shared" ca="1" si="48"/>
        <v>5.5448064607691752</v>
      </c>
      <c r="BM15" s="72">
        <f t="shared" ca="1" si="49"/>
        <v>4.1805822748353272</v>
      </c>
      <c r="BN15" s="72">
        <f t="shared" ca="1" si="50"/>
        <v>0.28877148545931003</v>
      </c>
      <c r="BO15" s="72">
        <f t="shared" ca="1" si="51"/>
        <v>0.99959360351299631</v>
      </c>
      <c r="BP15" s="72">
        <f t="shared" ca="1" si="52"/>
        <v>0.37762425021602086</v>
      </c>
      <c r="BQ15" s="72">
        <f t="shared" ca="1" si="53"/>
        <v>4.4387558281747985</v>
      </c>
      <c r="BR15" s="72">
        <f t="shared" ca="1" si="54"/>
        <v>6.1415409673206289</v>
      </c>
      <c r="BS15" s="72">
        <f t="shared" ca="1" si="55"/>
        <v>0.74969520263474732</v>
      </c>
      <c r="BT15" s="72">
        <f t="shared" ca="1" si="56"/>
        <v>1.5771365744316164</v>
      </c>
      <c r="BU15" s="72">
        <f t="shared" ca="1" si="57"/>
        <v>1.3550046625398393</v>
      </c>
      <c r="BV15" s="72">
        <f t="shared" ca="1" si="58"/>
        <v>6.6217504977689625</v>
      </c>
      <c r="BW15" s="72">
        <f t="shared" ca="1" si="59"/>
        <v>5.2890539594022217</v>
      </c>
      <c r="BX15" s="72">
        <f t="shared" ca="1" si="60"/>
        <v>0.67194903347262525</v>
      </c>
      <c r="BY15" s="72">
        <f t="shared" ca="1" si="61"/>
        <v>1.5771365744316164</v>
      </c>
      <c r="BZ15" s="72">
        <f t="shared" ca="1" si="62"/>
        <v>1.3550046625398393</v>
      </c>
      <c r="CA15" s="72">
        <f t="shared" ca="1" si="63"/>
        <v>9.1831309100927818</v>
      </c>
      <c r="CB15" s="72">
        <f t="shared" ca="1" si="64"/>
        <v>4.2682015285785093</v>
      </c>
      <c r="CC15" s="72">
        <f t="shared" ca="1" si="65"/>
        <v>0.82188807399957475</v>
      </c>
      <c r="CD15" s="72">
        <f t="shared" ca="1" si="66"/>
        <v>5.9086389057015358</v>
      </c>
      <c r="CE15" s="72">
        <f t="shared" ca="1" si="67"/>
        <v>3.1302681523903946</v>
      </c>
      <c r="CF15" s="72">
        <f t="shared" ca="1" si="68"/>
        <v>8.0020133197535213</v>
      </c>
      <c r="CG15" s="72">
        <f t="shared" ca="1" si="69"/>
        <v>3.1302681523903946</v>
      </c>
      <c r="CH15" s="72">
        <f t="shared" ca="1" si="70"/>
        <v>4.0187045277144255</v>
      </c>
      <c r="CI15" s="72">
        <f t="shared" ca="1" si="71"/>
        <v>10.602464684496066</v>
      </c>
      <c r="CJ15" s="72">
        <f t="shared" ca="1" si="72"/>
        <v>4.0187045277144255</v>
      </c>
      <c r="CK15" s="72">
        <f t="shared" ca="1" si="73"/>
        <v>3.6383244493236058</v>
      </c>
    </row>
    <row r="16" spans="1:89" x14ac:dyDescent="0.25">
      <c r="A16" t="str">
        <f>Plantilla!D16</f>
        <v>I. Stone</v>
      </c>
      <c r="B16" s="58">
        <f>Plantilla!E16</f>
        <v>21</v>
      </c>
      <c r="C16" s="98">
        <f ca="1">Plantilla!F16</f>
        <v>75</v>
      </c>
      <c r="D16" s="58" t="str">
        <f>Plantilla!G16</f>
        <v>RAP</v>
      </c>
      <c r="E16" s="207">
        <f>Plantilla!O16</f>
        <v>43633</v>
      </c>
      <c r="F16" s="98">
        <f>Plantilla!Q16</f>
        <v>5</v>
      </c>
      <c r="G16" s="118">
        <f t="shared" si="0"/>
        <v>0.84515425472851657</v>
      </c>
      <c r="H16" s="118">
        <f t="shared" si="1"/>
        <v>0.92504826128926143</v>
      </c>
      <c r="I16" s="153">
        <f ca="1">Plantilla!P16</f>
        <v>1</v>
      </c>
      <c r="J16" s="154">
        <f>Plantilla!I16</f>
        <v>3.8</v>
      </c>
      <c r="K16" s="49">
        <f>Plantilla!X16</f>
        <v>0</v>
      </c>
      <c r="L16" s="49">
        <f>Plantilla!Y16</f>
        <v>3</v>
      </c>
      <c r="M16" s="49">
        <f>Plantilla!Z16</f>
        <v>12</v>
      </c>
      <c r="N16" s="49">
        <f>Plantilla!AA16</f>
        <v>2</v>
      </c>
      <c r="O16" s="49">
        <f>Plantilla!AB16</f>
        <v>6</v>
      </c>
      <c r="P16" s="49">
        <f>Plantilla!AC16</f>
        <v>9</v>
      </c>
      <c r="Q16" s="49">
        <f>Plantilla!AD16</f>
        <v>15.333333333333334</v>
      </c>
      <c r="R16" s="154">
        <f t="shared" si="2"/>
        <v>2.25</v>
      </c>
      <c r="S16" s="154">
        <f t="shared" ca="1" si="3"/>
        <v>19.691762331364195</v>
      </c>
      <c r="T16" s="49">
        <f t="shared" si="4"/>
        <v>0.90999999999999992</v>
      </c>
      <c r="U16" s="49">
        <f t="shared" si="5"/>
        <v>0.57999999999999996</v>
      </c>
      <c r="V16" s="154">
        <f t="shared" ca="1" si="6"/>
        <v>14.457528258569106</v>
      </c>
      <c r="W16" s="154">
        <f t="shared" ca="1" si="7"/>
        <v>15.824225345023827</v>
      </c>
      <c r="X16" s="72">
        <f t="shared" ca="1" si="8"/>
        <v>2.3758681064619669</v>
      </c>
      <c r="Y16" s="72">
        <f t="shared" ca="1" si="9"/>
        <v>3.5640008309764024</v>
      </c>
      <c r="Z16" s="72">
        <f t="shared" ca="1" si="10"/>
        <v>2.3758681064619669</v>
      </c>
      <c r="AA16" s="72">
        <f t="shared" ca="1" si="11"/>
        <v>2.4628911144723658</v>
      </c>
      <c r="AB16" s="72">
        <f t="shared" ca="1" si="12"/>
        <v>4.7730447954890804</v>
      </c>
      <c r="AC16" s="72">
        <f t="shared" ca="1" si="13"/>
        <v>1.2314455572361829</v>
      </c>
      <c r="AD16" s="72">
        <f t="shared" ca="1" si="14"/>
        <v>3.2779846613264008</v>
      </c>
      <c r="AE16" s="72">
        <f t="shared" ca="1" si="15"/>
        <v>1.8042109326948723</v>
      </c>
      <c r="AF16" s="72">
        <f t="shared" ca="1" si="16"/>
        <v>3.4509113871386052</v>
      </c>
      <c r="AG16" s="72">
        <f t="shared" ca="1" si="17"/>
        <v>0.90210546634743616</v>
      </c>
      <c r="AH16" s="72">
        <f t="shared" ca="1" si="18"/>
        <v>5.3026222462632955</v>
      </c>
      <c r="AI16" s="72">
        <f t="shared" ca="1" si="19"/>
        <v>4.3912012118499542</v>
      </c>
      <c r="AJ16" s="72">
        <f t="shared" ca="1" si="20"/>
        <v>1.9760405453324792</v>
      </c>
      <c r="AK16" s="72">
        <f t="shared" ca="1" si="21"/>
        <v>2.3000984808466765</v>
      </c>
      <c r="AL16" s="72">
        <f t="shared" ca="1" si="22"/>
        <v>2.218550339747579</v>
      </c>
      <c r="AM16" s="72">
        <f t="shared" ca="1" si="23"/>
        <v>3.5988757757987666</v>
      </c>
      <c r="AN16" s="72">
        <f t="shared" ca="1" si="24"/>
        <v>3.3793157152062689</v>
      </c>
      <c r="AO16" s="72">
        <f t="shared" ca="1" si="25"/>
        <v>2.856765147513344</v>
      </c>
      <c r="AP16" s="72">
        <f t="shared" ca="1" si="26"/>
        <v>1.158636901100855</v>
      </c>
      <c r="AQ16" s="72">
        <f t="shared" ca="1" si="27"/>
        <v>1.2887220947820519</v>
      </c>
      <c r="AR16" s="72">
        <f t="shared" ca="1" si="28"/>
        <v>2.8351886085205136</v>
      </c>
      <c r="AS16" s="72">
        <f t="shared" ca="1" si="29"/>
        <v>0.64436104739102595</v>
      </c>
      <c r="AT16" s="72">
        <f t="shared" ca="1" si="30"/>
        <v>13.00175428694169</v>
      </c>
      <c r="AU16" s="72">
        <f t="shared" ca="1" si="31"/>
        <v>1.0104958234135806</v>
      </c>
      <c r="AV16" s="72">
        <f t="shared" ca="1" si="32"/>
        <v>2.7965021250783004</v>
      </c>
      <c r="AW16" s="72">
        <f t="shared" ca="1" si="33"/>
        <v>0.50524791170679029</v>
      </c>
      <c r="AX16" s="72">
        <f t="shared" ca="1" si="34"/>
        <v>0.90210546634743616</v>
      </c>
      <c r="AY16" s="72">
        <f t="shared" ca="1" si="35"/>
        <v>1.9092179181956324</v>
      </c>
      <c r="AZ16" s="72">
        <f t="shared" ca="1" si="36"/>
        <v>0.45105273317371808</v>
      </c>
      <c r="BA16" s="72">
        <f t="shared" ca="1" si="37"/>
        <v>13.77304479548908</v>
      </c>
      <c r="BB16" s="72">
        <f t="shared" ca="1" si="38"/>
        <v>1.9665803332587373</v>
      </c>
      <c r="BC16" s="72">
        <f t="shared" ca="1" si="39"/>
        <v>4.9129476823144831</v>
      </c>
      <c r="BD16" s="72">
        <f t="shared" ca="1" si="40"/>
        <v>0.98329016662936863</v>
      </c>
      <c r="BE16" s="72">
        <f t="shared" ca="1" si="41"/>
        <v>1.3889560354873223</v>
      </c>
      <c r="BF16" s="72">
        <f t="shared" ca="1" si="42"/>
        <v>1.6610195888302</v>
      </c>
      <c r="BG16" s="72">
        <f t="shared" ca="1" si="43"/>
        <v>12.13405246482588</v>
      </c>
      <c r="BH16" s="72">
        <f t="shared" ca="1" si="44"/>
        <v>4.6142368231897919</v>
      </c>
      <c r="BI16" s="72">
        <f t="shared" ca="1" si="45"/>
        <v>1.8733037957128684</v>
      </c>
      <c r="BJ16" s="72">
        <f t="shared" ca="1" si="46"/>
        <v>2.3149267258122039</v>
      </c>
      <c r="BK16" s="72">
        <f t="shared" ca="1" si="47"/>
        <v>1.2600838260091174</v>
      </c>
      <c r="BL16" s="72">
        <f t="shared" ca="1" si="48"/>
        <v>5.247530067081339</v>
      </c>
      <c r="BM16" s="72">
        <f t="shared" ca="1" si="49"/>
        <v>4.1016411512574562</v>
      </c>
      <c r="BN16" s="72">
        <f t="shared" ca="1" si="50"/>
        <v>0.40419832936543215</v>
      </c>
      <c r="BO16" s="72">
        <f t="shared" ca="1" si="51"/>
        <v>0.85914806318803449</v>
      </c>
      <c r="BP16" s="72">
        <f t="shared" ca="1" si="52"/>
        <v>0.32456704609325748</v>
      </c>
      <c r="BQ16" s="72">
        <f t="shared" ca="1" si="53"/>
        <v>4.2007786626241694</v>
      </c>
      <c r="BR16" s="72">
        <f t="shared" ca="1" si="54"/>
        <v>5.9961356069989566</v>
      </c>
      <c r="BS16" s="72">
        <f t="shared" ca="1" si="55"/>
        <v>1.049361047391026</v>
      </c>
      <c r="BT16" s="72">
        <f t="shared" ca="1" si="56"/>
        <v>1.3555447219188987</v>
      </c>
      <c r="BU16" s="72">
        <f t="shared" ca="1" si="57"/>
        <v>1.1646229300993356</v>
      </c>
      <c r="BV16" s="72">
        <f t="shared" ca="1" si="58"/>
        <v>6.2667353819475311</v>
      </c>
      <c r="BW16" s="72">
        <f t="shared" ca="1" si="59"/>
        <v>5.1565336334019012</v>
      </c>
      <c r="BX16" s="72">
        <f t="shared" ca="1" si="60"/>
        <v>0.94053842025417866</v>
      </c>
      <c r="BY16" s="72">
        <f t="shared" ca="1" si="61"/>
        <v>1.3555447219188987</v>
      </c>
      <c r="BZ16" s="72">
        <f t="shared" ca="1" si="62"/>
        <v>1.1646229300993356</v>
      </c>
      <c r="CA16" s="72">
        <f t="shared" ca="1" si="63"/>
        <v>8.6907912659536084</v>
      </c>
      <c r="CB16" s="72">
        <f t="shared" ca="1" si="64"/>
        <v>4.1488750919627266</v>
      </c>
      <c r="CC16" s="72">
        <f t="shared" ca="1" si="65"/>
        <v>1.1504106297323839</v>
      </c>
      <c r="CD16" s="72">
        <f t="shared" ca="1" si="66"/>
        <v>5.5918561869685668</v>
      </c>
      <c r="CE16" s="72">
        <f t="shared" ca="1" si="67"/>
        <v>3.8547563384498109</v>
      </c>
      <c r="CF16" s="72">
        <f t="shared" ca="1" si="68"/>
        <v>10.501448439720704</v>
      </c>
      <c r="CG16" s="72">
        <f t="shared" ca="1" si="69"/>
        <v>3.8547563384498109</v>
      </c>
      <c r="CH16" s="72">
        <f t="shared" ca="1" si="70"/>
        <v>4.7386069075896966</v>
      </c>
      <c r="CI16" s="72">
        <f t="shared" ca="1" si="71"/>
        <v>13.64129832502455</v>
      </c>
      <c r="CJ16" s="72">
        <f t="shared" ca="1" si="72"/>
        <v>4.7386069075896966</v>
      </c>
      <c r="CK16" s="72">
        <f t="shared" ca="1" si="73"/>
        <v>3.4432611988722699</v>
      </c>
    </row>
    <row r="17" spans="1:89" x14ac:dyDescent="0.25">
      <c r="A17" t="str">
        <f>Plantilla!D17</f>
        <v>G. Piscaer</v>
      </c>
      <c r="B17" s="58">
        <f>Plantilla!E17</f>
        <v>22</v>
      </c>
      <c r="C17" s="98">
        <f ca="1">Plantilla!F17</f>
        <v>36</v>
      </c>
      <c r="D17" s="58" t="str">
        <f>Plantilla!G17</f>
        <v>IMP</v>
      </c>
      <c r="E17" s="207">
        <f>Plantilla!O17</f>
        <v>43630</v>
      </c>
      <c r="F17" s="98">
        <f>Plantilla!Q17</f>
        <v>4</v>
      </c>
      <c r="G17" s="118">
        <f t="shared" si="0"/>
        <v>0.7559289460184544</v>
      </c>
      <c r="H17" s="118">
        <f t="shared" si="1"/>
        <v>0.84430867747355465</v>
      </c>
      <c r="I17" s="153">
        <f ca="1">Plantilla!P17</f>
        <v>1</v>
      </c>
      <c r="J17" s="154">
        <f>Plantilla!I17</f>
        <v>3.7</v>
      </c>
      <c r="K17" s="49">
        <f>Plantilla!X17</f>
        <v>0</v>
      </c>
      <c r="L17" s="49">
        <f>Plantilla!Y17</f>
        <v>4</v>
      </c>
      <c r="M17" s="49">
        <f>Plantilla!Z17</f>
        <v>13</v>
      </c>
      <c r="N17" s="49">
        <f>Plantilla!AA17</f>
        <v>3</v>
      </c>
      <c r="O17" s="49">
        <f>Plantilla!AB17</f>
        <v>2</v>
      </c>
      <c r="P17" s="49">
        <f>Plantilla!AC17</f>
        <v>8</v>
      </c>
      <c r="Q17" s="49">
        <f>Plantilla!AD17</f>
        <v>14.333333333333334</v>
      </c>
      <c r="R17" s="154">
        <f t="shared" si="2"/>
        <v>1.375</v>
      </c>
      <c r="S17" s="154">
        <f t="shared" ca="1" si="3"/>
        <v>17.447634413584076</v>
      </c>
      <c r="T17" s="49">
        <f t="shared" si="4"/>
        <v>0.83000000000000007</v>
      </c>
      <c r="U17" s="49">
        <f t="shared" si="5"/>
        <v>0.59000000000000008</v>
      </c>
      <c r="V17" s="154">
        <f t="shared" ca="1" si="6"/>
        <v>12.163604012816077</v>
      </c>
      <c r="W17" s="154">
        <f t="shared" ca="1" si="7"/>
        <v>13.585716582841435</v>
      </c>
      <c r="X17" s="72">
        <f t="shared" ca="1" si="8"/>
        <v>2.6383868068139824</v>
      </c>
      <c r="Y17" s="72">
        <f t="shared" ca="1" si="9"/>
        <v>3.9690645676939873</v>
      </c>
      <c r="Z17" s="72">
        <f t="shared" ca="1" si="10"/>
        <v>2.6383868068139824</v>
      </c>
      <c r="AA17" s="72">
        <f t="shared" ca="1" si="11"/>
        <v>2.9709227861580927</v>
      </c>
      <c r="AB17" s="72">
        <f t="shared" ca="1" si="12"/>
        <v>5.7576022987559936</v>
      </c>
      <c r="AC17" s="72">
        <f t="shared" ca="1" si="13"/>
        <v>1.4854613930790463</v>
      </c>
      <c r="AD17" s="72">
        <f t="shared" ca="1" si="14"/>
        <v>3.5123093471039262</v>
      </c>
      <c r="AE17" s="72">
        <f t="shared" ca="1" si="15"/>
        <v>2.1763736689297657</v>
      </c>
      <c r="AF17" s="72">
        <f t="shared" ca="1" si="16"/>
        <v>4.162746462000583</v>
      </c>
      <c r="AG17" s="72">
        <f t="shared" ca="1" si="17"/>
        <v>1.0881868344648828</v>
      </c>
      <c r="AH17" s="72">
        <f t="shared" ca="1" si="18"/>
        <v>5.6816768850210577</v>
      </c>
      <c r="AI17" s="72">
        <f t="shared" ca="1" si="19"/>
        <v>5.2969941148555142</v>
      </c>
      <c r="AJ17" s="72">
        <f t="shared" ca="1" si="20"/>
        <v>2.3836473516849814</v>
      </c>
      <c r="AK17" s="72">
        <f t="shared" ca="1" si="21"/>
        <v>2.4645195838922511</v>
      </c>
      <c r="AL17" s="72">
        <f t="shared" ca="1" si="22"/>
        <v>2.7974701516685241</v>
      </c>
      <c r="AM17" s="72">
        <f t="shared" ca="1" si="23"/>
        <v>4.341232133262019</v>
      </c>
      <c r="AN17" s="72">
        <f t="shared" ca="1" si="24"/>
        <v>4.0763824275192428</v>
      </c>
      <c r="AO17" s="72">
        <f t="shared" ca="1" si="25"/>
        <v>2.6871862505589177</v>
      </c>
      <c r="AP17" s="72">
        <f t="shared" ca="1" si="26"/>
        <v>0.90218946204172601</v>
      </c>
      <c r="AQ17" s="72">
        <f t="shared" ca="1" si="27"/>
        <v>1.5545526206641185</v>
      </c>
      <c r="AR17" s="72">
        <f t="shared" ca="1" si="28"/>
        <v>3.4200157654610601</v>
      </c>
      <c r="AS17" s="72">
        <f t="shared" ca="1" si="29"/>
        <v>0.77727631033205924</v>
      </c>
      <c r="AT17" s="72">
        <f t="shared" ca="1" si="30"/>
        <v>13.931176570025656</v>
      </c>
      <c r="AU17" s="72">
        <f t="shared" ca="1" si="31"/>
        <v>0.48848829883827916</v>
      </c>
      <c r="AV17" s="72">
        <f t="shared" ca="1" si="32"/>
        <v>2.1389774735355056</v>
      </c>
      <c r="AW17" s="72">
        <f t="shared" ca="1" si="33"/>
        <v>0.24424414941913958</v>
      </c>
      <c r="AX17" s="72">
        <f t="shared" ca="1" si="34"/>
        <v>1.0881868344648828</v>
      </c>
      <c r="AY17" s="72">
        <f t="shared" ca="1" si="35"/>
        <v>2.3030409195023975</v>
      </c>
      <c r="AZ17" s="72">
        <f t="shared" ca="1" si="36"/>
        <v>0.54409341723244142</v>
      </c>
      <c r="BA17" s="72">
        <f t="shared" ca="1" si="37"/>
        <v>14.757602298755993</v>
      </c>
      <c r="BB17" s="72">
        <f t="shared" ca="1" si="38"/>
        <v>0.95067338158526626</v>
      </c>
      <c r="BC17" s="72">
        <f t="shared" ca="1" si="39"/>
        <v>3.3304388666145521</v>
      </c>
      <c r="BD17" s="72">
        <f t="shared" ca="1" si="40"/>
        <v>0.47533669079263313</v>
      </c>
      <c r="BE17" s="72">
        <f t="shared" ca="1" si="41"/>
        <v>1.6754622689379941</v>
      </c>
      <c r="BF17" s="72">
        <f t="shared" ca="1" si="42"/>
        <v>2.0036455999670855</v>
      </c>
      <c r="BG17" s="72">
        <f t="shared" ca="1" si="43"/>
        <v>13.00144762520403</v>
      </c>
      <c r="BH17" s="72">
        <f t="shared" ca="1" si="44"/>
        <v>3.9145084435940776</v>
      </c>
      <c r="BI17" s="72">
        <f t="shared" ca="1" si="45"/>
        <v>0.90558215400019437</v>
      </c>
      <c r="BJ17" s="72">
        <f t="shared" ca="1" si="46"/>
        <v>2.7924371148966567</v>
      </c>
      <c r="BK17" s="72">
        <f t="shared" ca="1" si="47"/>
        <v>1.5200070068715823</v>
      </c>
      <c r="BL17" s="72">
        <f t="shared" ca="1" si="48"/>
        <v>5.6226464758260333</v>
      </c>
      <c r="BM17" s="72">
        <f t="shared" ca="1" si="49"/>
        <v>3.9571444091127383</v>
      </c>
      <c r="BN17" s="72">
        <f t="shared" ca="1" si="50"/>
        <v>0.19539531953531164</v>
      </c>
      <c r="BO17" s="72">
        <f t="shared" ca="1" si="51"/>
        <v>1.0363684137760789</v>
      </c>
      <c r="BP17" s="72">
        <f t="shared" ca="1" si="52"/>
        <v>0.39151695631540762</v>
      </c>
      <c r="BQ17" s="72">
        <f t="shared" ca="1" si="53"/>
        <v>4.5010687011205777</v>
      </c>
      <c r="BR17" s="72">
        <f t="shared" ca="1" si="54"/>
        <v>5.8322765562002079</v>
      </c>
      <c r="BS17" s="72">
        <f t="shared" ca="1" si="55"/>
        <v>0.50727631033205911</v>
      </c>
      <c r="BT17" s="72">
        <f t="shared" ca="1" si="56"/>
        <v>1.6351590528467019</v>
      </c>
      <c r="BU17" s="72">
        <f t="shared" ca="1" si="57"/>
        <v>1.4048549608964624</v>
      </c>
      <c r="BV17" s="72">
        <f t="shared" ca="1" si="58"/>
        <v>6.7147090459339767</v>
      </c>
      <c r="BW17" s="72">
        <f t="shared" ca="1" si="59"/>
        <v>5.0274233470216414</v>
      </c>
      <c r="BX17" s="72">
        <f t="shared" ca="1" si="60"/>
        <v>0.45466987814947518</v>
      </c>
      <c r="BY17" s="72">
        <f t="shared" ca="1" si="61"/>
        <v>1.6351590528467019</v>
      </c>
      <c r="BZ17" s="72">
        <f t="shared" ca="1" si="62"/>
        <v>1.4048549608964624</v>
      </c>
      <c r="CA17" s="72">
        <f t="shared" ca="1" si="63"/>
        <v>9.3120470505150319</v>
      </c>
      <c r="CB17" s="72">
        <f t="shared" ca="1" si="64"/>
        <v>4.0650540573866145</v>
      </c>
      <c r="CC17" s="72">
        <f t="shared" ca="1" si="65"/>
        <v>0.55612514021588699</v>
      </c>
      <c r="CD17" s="72">
        <f t="shared" ca="1" si="66"/>
        <v>5.9915865332949334</v>
      </c>
      <c r="CE17" s="72">
        <f t="shared" ca="1" si="67"/>
        <v>2.8637107976518728</v>
      </c>
      <c r="CF17" s="72">
        <f t="shared" ca="1" si="68"/>
        <v>7.7290601883992487</v>
      </c>
      <c r="CG17" s="72">
        <f t="shared" ca="1" si="69"/>
        <v>2.8637107976518728</v>
      </c>
      <c r="CH17" s="72">
        <f t="shared" ca="1" si="70"/>
        <v>4.1219862321249838</v>
      </c>
      <c r="CI17" s="72">
        <f t="shared" ca="1" si="71"/>
        <v>11.144157546996954</v>
      </c>
      <c r="CJ17" s="72">
        <f t="shared" ca="1" si="72"/>
        <v>4.1219862321249838</v>
      </c>
      <c r="CK17" s="72">
        <f t="shared" ca="1" si="73"/>
        <v>3.6894005746889982</v>
      </c>
    </row>
    <row r="18" spans="1:89" x14ac:dyDescent="0.25">
      <c r="A18" t="str">
        <f>Plantilla!D18</f>
        <v>M. Bondarewski</v>
      </c>
      <c r="B18" s="58">
        <f>Plantilla!E18</f>
        <v>22</v>
      </c>
      <c r="C18" s="98">
        <f ca="1">Plantilla!F18</f>
        <v>36</v>
      </c>
      <c r="D18" s="58" t="str">
        <f>Plantilla!G18</f>
        <v>RAP</v>
      </c>
      <c r="E18" s="207">
        <f>Plantilla!O18</f>
        <v>43627</v>
      </c>
      <c r="F18" s="98">
        <f>Plantilla!Q18</f>
        <v>6</v>
      </c>
      <c r="G18" s="118">
        <f t="shared" si="0"/>
        <v>0.92582009977255142</v>
      </c>
      <c r="H18" s="118">
        <f t="shared" si="1"/>
        <v>0.99928545900129484</v>
      </c>
      <c r="I18" s="153">
        <f ca="1">Plantilla!P18</f>
        <v>1</v>
      </c>
      <c r="J18" s="154">
        <f>Plantilla!I18</f>
        <v>3.9</v>
      </c>
      <c r="K18" s="49">
        <f>Plantilla!X18</f>
        <v>0</v>
      </c>
      <c r="L18" s="49">
        <f>Plantilla!Y18</f>
        <v>2</v>
      </c>
      <c r="M18" s="49">
        <f>Plantilla!Z18</f>
        <v>13</v>
      </c>
      <c r="N18" s="49">
        <f>Plantilla!AA18</f>
        <v>5</v>
      </c>
      <c r="O18" s="49">
        <f>Plantilla!AB18</f>
        <v>4</v>
      </c>
      <c r="P18" s="49">
        <f>Plantilla!AC18</f>
        <v>8</v>
      </c>
      <c r="Q18" s="49">
        <f>Plantilla!AD18</f>
        <v>17</v>
      </c>
      <c r="R18" s="154">
        <f t="shared" si="2"/>
        <v>1.625</v>
      </c>
      <c r="S18" s="154">
        <f t="shared" ca="1" si="3"/>
        <v>18.981670375371415</v>
      </c>
      <c r="T18" s="49">
        <f t="shared" si="4"/>
        <v>0.90999999999999992</v>
      </c>
      <c r="U18" s="49">
        <f t="shared" si="5"/>
        <v>0.59</v>
      </c>
      <c r="V18" s="154">
        <f t="shared" ca="1" si="6"/>
        <v>17.394387787171656</v>
      </c>
      <c r="W18" s="154">
        <f t="shared" ca="1" si="7"/>
        <v>18.774661284865836</v>
      </c>
      <c r="X18" s="72">
        <f t="shared" ca="1" si="8"/>
        <v>2.1129992025788455</v>
      </c>
      <c r="Y18" s="72">
        <f t="shared" ca="1" si="9"/>
        <v>3.1584192102282804</v>
      </c>
      <c r="Z18" s="72">
        <f t="shared" ca="1" si="10"/>
        <v>2.1129992025788455</v>
      </c>
      <c r="AA18" s="72">
        <f t="shared" ca="1" si="11"/>
        <v>1.9546524496342315</v>
      </c>
      <c r="AB18" s="72">
        <f t="shared" ca="1" si="12"/>
        <v>3.7880861427019989</v>
      </c>
      <c r="AC18" s="72">
        <f t="shared" ca="1" si="13"/>
        <v>0.97732622481711573</v>
      </c>
      <c r="AD18" s="72">
        <f t="shared" ca="1" si="14"/>
        <v>3.5195645019630759</v>
      </c>
      <c r="AE18" s="72">
        <f t="shared" ca="1" si="15"/>
        <v>1.4318965619413555</v>
      </c>
      <c r="AF18" s="72">
        <f t="shared" ca="1" si="16"/>
        <v>2.7387862811735451</v>
      </c>
      <c r="AG18" s="72">
        <f t="shared" ca="1" si="17"/>
        <v>0.71594828097067775</v>
      </c>
      <c r="AH18" s="72">
        <f t="shared" ca="1" si="18"/>
        <v>5.6934131649402699</v>
      </c>
      <c r="AI18" s="72">
        <f t="shared" ca="1" si="19"/>
        <v>3.4850392512858392</v>
      </c>
      <c r="AJ18" s="72">
        <f t="shared" ca="1" si="20"/>
        <v>1.5682676630786274</v>
      </c>
      <c r="AK18" s="72">
        <f t="shared" ca="1" si="21"/>
        <v>2.4696103858312339</v>
      </c>
      <c r="AL18" s="72">
        <f t="shared" ca="1" si="22"/>
        <v>3.9913946519087755</v>
      </c>
      <c r="AM18" s="72">
        <f t="shared" ca="1" si="23"/>
        <v>2.856216951597307</v>
      </c>
      <c r="AN18" s="72">
        <f t="shared" ca="1" si="24"/>
        <v>2.6819649890330153</v>
      </c>
      <c r="AO18" s="72">
        <f t="shared" ca="1" si="25"/>
        <v>3.1376103858312341</v>
      </c>
      <c r="AP18" s="72">
        <f t="shared" ca="1" si="26"/>
        <v>0.98296880909817563</v>
      </c>
      <c r="AQ18" s="72">
        <f t="shared" ca="1" si="27"/>
        <v>1.0227832585295398</v>
      </c>
      <c r="AR18" s="72">
        <f t="shared" ca="1" si="28"/>
        <v>2.2501231687649872</v>
      </c>
      <c r="AS18" s="72">
        <f t="shared" ca="1" si="29"/>
        <v>0.51139162926476989</v>
      </c>
      <c r="AT18" s="72">
        <f t="shared" ca="1" si="30"/>
        <v>13.959953318710687</v>
      </c>
      <c r="AU18" s="72">
        <f t="shared" ca="1" si="31"/>
        <v>0.75245119855125997</v>
      </c>
      <c r="AV18" s="72">
        <f t="shared" ca="1" si="32"/>
        <v>2.3879092398116857</v>
      </c>
      <c r="AW18" s="72">
        <f t="shared" ca="1" si="33"/>
        <v>0.37622559927562998</v>
      </c>
      <c r="AX18" s="72">
        <f t="shared" ca="1" si="34"/>
        <v>0.71594828097067775</v>
      </c>
      <c r="AY18" s="72">
        <f t="shared" ca="1" si="35"/>
        <v>1.5152344570807996</v>
      </c>
      <c r="AZ18" s="72">
        <f t="shared" ca="1" si="36"/>
        <v>0.35797414048533888</v>
      </c>
      <c r="BA18" s="72">
        <f t="shared" ca="1" si="37"/>
        <v>14.788086142701999</v>
      </c>
      <c r="BB18" s="72">
        <f t="shared" ca="1" si="38"/>
        <v>1.4643857941036058</v>
      </c>
      <c r="BC18" s="72">
        <f t="shared" ca="1" si="39"/>
        <v>4.029235464628802</v>
      </c>
      <c r="BD18" s="72">
        <f t="shared" ca="1" si="40"/>
        <v>0.7321928970518029</v>
      </c>
      <c r="BE18" s="72">
        <f t="shared" ca="1" si="41"/>
        <v>1.1023330675262817</v>
      </c>
      <c r="BF18" s="72">
        <f t="shared" ca="1" si="42"/>
        <v>1.3182539776602955</v>
      </c>
      <c r="BG18" s="72">
        <f t="shared" ca="1" si="43"/>
        <v>13.028303891720462</v>
      </c>
      <c r="BH18" s="72">
        <f t="shared" ca="1" si="44"/>
        <v>5.7196085808620776</v>
      </c>
      <c r="BI18" s="72">
        <f t="shared" ca="1" si="45"/>
        <v>1.3949287603911817</v>
      </c>
      <c r="BJ18" s="72">
        <f t="shared" ca="1" si="46"/>
        <v>1.8372217792104695</v>
      </c>
      <c r="BK18" s="72">
        <f t="shared" ca="1" si="47"/>
        <v>1.0000547416733279</v>
      </c>
      <c r="BL18" s="72">
        <f t="shared" ca="1" si="48"/>
        <v>5.6342608203694615</v>
      </c>
      <c r="BM18" s="72">
        <f t="shared" ca="1" si="49"/>
        <v>5.7317872887215477</v>
      </c>
      <c r="BN18" s="72">
        <f t="shared" ca="1" si="50"/>
        <v>0.30098047942050393</v>
      </c>
      <c r="BO18" s="72">
        <f t="shared" ca="1" si="51"/>
        <v>0.68185550568635978</v>
      </c>
      <c r="BP18" s="72">
        <f t="shared" ca="1" si="52"/>
        <v>0.25758985770373594</v>
      </c>
      <c r="BQ18" s="72">
        <f t="shared" ca="1" si="53"/>
        <v>4.5103662735241095</v>
      </c>
      <c r="BR18" s="72">
        <f t="shared" ca="1" si="54"/>
        <v>8.4434787795147717</v>
      </c>
      <c r="BS18" s="72">
        <f t="shared" ca="1" si="55"/>
        <v>0.78139162926477002</v>
      </c>
      <c r="BT18" s="72">
        <f t="shared" ca="1" si="56"/>
        <v>1.0758164645273676</v>
      </c>
      <c r="BU18" s="72">
        <f t="shared" ca="1" si="57"/>
        <v>0.92429301881928772</v>
      </c>
      <c r="BV18" s="72">
        <f t="shared" ca="1" si="58"/>
        <v>6.7285791949294103</v>
      </c>
      <c r="BW18" s="72">
        <f t="shared" ca="1" si="59"/>
        <v>7.2771994461138156</v>
      </c>
      <c r="BX18" s="72">
        <f t="shared" ca="1" si="60"/>
        <v>0.70035842326694187</v>
      </c>
      <c r="BY18" s="72">
        <f t="shared" ca="1" si="61"/>
        <v>1.0758164645273676</v>
      </c>
      <c r="BZ18" s="72">
        <f t="shared" ca="1" si="62"/>
        <v>0.92429301881928772</v>
      </c>
      <c r="CA18" s="72">
        <f t="shared" ca="1" si="63"/>
        <v>9.3312823560449623</v>
      </c>
      <c r="CB18" s="72">
        <f t="shared" ca="1" si="64"/>
        <v>5.8823370977182892</v>
      </c>
      <c r="CC18" s="72">
        <f t="shared" ca="1" si="65"/>
        <v>0.85663674911989585</v>
      </c>
      <c r="CD18" s="72">
        <f t="shared" ca="1" si="66"/>
        <v>6.0039629739370124</v>
      </c>
      <c r="CE18" s="72">
        <f t="shared" ca="1" si="67"/>
        <v>3.6675928803477418</v>
      </c>
      <c r="CF18" s="72">
        <f t="shared" ca="1" si="68"/>
        <v>8.8493849966824509</v>
      </c>
      <c r="CG18" s="72">
        <f t="shared" ca="1" si="69"/>
        <v>3.6675928803477418</v>
      </c>
      <c r="CH18" s="72">
        <f t="shared" ca="1" si="70"/>
        <v>4.8669776669033453</v>
      </c>
      <c r="CI18" s="72">
        <f t="shared" ca="1" si="71"/>
        <v>11.923889929359037</v>
      </c>
      <c r="CJ18" s="72">
        <f t="shared" ca="1" si="72"/>
        <v>4.8669776669033453</v>
      </c>
      <c r="CK18" s="72">
        <f t="shared" ca="1" si="73"/>
        <v>3.6970215356754998</v>
      </c>
    </row>
    <row r="19" spans="1:89" x14ac:dyDescent="0.25">
      <c r="A19" t="str">
        <f>Plantilla!D19</f>
        <v>P. Tuderek</v>
      </c>
      <c r="B19" s="58">
        <f>Plantilla!E19</f>
        <v>22</v>
      </c>
      <c r="C19" s="98">
        <f ca="1">Plantilla!F19</f>
        <v>22</v>
      </c>
      <c r="D19" s="58" t="str">
        <f>Plantilla!G19</f>
        <v>CAB</v>
      </c>
      <c r="E19" s="207">
        <f>Plantilla!O19</f>
        <v>43626</v>
      </c>
      <c r="F19" s="98">
        <f>Plantilla!Q19</f>
        <v>5</v>
      </c>
      <c r="G19" s="118">
        <f t="shared" si="0"/>
        <v>0.84515425472851657</v>
      </c>
      <c r="H19" s="118">
        <f t="shared" si="1"/>
        <v>0.92504826128926143</v>
      </c>
      <c r="I19" s="153">
        <f ca="1">Plantilla!P19</f>
        <v>1</v>
      </c>
      <c r="J19" s="154">
        <f>Plantilla!I19</f>
        <v>2.9</v>
      </c>
      <c r="K19" s="49">
        <f>Plantilla!X19</f>
        <v>0</v>
      </c>
      <c r="L19" s="49">
        <f>Plantilla!Y19</f>
        <v>6</v>
      </c>
      <c r="M19" s="49">
        <f>Plantilla!Z19</f>
        <v>12</v>
      </c>
      <c r="N19" s="49">
        <f>Plantilla!AA19</f>
        <v>2</v>
      </c>
      <c r="O19" s="49">
        <f>Plantilla!AB19</f>
        <v>3</v>
      </c>
      <c r="P19" s="49">
        <f>Plantilla!AC19</f>
        <v>6</v>
      </c>
      <c r="Q19" s="49">
        <f>Plantilla!AD19</f>
        <v>17.25</v>
      </c>
      <c r="R19" s="154">
        <f t="shared" si="2"/>
        <v>1.875</v>
      </c>
      <c r="S19" s="154">
        <f t="shared" ca="1" si="3"/>
        <v>15.420032767142258</v>
      </c>
      <c r="T19" s="49">
        <f t="shared" si="4"/>
        <v>0.81750000000000012</v>
      </c>
      <c r="U19" s="49">
        <f t="shared" si="5"/>
        <v>0.75750000000000006</v>
      </c>
      <c r="V19" s="154">
        <f t="shared" ca="1" si="6"/>
        <v>15.945128662531763</v>
      </c>
      <c r="W19" s="154">
        <f t="shared" ca="1" si="7"/>
        <v>17.452451387169109</v>
      </c>
      <c r="X19" s="72">
        <f t="shared" ca="1" si="8"/>
        <v>3.0672312695543846</v>
      </c>
      <c r="Y19" s="72">
        <f t="shared" ca="1" si="9"/>
        <v>4.6369410870500696</v>
      </c>
      <c r="Z19" s="72">
        <f t="shared" ca="1" si="10"/>
        <v>3.0672312695543846</v>
      </c>
      <c r="AA19" s="72">
        <f t="shared" ca="1" si="11"/>
        <v>3.9301298225544818</v>
      </c>
      <c r="AB19" s="72">
        <f t="shared" ca="1" si="12"/>
        <v>7.6165306638652748</v>
      </c>
      <c r="AC19" s="72">
        <f t="shared" ca="1" si="13"/>
        <v>1.9650649112772409</v>
      </c>
      <c r="AD19" s="72">
        <f t="shared" ca="1" si="14"/>
        <v>3.2407342979999352</v>
      </c>
      <c r="AE19" s="72">
        <f t="shared" ca="1" si="15"/>
        <v>2.8790485909410739</v>
      </c>
      <c r="AF19" s="72">
        <f t="shared" ca="1" si="16"/>
        <v>5.5067516699745935</v>
      </c>
      <c r="AG19" s="72">
        <f t="shared" ca="1" si="17"/>
        <v>1.439524295470537</v>
      </c>
      <c r="AH19" s="72">
        <f t="shared" ca="1" si="18"/>
        <v>5.242364305588131</v>
      </c>
      <c r="AI19" s="72">
        <f t="shared" ca="1" si="19"/>
        <v>7.0072082107560529</v>
      </c>
      <c r="AJ19" s="72">
        <f t="shared" ca="1" si="20"/>
        <v>3.1532436948402234</v>
      </c>
      <c r="AK19" s="72">
        <f t="shared" ca="1" si="21"/>
        <v>2.273960620865501</v>
      </c>
      <c r="AL19" s="72">
        <f t="shared" ca="1" si="22"/>
        <v>2.1265200303527814</v>
      </c>
      <c r="AM19" s="72">
        <f t="shared" ca="1" si="23"/>
        <v>5.7428641205544171</v>
      </c>
      <c r="AN19" s="72">
        <f t="shared" ca="1" si="24"/>
        <v>5.392503710016614</v>
      </c>
      <c r="AO19" s="72">
        <f t="shared" ca="1" si="25"/>
        <v>3.1507106208655014</v>
      </c>
      <c r="AP19" s="72">
        <f t="shared" ca="1" si="26"/>
        <v>1.0055608311931992</v>
      </c>
      <c r="AQ19" s="72">
        <f t="shared" ca="1" si="27"/>
        <v>2.0564632792436242</v>
      </c>
      <c r="AR19" s="72">
        <f t="shared" ca="1" si="28"/>
        <v>4.5242192143359734</v>
      </c>
      <c r="AS19" s="72">
        <f t="shared" ca="1" si="29"/>
        <v>1.0282316396218121</v>
      </c>
      <c r="AT19" s="72">
        <f t="shared" ca="1" si="30"/>
        <v>12.85400494668882</v>
      </c>
      <c r="AU19" s="72">
        <f t="shared" ca="1" si="31"/>
        <v>0.6001489863024857</v>
      </c>
      <c r="AV19" s="72">
        <f t="shared" ca="1" si="32"/>
        <v>1.8716434845125254</v>
      </c>
      <c r="AW19" s="72">
        <f t="shared" ca="1" si="33"/>
        <v>0.30007449315124285</v>
      </c>
      <c r="AX19" s="72">
        <f t="shared" ca="1" si="34"/>
        <v>1.439524295470537</v>
      </c>
      <c r="AY19" s="72">
        <f t="shared" ca="1" si="35"/>
        <v>3.0466122655461101</v>
      </c>
      <c r="AZ19" s="72">
        <f t="shared" ca="1" si="36"/>
        <v>0.71976214773526848</v>
      </c>
      <c r="BA19" s="72">
        <f t="shared" ca="1" si="37"/>
        <v>13.616530663865275</v>
      </c>
      <c r="BB19" s="72">
        <f t="shared" ca="1" si="38"/>
        <v>1.1679822579579144</v>
      </c>
      <c r="BC19" s="72">
        <f t="shared" ca="1" si="39"/>
        <v>3.1737083957897663</v>
      </c>
      <c r="BD19" s="72">
        <f t="shared" ca="1" si="40"/>
        <v>0.58399112897895722</v>
      </c>
      <c r="BE19" s="72">
        <f t="shared" ca="1" si="41"/>
        <v>2.216410423184795</v>
      </c>
      <c r="BF19" s="72">
        <f t="shared" ca="1" si="42"/>
        <v>2.6505526710251153</v>
      </c>
      <c r="BG19" s="72">
        <f t="shared" ca="1" si="43"/>
        <v>11.996163514865307</v>
      </c>
      <c r="BH19" s="72">
        <f t="shared" ca="1" si="44"/>
        <v>3.5300957601762293</v>
      </c>
      <c r="BI19" s="72">
        <f t="shared" ca="1" si="45"/>
        <v>1.1125838899915312</v>
      </c>
      <c r="BJ19" s="72">
        <f t="shared" ca="1" si="46"/>
        <v>3.6940173719746583</v>
      </c>
      <c r="BK19" s="72">
        <f t="shared" ca="1" si="47"/>
        <v>2.0107640952604324</v>
      </c>
      <c r="BL19" s="72">
        <f t="shared" ca="1" si="48"/>
        <v>5.1878981829326696</v>
      </c>
      <c r="BM19" s="72">
        <f t="shared" ca="1" si="49"/>
        <v>3.3618478002182504</v>
      </c>
      <c r="BN19" s="72">
        <f t="shared" ca="1" si="50"/>
        <v>0.24005959452099429</v>
      </c>
      <c r="BO19" s="72">
        <f t="shared" ca="1" si="51"/>
        <v>1.3709755194957494</v>
      </c>
      <c r="BP19" s="72">
        <f t="shared" ca="1" si="52"/>
        <v>0.51792408514283872</v>
      </c>
      <c r="BQ19" s="72">
        <f t="shared" ca="1" si="53"/>
        <v>4.1530418524789088</v>
      </c>
      <c r="BR19" s="72">
        <f t="shared" ca="1" si="54"/>
        <v>4.9368584337307428</v>
      </c>
      <c r="BS19" s="72">
        <f t="shared" ca="1" si="55"/>
        <v>0.62323163962181216</v>
      </c>
      <c r="BT19" s="72">
        <f t="shared" ca="1" si="56"/>
        <v>2.1630947085377379</v>
      </c>
      <c r="BU19" s="72">
        <f t="shared" ca="1" si="57"/>
        <v>1.858433481983127</v>
      </c>
      <c r="BV19" s="72">
        <f t="shared" ca="1" si="58"/>
        <v>6.1955214520587001</v>
      </c>
      <c r="BW19" s="72">
        <f t="shared" ca="1" si="59"/>
        <v>4.2511159755627244</v>
      </c>
      <c r="BX19" s="72">
        <f t="shared" ca="1" si="60"/>
        <v>0.55860021032769824</v>
      </c>
      <c r="BY19" s="72">
        <f t="shared" ca="1" si="61"/>
        <v>2.1630947085377379</v>
      </c>
      <c r="BZ19" s="72">
        <f t="shared" ca="1" si="62"/>
        <v>1.858433481983127</v>
      </c>
      <c r="CA19" s="72">
        <f t="shared" ca="1" si="63"/>
        <v>8.5920308488989878</v>
      </c>
      <c r="CB19" s="72">
        <f t="shared" ca="1" si="64"/>
        <v>3.4297949441594211</v>
      </c>
      <c r="CC19" s="72">
        <f t="shared" ca="1" si="65"/>
        <v>0.68324653825206061</v>
      </c>
      <c r="CD19" s="72">
        <f t="shared" ca="1" si="66"/>
        <v>5.5283114495293022</v>
      </c>
      <c r="CE19" s="72">
        <f t="shared" ca="1" si="67"/>
        <v>2.6422124758738081</v>
      </c>
      <c r="CF19" s="72">
        <f t="shared" ca="1" si="68"/>
        <v>6.9472135275123001</v>
      </c>
      <c r="CG19" s="72">
        <f t="shared" ca="1" si="69"/>
        <v>2.6422124758738081</v>
      </c>
      <c r="CH19" s="72">
        <f t="shared" ca="1" si="70"/>
        <v>3.4350986035880657</v>
      </c>
      <c r="CI19" s="72">
        <f t="shared" ca="1" si="71"/>
        <v>9.320030478831562</v>
      </c>
      <c r="CJ19" s="72">
        <f t="shared" ca="1" si="72"/>
        <v>3.4350986035880657</v>
      </c>
      <c r="CK19" s="72">
        <f t="shared" ca="1" si="73"/>
        <v>3.4041326659663187</v>
      </c>
    </row>
    <row r="20" spans="1:89" x14ac:dyDescent="0.25">
      <c r="A20" t="str">
        <f>Plantilla!D20</f>
        <v>R. Forsyth</v>
      </c>
      <c r="B20" s="58">
        <f>Plantilla!E20</f>
        <v>22</v>
      </c>
      <c r="C20" s="98">
        <f ca="1">Plantilla!F20</f>
        <v>77</v>
      </c>
      <c r="D20" s="58" t="str">
        <f>Plantilla!G20</f>
        <v>POT</v>
      </c>
      <c r="E20" s="207">
        <f>Plantilla!O20</f>
        <v>43626</v>
      </c>
      <c r="F20" s="98">
        <f>Plantilla!Q20</f>
        <v>7</v>
      </c>
      <c r="G20" s="118">
        <f t="shared" si="0"/>
        <v>1</v>
      </c>
      <c r="H20" s="118">
        <f t="shared" si="1"/>
        <v>1</v>
      </c>
      <c r="I20" s="153">
        <f ca="1">Plantilla!P20</f>
        <v>1</v>
      </c>
      <c r="J20" s="154">
        <f>Plantilla!I20</f>
        <v>3.9</v>
      </c>
      <c r="K20" s="49">
        <f>Plantilla!X20</f>
        <v>0</v>
      </c>
      <c r="L20" s="49">
        <f>Plantilla!Y20</f>
        <v>7</v>
      </c>
      <c r="M20" s="49">
        <f>Plantilla!Z20</f>
        <v>13</v>
      </c>
      <c r="N20" s="49">
        <f>Plantilla!AA20</f>
        <v>3</v>
      </c>
      <c r="O20" s="49">
        <f>Plantilla!AB20</f>
        <v>4</v>
      </c>
      <c r="P20" s="49">
        <f>Plantilla!AC20</f>
        <v>6</v>
      </c>
      <c r="Q20" s="49">
        <f>Plantilla!AD20</f>
        <v>15</v>
      </c>
      <c r="R20" s="154">
        <f t="shared" si="2"/>
        <v>2.25</v>
      </c>
      <c r="S20" s="154">
        <f t="shared" ca="1" si="3"/>
        <v>14.561670375371422</v>
      </c>
      <c r="T20" s="49">
        <f t="shared" si="4"/>
        <v>0.75</v>
      </c>
      <c r="U20" s="49">
        <f t="shared" si="5"/>
        <v>0.73000000000000009</v>
      </c>
      <c r="V20" s="154">
        <f t="shared" ca="1" si="6"/>
        <v>16.788086142701999</v>
      </c>
      <c r="W20" s="154">
        <f t="shared" ca="1" si="7"/>
        <v>16.788086142701999</v>
      </c>
      <c r="X20" s="72">
        <f t="shared" ca="1" si="8"/>
        <v>3.4929992025788454</v>
      </c>
      <c r="Y20" s="72">
        <f t="shared" ca="1" si="9"/>
        <v>5.2834192102282804</v>
      </c>
      <c r="Z20" s="72">
        <f t="shared" ca="1" si="10"/>
        <v>3.4929992025788454</v>
      </c>
      <c r="AA20" s="72">
        <f t="shared" ca="1" si="11"/>
        <v>4.5346524496342315</v>
      </c>
      <c r="AB20" s="72">
        <f t="shared" ca="1" si="12"/>
        <v>8.7880861427019994</v>
      </c>
      <c r="AC20" s="72">
        <f t="shared" ca="1" si="13"/>
        <v>2.2673262248171158</v>
      </c>
      <c r="AD20" s="72">
        <f t="shared" ca="1" si="14"/>
        <v>3.5195645019630759</v>
      </c>
      <c r="AE20" s="72">
        <f t="shared" ca="1" si="15"/>
        <v>3.3218965619413559</v>
      </c>
      <c r="AF20" s="72">
        <f t="shared" ca="1" si="16"/>
        <v>6.3537862811735453</v>
      </c>
      <c r="AG20" s="72">
        <f t="shared" ca="1" si="17"/>
        <v>1.6609482809706779</v>
      </c>
      <c r="AH20" s="72">
        <f t="shared" ca="1" si="18"/>
        <v>5.6934131649402699</v>
      </c>
      <c r="AI20" s="72">
        <f t="shared" ca="1" si="19"/>
        <v>8.0850392512858402</v>
      </c>
      <c r="AJ20" s="72">
        <f t="shared" ca="1" si="20"/>
        <v>3.6382676630786275</v>
      </c>
      <c r="AK20" s="72">
        <f t="shared" ca="1" si="21"/>
        <v>2.4696103858312339</v>
      </c>
      <c r="AL20" s="72">
        <f t="shared" ca="1" si="22"/>
        <v>2.8153946519087754</v>
      </c>
      <c r="AM20" s="72">
        <f t="shared" ca="1" si="23"/>
        <v>6.6262169515973079</v>
      </c>
      <c r="AN20" s="72">
        <f t="shared" ca="1" si="24"/>
        <v>6.2219649890330153</v>
      </c>
      <c r="AO20" s="72">
        <f t="shared" ca="1" si="25"/>
        <v>2.803610385831234</v>
      </c>
      <c r="AP20" s="72">
        <f t="shared" ca="1" si="26"/>
        <v>1.1629688090981758</v>
      </c>
      <c r="AQ20" s="72">
        <f t="shared" ca="1" si="27"/>
        <v>2.3727832585295401</v>
      </c>
      <c r="AR20" s="72">
        <f t="shared" ca="1" si="28"/>
        <v>5.2201231687649878</v>
      </c>
      <c r="AS20" s="72">
        <f t="shared" ca="1" si="29"/>
        <v>1.18639162926477</v>
      </c>
      <c r="AT20" s="72">
        <f t="shared" ca="1" si="30"/>
        <v>13.959953318710687</v>
      </c>
      <c r="AU20" s="72">
        <f t="shared" ca="1" si="31"/>
        <v>0.75245119855125997</v>
      </c>
      <c r="AV20" s="72">
        <f t="shared" ca="1" si="32"/>
        <v>2.0419092398116856</v>
      </c>
      <c r="AW20" s="72">
        <f t="shared" ca="1" si="33"/>
        <v>0.37622559927562998</v>
      </c>
      <c r="AX20" s="72">
        <f t="shared" ca="1" si="34"/>
        <v>1.6609482809706779</v>
      </c>
      <c r="AY20" s="72">
        <f t="shared" ca="1" si="35"/>
        <v>3.5152344570807998</v>
      </c>
      <c r="AZ20" s="72">
        <f t="shared" ca="1" si="36"/>
        <v>0.83047414048533896</v>
      </c>
      <c r="BA20" s="72">
        <f t="shared" ca="1" si="37"/>
        <v>14.788086142701999</v>
      </c>
      <c r="BB20" s="72">
        <f t="shared" ca="1" si="38"/>
        <v>1.4643857941036058</v>
      </c>
      <c r="BC20" s="72">
        <f t="shared" ca="1" si="39"/>
        <v>3.6092354646288021</v>
      </c>
      <c r="BD20" s="72">
        <f t="shared" ca="1" si="40"/>
        <v>0.7321928970518029</v>
      </c>
      <c r="BE20" s="72">
        <f t="shared" ca="1" si="41"/>
        <v>2.5573330675262818</v>
      </c>
      <c r="BF20" s="72">
        <f t="shared" ca="1" si="42"/>
        <v>3.0582539776602955</v>
      </c>
      <c r="BG20" s="72">
        <f t="shared" ca="1" si="43"/>
        <v>13.028303891720462</v>
      </c>
      <c r="BH20" s="72">
        <f t="shared" ca="1" si="44"/>
        <v>4.571608580862077</v>
      </c>
      <c r="BI20" s="72">
        <f t="shared" ca="1" si="45"/>
        <v>1.3949287603911817</v>
      </c>
      <c r="BJ20" s="72">
        <f t="shared" ca="1" si="46"/>
        <v>4.2622217792104697</v>
      </c>
      <c r="BK20" s="72">
        <f t="shared" ca="1" si="47"/>
        <v>2.3200547416733279</v>
      </c>
      <c r="BL20" s="72">
        <f t="shared" ca="1" si="48"/>
        <v>5.6342608203694615</v>
      </c>
      <c r="BM20" s="72">
        <f t="shared" ca="1" si="49"/>
        <v>4.3857872887215477</v>
      </c>
      <c r="BN20" s="72">
        <f t="shared" ca="1" si="50"/>
        <v>0.30098047942050393</v>
      </c>
      <c r="BO20" s="72">
        <f t="shared" ca="1" si="51"/>
        <v>1.5818555056863599</v>
      </c>
      <c r="BP20" s="72">
        <f t="shared" ca="1" si="52"/>
        <v>0.59758985770373596</v>
      </c>
      <c r="BQ20" s="72">
        <f t="shared" ca="1" si="53"/>
        <v>4.5103662735241095</v>
      </c>
      <c r="BR20" s="72">
        <f t="shared" ca="1" si="54"/>
        <v>6.4434787795147708</v>
      </c>
      <c r="BS20" s="72">
        <f t="shared" ca="1" si="55"/>
        <v>0.78139162926477002</v>
      </c>
      <c r="BT20" s="72">
        <f t="shared" ca="1" si="56"/>
        <v>2.4958164645273677</v>
      </c>
      <c r="BU20" s="72">
        <f t="shared" ca="1" si="57"/>
        <v>2.1442930188192877</v>
      </c>
      <c r="BV20" s="72">
        <f t="shared" ca="1" si="58"/>
        <v>6.7285791949294103</v>
      </c>
      <c r="BW20" s="72">
        <f t="shared" ca="1" si="59"/>
        <v>5.5491994461138159</v>
      </c>
      <c r="BX20" s="72">
        <f t="shared" ca="1" si="60"/>
        <v>0.70035842326694187</v>
      </c>
      <c r="BY20" s="72">
        <f t="shared" ca="1" si="61"/>
        <v>2.4958164645273677</v>
      </c>
      <c r="BZ20" s="72">
        <f t="shared" ca="1" si="62"/>
        <v>2.1442930188192877</v>
      </c>
      <c r="CA20" s="72">
        <f t="shared" ca="1" si="63"/>
        <v>9.3312823560449623</v>
      </c>
      <c r="CB20" s="72">
        <f t="shared" ca="1" si="64"/>
        <v>4.4783370977182893</v>
      </c>
      <c r="CC20" s="72">
        <f t="shared" ca="1" si="65"/>
        <v>0.85663674911989585</v>
      </c>
      <c r="CD20" s="72">
        <f t="shared" ca="1" si="66"/>
        <v>6.0039629739370124</v>
      </c>
      <c r="CE20" s="72">
        <f t="shared" ca="1" si="67"/>
        <v>3.1255928803477415</v>
      </c>
      <c r="CF20" s="72">
        <f t="shared" ca="1" si="68"/>
        <v>7.6833849966824506</v>
      </c>
      <c r="CG20" s="72">
        <f t="shared" ca="1" si="69"/>
        <v>3.1255928803477415</v>
      </c>
      <c r="CH20" s="72">
        <f t="shared" ca="1" si="70"/>
        <v>3.9049776669033456</v>
      </c>
      <c r="CI20" s="72">
        <f t="shared" ca="1" si="71"/>
        <v>9.9238899293590368</v>
      </c>
      <c r="CJ20" s="72">
        <f t="shared" ca="1" si="72"/>
        <v>3.9049776669033456</v>
      </c>
      <c r="CK20" s="72">
        <f t="shared" ca="1" si="73"/>
        <v>3.6970215356754998</v>
      </c>
    </row>
    <row r="21" spans="1:89" x14ac:dyDescent="0.25">
      <c r="A21" t="str">
        <f>Plantilla!D22</f>
        <v>J-P. Kechele</v>
      </c>
      <c r="B21" s="58">
        <f>Plantilla!E22</f>
        <v>29</v>
      </c>
      <c r="C21" s="98">
        <f ca="1">Plantilla!F22</f>
        <v>110</v>
      </c>
      <c r="D21" s="58" t="str">
        <f>Plantilla!G22</f>
        <v>CAB</v>
      </c>
      <c r="E21" s="207">
        <f>Plantilla!O22</f>
        <v>43982</v>
      </c>
      <c r="F21" s="98">
        <f>Plantilla!Q22</f>
        <v>6</v>
      </c>
      <c r="G21" s="118">
        <f t="shared" si="0"/>
        <v>0.92582009977255142</v>
      </c>
      <c r="H21" s="118">
        <f t="shared" si="1"/>
        <v>0.99928545900129484</v>
      </c>
      <c r="I21" s="153">
        <f ca="1">Plantilla!P22</f>
        <v>0.32129411444772915</v>
      </c>
      <c r="J21" s="154">
        <f>Plantilla!I22</f>
        <v>7.5999999999999988</v>
      </c>
      <c r="K21" s="49">
        <f>Plantilla!X22</f>
        <v>0</v>
      </c>
      <c r="L21" s="49">
        <f>Plantilla!Y22</f>
        <v>4</v>
      </c>
      <c r="M21" s="49">
        <f>Plantilla!Z22</f>
        <v>14</v>
      </c>
      <c r="N21" s="49">
        <f>Plantilla!AA22</f>
        <v>4</v>
      </c>
      <c r="O21" s="49">
        <f>Plantilla!AB22</f>
        <v>9</v>
      </c>
      <c r="P21" s="49">
        <f>Plantilla!AC22</f>
        <v>8</v>
      </c>
      <c r="Q21" s="49">
        <f>Plantilla!AD22</f>
        <v>19.25</v>
      </c>
      <c r="R21" s="154">
        <f t="shared" si="2"/>
        <v>3.125</v>
      </c>
      <c r="S21" s="154">
        <f t="shared" ca="1" si="3"/>
        <v>19.573024044850214</v>
      </c>
      <c r="T21" s="49">
        <f t="shared" si="4"/>
        <v>0.97749999999999981</v>
      </c>
      <c r="U21" s="49">
        <f t="shared" si="5"/>
        <v>0.73750000000000004</v>
      </c>
      <c r="V21" s="154">
        <f t="shared" ca="1" si="6"/>
        <v>19.290661047757009</v>
      </c>
      <c r="W21" s="154">
        <f t="shared" ca="1" si="7"/>
        <v>20.821406971270186</v>
      </c>
      <c r="X21" s="72">
        <f t="shared" ca="1" si="8"/>
        <v>2.4097567833277092</v>
      </c>
      <c r="Y21" s="72">
        <f t="shared" ca="1" si="9"/>
        <v>3.6309644985980203</v>
      </c>
      <c r="Z21" s="72">
        <f t="shared" ca="1" si="10"/>
        <v>2.4097567833277092</v>
      </c>
      <c r="AA21" s="72">
        <f t="shared" ca="1" si="11"/>
        <v>2.8357875145442129</v>
      </c>
      <c r="AB21" s="72">
        <f t="shared" ca="1" si="12"/>
        <v>5.4957122374887843</v>
      </c>
      <c r="AC21" s="72">
        <f t="shared" ca="1" si="13"/>
        <v>1.4178937572721064</v>
      </c>
      <c r="AD21" s="72">
        <f t="shared" ca="1" si="14"/>
        <v>3.6879795125223307</v>
      </c>
      <c r="AE21" s="72">
        <f t="shared" ca="1" si="15"/>
        <v>2.0773792257707604</v>
      </c>
      <c r="AF21" s="72">
        <f t="shared" ca="1" si="16"/>
        <v>3.9733999477043911</v>
      </c>
      <c r="AG21" s="72">
        <f t="shared" ca="1" si="17"/>
        <v>1.0386896128853802</v>
      </c>
      <c r="AH21" s="72">
        <f t="shared" ca="1" si="18"/>
        <v>5.9658492114331825</v>
      </c>
      <c r="AI21" s="72">
        <f t="shared" ca="1" si="19"/>
        <v>5.0560552584896818</v>
      </c>
      <c r="AJ21" s="72">
        <f t="shared" ca="1" si="20"/>
        <v>2.2752248663203565</v>
      </c>
      <c r="AK21" s="72">
        <f t="shared" ca="1" si="21"/>
        <v>2.5877839436606274</v>
      </c>
      <c r="AL21" s="72">
        <f t="shared" ca="1" si="22"/>
        <v>3.231478795643405</v>
      </c>
      <c r="AM21" s="72">
        <f t="shared" ca="1" si="23"/>
        <v>4.1437670270665432</v>
      </c>
      <c r="AN21" s="72">
        <f t="shared" ca="1" si="24"/>
        <v>3.8909642641420592</v>
      </c>
      <c r="AO21" s="72">
        <f t="shared" ca="1" si="25"/>
        <v>3.4645339436606268</v>
      </c>
      <c r="AP21" s="72">
        <f t="shared" ca="1" si="26"/>
        <v>1.3307651243967697</v>
      </c>
      <c r="AQ21" s="72">
        <f t="shared" ca="1" si="27"/>
        <v>1.4838423041219719</v>
      </c>
      <c r="AR21" s="72">
        <f t="shared" ca="1" si="28"/>
        <v>3.2644530690683378</v>
      </c>
      <c r="AS21" s="72">
        <f t="shared" ca="1" si="29"/>
        <v>0.74192115206098597</v>
      </c>
      <c r="AT21" s="72">
        <f t="shared" ca="1" si="30"/>
        <v>14.627952352189412</v>
      </c>
      <c r="AU21" s="72">
        <f t="shared" ca="1" si="31"/>
        <v>1.364442590873542</v>
      </c>
      <c r="AV21" s="72">
        <f t="shared" ca="1" si="32"/>
        <v>2.9022436855842138</v>
      </c>
      <c r="AW21" s="72">
        <f t="shared" ca="1" si="33"/>
        <v>0.68222129543677101</v>
      </c>
      <c r="AX21" s="72">
        <f t="shared" ca="1" si="34"/>
        <v>1.0386896128853802</v>
      </c>
      <c r="AY21" s="72">
        <f t="shared" ca="1" si="35"/>
        <v>2.1982848949955138</v>
      </c>
      <c r="AZ21" s="72">
        <f t="shared" ca="1" si="36"/>
        <v>0.5193448064426901</v>
      </c>
      <c r="BA21" s="72">
        <f t="shared" ca="1" si="37"/>
        <v>15.495712237488785</v>
      </c>
      <c r="BB21" s="72">
        <f t="shared" ca="1" si="38"/>
        <v>2.6554151960846628</v>
      </c>
      <c r="BC21" s="72">
        <f t="shared" ca="1" si="39"/>
        <v>5.5731374428563214</v>
      </c>
      <c r="BD21" s="72">
        <f t="shared" ca="1" si="40"/>
        <v>1.3277075980423314</v>
      </c>
      <c r="BE21" s="72">
        <f t="shared" ca="1" si="41"/>
        <v>1.5992522611092361</v>
      </c>
      <c r="BF21" s="72">
        <f t="shared" ca="1" si="42"/>
        <v>1.9125078586460968</v>
      </c>
      <c r="BG21" s="72">
        <f t="shared" ca="1" si="43"/>
        <v>13.651722481227619</v>
      </c>
      <c r="BH21" s="72">
        <f t="shared" ca="1" si="44"/>
        <v>6.4606881791275299</v>
      </c>
      <c r="BI21" s="72">
        <f t="shared" ca="1" si="45"/>
        <v>2.5294666492347972</v>
      </c>
      <c r="BJ21" s="72">
        <f t="shared" ca="1" si="46"/>
        <v>2.6654204351820603</v>
      </c>
      <c r="BK21" s="72">
        <f t="shared" ca="1" si="47"/>
        <v>1.4508680306970392</v>
      </c>
      <c r="BL21" s="72">
        <f t="shared" ca="1" si="48"/>
        <v>5.9038663624832273</v>
      </c>
      <c r="BM21" s="72">
        <f t="shared" ca="1" si="49"/>
        <v>5.8082524955651973</v>
      </c>
      <c r="BN21" s="72">
        <f t="shared" ca="1" si="50"/>
        <v>0.54577703634941677</v>
      </c>
      <c r="BO21" s="72">
        <f t="shared" ca="1" si="51"/>
        <v>0.98922820274798118</v>
      </c>
      <c r="BP21" s="72">
        <f t="shared" ca="1" si="52"/>
        <v>0.37370843214923738</v>
      </c>
      <c r="BQ21" s="72">
        <f t="shared" ca="1" si="53"/>
        <v>4.7261922324340793</v>
      </c>
      <c r="BR21" s="72">
        <f t="shared" ca="1" si="54"/>
        <v>8.4974859374105769</v>
      </c>
      <c r="BS21" s="72">
        <f t="shared" ca="1" si="55"/>
        <v>1.4169211520609861</v>
      </c>
      <c r="BT21" s="72">
        <f t="shared" ca="1" si="56"/>
        <v>1.5607822754468146</v>
      </c>
      <c r="BU21" s="72">
        <f t="shared" ca="1" si="57"/>
        <v>1.3409537859472633</v>
      </c>
      <c r="BV21" s="72">
        <f t="shared" ca="1" si="58"/>
        <v>7.0505490680573972</v>
      </c>
      <c r="BW21" s="72">
        <f t="shared" ca="1" si="59"/>
        <v>7.3092491591375737</v>
      </c>
      <c r="BX21" s="72">
        <f t="shared" ca="1" si="60"/>
        <v>1.269981180736143</v>
      </c>
      <c r="BY21" s="72">
        <f t="shared" ca="1" si="61"/>
        <v>1.5607822754468146</v>
      </c>
      <c r="BZ21" s="72">
        <f t="shared" ca="1" si="62"/>
        <v>1.3409537859472633</v>
      </c>
      <c r="CA21" s="72">
        <f t="shared" ca="1" si="63"/>
        <v>9.7777944218554236</v>
      </c>
      <c r="CB21" s="72">
        <f t="shared" ca="1" si="64"/>
        <v>5.8836624525524623</v>
      </c>
      <c r="CC21" s="72">
        <f t="shared" ca="1" si="65"/>
        <v>1.5533654111483401</v>
      </c>
      <c r="CD21" s="72">
        <f t="shared" ca="1" si="66"/>
        <v>6.2912591684204475</v>
      </c>
      <c r="CE21" s="72">
        <f t="shared" ca="1" si="67"/>
        <v>4.6212660757316568</v>
      </c>
      <c r="CF21" s="72">
        <f t="shared" ca="1" si="68"/>
        <v>11.235171979412373</v>
      </c>
      <c r="CG21" s="72">
        <f t="shared" ca="1" si="69"/>
        <v>4.6212660757316568</v>
      </c>
      <c r="CH21" s="72">
        <f t="shared" ca="1" si="70"/>
        <v>5.3502922541991031</v>
      </c>
      <c r="CI21" s="72">
        <f t="shared" ca="1" si="71"/>
        <v>13.368630053122146</v>
      </c>
      <c r="CJ21" s="72">
        <f t="shared" ca="1" si="72"/>
        <v>5.3502922541991031</v>
      </c>
      <c r="CK21" s="72">
        <f t="shared" ca="1" si="73"/>
        <v>3.8739280593721963</v>
      </c>
    </row>
    <row r="22" spans="1:89" x14ac:dyDescent="0.25">
      <c r="A22" t="str">
        <f>Plantilla!D23</f>
        <v>S. Zobbe</v>
      </c>
      <c r="B22" s="58">
        <f>Plantilla!E23</f>
        <v>36</v>
      </c>
      <c r="C22" s="98">
        <f ca="1">Plantilla!F23</f>
        <v>0</v>
      </c>
      <c r="D22" s="58" t="str">
        <f>Plantilla!G23</f>
        <v>CAB</v>
      </c>
      <c r="E22" s="207" t="str">
        <f>Plantilla!O23</f>
        <v>Cantera</v>
      </c>
      <c r="F22" s="98">
        <f>Plantilla!Q23</f>
        <v>5</v>
      </c>
      <c r="G22" s="118">
        <f t="shared" si="0"/>
        <v>0.84515425472851657</v>
      </c>
      <c r="H22" s="118">
        <f t="shared" si="1"/>
        <v>0.92504826128926143</v>
      </c>
      <c r="I22" s="153">
        <f>Plantilla!P23</f>
        <v>1.5</v>
      </c>
      <c r="J22" s="154">
        <f>Plantilla!I23</f>
        <v>15</v>
      </c>
      <c r="K22" s="49">
        <f>Plantilla!X23</f>
        <v>0</v>
      </c>
      <c r="L22" s="49">
        <f>Plantilla!Y23</f>
        <v>7.95</v>
      </c>
      <c r="M22" s="49">
        <f>Plantilla!Z23</f>
        <v>11.95</v>
      </c>
      <c r="N22" s="49">
        <f>Plantilla!AA23</f>
        <v>11.95</v>
      </c>
      <c r="O22" s="49">
        <f>Plantilla!AB23</f>
        <v>9.9499999999999993</v>
      </c>
      <c r="P22" s="49">
        <f>Plantilla!AC23</f>
        <v>4.95</v>
      </c>
      <c r="Q22" s="49">
        <f>Plantilla!AD23</f>
        <v>18</v>
      </c>
      <c r="R22" s="154">
        <f t="shared" si="2"/>
        <v>3.8562499999999997</v>
      </c>
      <c r="S22" s="154">
        <f t="shared" si="3"/>
        <v>17.297548910017404</v>
      </c>
      <c r="T22" s="49">
        <f t="shared" si="4"/>
        <v>0.78749999999999998</v>
      </c>
      <c r="U22" s="49">
        <f t="shared" si="5"/>
        <v>0.85799999999999998</v>
      </c>
      <c r="V22" s="154" t="e">
        <f t="shared" ca="1" si="6"/>
        <v>#VALUE!</v>
      </c>
      <c r="W22" s="154" t="e">
        <f t="shared" ca="1" si="7"/>
        <v>#VALUE!</v>
      </c>
      <c r="X22" s="72">
        <f t="shared" si="8"/>
        <v>4.872670225540813</v>
      </c>
      <c r="Y22" s="72">
        <f t="shared" si="9"/>
        <v>7.3396950872545128</v>
      </c>
      <c r="Z22" s="72">
        <f t="shared" si="10"/>
        <v>4.872670225540813</v>
      </c>
      <c r="AA22" s="72">
        <f t="shared" si="11"/>
        <v>5.685350786230309</v>
      </c>
      <c r="AB22" s="72">
        <f t="shared" si="12"/>
        <v>11.018121678740908</v>
      </c>
      <c r="AC22" s="72">
        <f t="shared" si="13"/>
        <v>2.8426753931151545</v>
      </c>
      <c r="AD22" s="72">
        <f t="shared" si="14"/>
        <v>3.574312959540336</v>
      </c>
      <c r="AE22" s="72">
        <f t="shared" si="15"/>
        <v>4.1648499945640634</v>
      </c>
      <c r="AF22" s="72">
        <f t="shared" si="16"/>
        <v>7.9661019737296757</v>
      </c>
      <c r="AG22" s="72">
        <f t="shared" si="17"/>
        <v>2.0824249972820317</v>
      </c>
      <c r="AH22" s="72">
        <f t="shared" si="18"/>
        <v>5.7819768463152492</v>
      </c>
      <c r="AI22" s="72">
        <f t="shared" si="19"/>
        <v>10.136671944441636</v>
      </c>
      <c r="AJ22" s="72">
        <f t="shared" si="20"/>
        <v>4.561502374998736</v>
      </c>
      <c r="AK22" s="72">
        <f t="shared" si="21"/>
        <v>2.5080263203497317</v>
      </c>
      <c r="AL22" s="72">
        <f t="shared" si="22"/>
        <v>8.8306555470996528</v>
      </c>
      <c r="AM22" s="72">
        <f t="shared" si="23"/>
        <v>8.307663745770645</v>
      </c>
      <c r="AN22" s="72">
        <f t="shared" si="24"/>
        <v>7.8008301485485623</v>
      </c>
      <c r="AO22" s="72">
        <f t="shared" si="25"/>
        <v>3.518376320349732</v>
      </c>
      <c r="AP22" s="72">
        <f t="shared" si="26"/>
        <v>1.9942190434773812</v>
      </c>
      <c r="AQ22" s="72">
        <f t="shared" si="27"/>
        <v>2.9748928532600454</v>
      </c>
      <c r="AR22" s="72">
        <f t="shared" si="28"/>
        <v>6.5447642771720993</v>
      </c>
      <c r="AS22" s="72">
        <f t="shared" si="29"/>
        <v>1.4874464266300227</v>
      </c>
      <c r="AT22" s="72">
        <f t="shared" si="30"/>
        <v>14.177106864731416</v>
      </c>
      <c r="AU22" s="72">
        <f t="shared" si="31"/>
        <v>1.6923558182363181</v>
      </c>
      <c r="AV22" s="72">
        <f t="shared" si="32"/>
        <v>2.9493096518710855</v>
      </c>
      <c r="AW22" s="72">
        <f t="shared" si="33"/>
        <v>0.84617790911815904</v>
      </c>
      <c r="AX22" s="72">
        <f t="shared" si="34"/>
        <v>2.0824249972820317</v>
      </c>
      <c r="AY22" s="72">
        <f t="shared" si="35"/>
        <v>4.4072486714963635</v>
      </c>
      <c r="AZ22" s="72">
        <f t="shared" si="36"/>
        <v>1.0412124986410158</v>
      </c>
      <c r="BA22" s="72">
        <f t="shared" si="37"/>
        <v>15.018121678740908</v>
      </c>
      <c r="BB22" s="72">
        <f t="shared" si="38"/>
        <v>3.2935847847214497</v>
      </c>
      <c r="BC22" s="72">
        <f t="shared" si="39"/>
        <v>6.1229850449862404</v>
      </c>
      <c r="BD22" s="72">
        <f t="shared" si="40"/>
        <v>1.6467923923607248</v>
      </c>
      <c r="BE22" s="72">
        <f t="shared" si="41"/>
        <v>3.2062734085136038</v>
      </c>
      <c r="BF22" s="72">
        <f t="shared" si="42"/>
        <v>3.8343063442018357</v>
      </c>
      <c r="BG22" s="72">
        <f t="shared" si="43"/>
        <v>13.23096519897074</v>
      </c>
      <c r="BH22" s="72">
        <f t="shared" si="44"/>
        <v>12.721110172400667</v>
      </c>
      <c r="BI22" s="72">
        <f t="shared" si="45"/>
        <v>3.1373673245765588</v>
      </c>
      <c r="BJ22" s="72">
        <f t="shared" si="46"/>
        <v>5.3437890141893405</v>
      </c>
      <c r="BK22" s="72">
        <f t="shared" si="47"/>
        <v>2.9087841231875999</v>
      </c>
      <c r="BL22" s="72">
        <f t="shared" si="48"/>
        <v>5.7219043596002859</v>
      </c>
      <c r="BM22" s="72">
        <f t="shared" si="49"/>
        <v>12.723838347219555</v>
      </c>
      <c r="BN22" s="72">
        <f t="shared" si="50"/>
        <v>0.67694232729452719</v>
      </c>
      <c r="BO22" s="72">
        <f t="shared" si="51"/>
        <v>1.9832619021733633</v>
      </c>
      <c r="BP22" s="72">
        <f t="shared" si="52"/>
        <v>0.74923227415438176</v>
      </c>
      <c r="BQ22" s="72">
        <f t="shared" si="53"/>
        <v>4.580527112015977</v>
      </c>
      <c r="BR22" s="72">
        <f t="shared" si="54"/>
        <v>18.741304478860808</v>
      </c>
      <c r="BS22" s="72">
        <f t="shared" si="55"/>
        <v>1.7574464266300227</v>
      </c>
      <c r="BT22" s="72">
        <f t="shared" si="56"/>
        <v>3.1291465567624175</v>
      </c>
      <c r="BU22" s="72">
        <f t="shared" si="57"/>
        <v>2.6884216896127815</v>
      </c>
      <c r="BV22" s="72">
        <f t="shared" si="58"/>
        <v>6.8332453638271131</v>
      </c>
      <c r="BW22" s="72">
        <f t="shared" si="59"/>
        <v>16.152078820044924</v>
      </c>
      <c r="BX22" s="72">
        <f t="shared" si="60"/>
        <v>1.5751927231276497</v>
      </c>
      <c r="BY22" s="72">
        <f t="shared" si="61"/>
        <v>3.1291465567624175</v>
      </c>
      <c r="BZ22" s="72">
        <f t="shared" si="62"/>
        <v>2.6884216896127815</v>
      </c>
      <c r="CA22" s="72">
        <f t="shared" si="63"/>
        <v>9.4764347792855137</v>
      </c>
      <c r="CB22" s="72">
        <f t="shared" si="64"/>
        <v>13.055218902473111</v>
      </c>
      <c r="CC22" s="72">
        <f t="shared" si="65"/>
        <v>1.9266820084536542</v>
      </c>
      <c r="CD22" s="72">
        <f t="shared" si="66"/>
        <v>6.097357401568809</v>
      </c>
      <c r="CE22" s="72">
        <f t="shared" si="67"/>
        <v>6.4354413946240125</v>
      </c>
      <c r="CF22" s="72">
        <f t="shared" si="68"/>
        <v>11.743405010262261</v>
      </c>
      <c r="CG22" s="72">
        <f t="shared" si="69"/>
        <v>6.4354413946240125</v>
      </c>
      <c r="CH22" s="72">
        <f t="shared" si="70"/>
        <v>7.1222898058555852</v>
      </c>
      <c r="CI22" s="72">
        <f t="shared" si="71"/>
        <v>12.821808578196302</v>
      </c>
      <c r="CJ22" s="72">
        <f t="shared" si="72"/>
        <v>7.1222898058555852</v>
      </c>
      <c r="CK22" s="72">
        <f t="shared" si="73"/>
        <v>3.7545304196852269</v>
      </c>
    </row>
    <row r="23" spans="1:89" x14ac:dyDescent="0.25">
      <c r="A23" t="str">
        <f>Plantilla!D24</f>
        <v>P .Trivadi</v>
      </c>
      <c r="B23" s="58">
        <f>Plantilla!E24</f>
        <v>35</v>
      </c>
      <c r="C23" s="98">
        <f ca="1">Plantilla!F24</f>
        <v>68</v>
      </c>
      <c r="D23" s="58">
        <f>Plantilla!G24</f>
        <v>0</v>
      </c>
      <c r="E23" s="207" t="str">
        <f>Plantilla!O24</f>
        <v>Cantera</v>
      </c>
      <c r="F23" s="98">
        <f>Plantilla!Q24</f>
        <v>3</v>
      </c>
      <c r="G23" s="118">
        <f t="shared" si="0"/>
        <v>0.65465367070797709</v>
      </c>
      <c r="H23" s="118">
        <f t="shared" si="1"/>
        <v>0.75498344352707503</v>
      </c>
      <c r="I23" s="153">
        <f>Plantilla!P24</f>
        <v>1.5</v>
      </c>
      <c r="J23" s="154">
        <f>Plantilla!I24</f>
        <v>6.3</v>
      </c>
      <c r="K23" s="49">
        <f>Plantilla!X24</f>
        <v>0</v>
      </c>
      <c r="L23" s="49">
        <f>Plantilla!Y24</f>
        <v>3.95</v>
      </c>
      <c r="M23" s="49">
        <f>Plantilla!Z24</f>
        <v>5.95</v>
      </c>
      <c r="N23" s="49">
        <f>Plantilla!AA24</f>
        <v>4.95</v>
      </c>
      <c r="O23" s="49">
        <f>Plantilla!AB24</f>
        <v>9.9499999999999993</v>
      </c>
      <c r="P23" s="49">
        <f>Plantilla!AC24</f>
        <v>5.95</v>
      </c>
      <c r="Q23" s="49">
        <f>Plantilla!AD24</f>
        <v>15</v>
      </c>
      <c r="R23" s="154">
        <f t="shared" si="2"/>
        <v>3.3562499999999997</v>
      </c>
      <c r="S23" s="154">
        <f t="shared" si="3"/>
        <v>16.197390152389886</v>
      </c>
      <c r="T23" s="49">
        <f t="shared" si="4"/>
        <v>0.74749999999999994</v>
      </c>
      <c r="U23" s="49">
        <f t="shared" si="5"/>
        <v>0.60799999999999998</v>
      </c>
      <c r="V23" s="154" t="e">
        <f t="shared" ca="1" si="6"/>
        <v>#VALUE!</v>
      </c>
      <c r="W23" s="154" t="e">
        <f t="shared" ca="1" si="7"/>
        <v>#VALUE!</v>
      </c>
      <c r="X23" s="72">
        <f t="shared" si="8"/>
        <v>3.3301323995639689</v>
      </c>
      <c r="Y23" s="72">
        <f t="shared" si="9"/>
        <v>4.9911815324594322</v>
      </c>
      <c r="Z23" s="72">
        <f t="shared" si="10"/>
        <v>3.3301323995639689</v>
      </c>
      <c r="AA23" s="72">
        <f t="shared" si="11"/>
        <v>3.3621462980240642</v>
      </c>
      <c r="AB23" s="72">
        <f t="shared" si="12"/>
        <v>6.5157873992714421</v>
      </c>
      <c r="AC23" s="72">
        <f t="shared" si="13"/>
        <v>1.6810731490120321</v>
      </c>
      <c r="AD23" s="72">
        <f t="shared" si="14"/>
        <v>2.026757401026603</v>
      </c>
      <c r="AE23" s="72">
        <f t="shared" si="15"/>
        <v>2.462967636924605</v>
      </c>
      <c r="AF23" s="72">
        <f t="shared" si="16"/>
        <v>4.7109142896732523</v>
      </c>
      <c r="AG23" s="72">
        <f t="shared" si="17"/>
        <v>1.2314838184623025</v>
      </c>
      <c r="AH23" s="72">
        <f t="shared" si="18"/>
        <v>3.2785781487195051</v>
      </c>
      <c r="AI23" s="72">
        <f t="shared" si="19"/>
        <v>5.9945244073297266</v>
      </c>
      <c r="AJ23" s="72">
        <f t="shared" si="20"/>
        <v>2.6975359832983767</v>
      </c>
      <c r="AK23" s="72">
        <f t="shared" si="21"/>
        <v>1.4221364956783309</v>
      </c>
      <c r="AL23" s="72">
        <f t="shared" si="22"/>
        <v>4.4192829907716078</v>
      </c>
      <c r="AM23" s="72">
        <f t="shared" si="23"/>
        <v>4.9129036990506672</v>
      </c>
      <c r="AN23" s="72">
        <f t="shared" si="24"/>
        <v>4.6131774786841806</v>
      </c>
      <c r="AO23" s="72">
        <f t="shared" si="25"/>
        <v>2.9334864956783311</v>
      </c>
      <c r="AP23" s="72">
        <f t="shared" si="26"/>
        <v>1.705546770990175</v>
      </c>
      <c r="AQ23" s="72">
        <f t="shared" si="27"/>
        <v>1.7592625978032894</v>
      </c>
      <c r="AR23" s="72">
        <f t="shared" si="28"/>
        <v>3.8703777151672365</v>
      </c>
      <c r="AS23" s="72">
        <f t="shared" si="29"/>
        <v>0.87963129890164471</v>
      </c>
      <c r="AT23" s="72">
        <f t="shared" si="30"/>
        <v>8.0389033049122407</v>
      </c>
      <c r="AU23" s="72">
        <f t="shared" si="31"/>
        <v>1.6270523619052875</v>
      </c>
      <c r="AV23" s="72">
        <f t="shared" si="32"/>
        <v>2.9751257079865328</v>
      </c>
      <c r="AW23" s="72">
        <f t="shared" si="33"/>
        <v>0.81352618095264373</v>
      </c>
      <c r="AX23" s="72">
        <f t="shared" si="34"/>
        <v>1.2314838184623025</v>
      </c>
      <c r="AY23" s="72">
        <f t="shared" si="35"/>
        <v>2.6063149597085769</v>
      </c>
      <c r="AZ23" s="72">
        <f t="shared" si="36"/>
        <v>0.61574190923115124</v>
      </c>
      <c r="BA23" s="72">
        <f t="shared" si="37"/>
        <v>8.5157873992714421</v>
      </c>
      <c r="BB23" s="72">
        <f t="shared" si="38"/>
        <v>3.1664942120156749</v>
      </c>
      <c r="BC23" s="72">
        <f t="shared" si="39"/>
        <v>6.0561988569985648</v>
      </c>
      <c r="BD23" s="72">
        <f t="shared" si="40"/>
        <v>1.5832471060078375</v>
      </c>
      <c r="BE23" s="72">
        <f t="shared" si="41"/>
        <v>1.8960941331879895</v>
      </c>
      <c r="BF23" s="72">
        <f t="shared" si="42"/>
        <v>2.2674940149464615</v>
      </c>
      <c r="BG23" s="72">
        <f t="shared" si="43"/>
        <v>7.5024086987581402</v>
      </c>
      <c r="BH23" s="72">
        <f t="shared" si="44"/>
        <v>8.2565349979523113</v>
      </c>
      <c r="BI23" s="72">
        <f t="shared" si="45"/>
        <v>3.0163047632244173</v>
      </c>
      <c r="BJ23" s="72">
        <f t="shared" si="46"/>
        <v>3.1601568886466493</v>
      </c>
      <c r="BK23" s="72">
        <f t="shared" si="47"/>
        <v>1.7201678734076609</v>
      </c>
      <c r="BL23" s="72">
        <f t="shared" si="48"/>
        <v>3.2445149991224196</v>
      </c>
      <c r="BM23" s="72">
        <f t="shared" si="49"/>
        <v>7.5737981869632414</v>
      </c>
      <c r="BN23" s="72">
        <f t="shared" si="50"/>
        <v>0.65082094476211494</v>
      </c>
      <c r="BO23" s="72">
        <f t="shared" si="51"/>
        <v>1.1728417318688595</v>
      </c>
      <c r="BP23" s="72">
        <f t="shared" si="52"/>
        <v>0.4430735431504581</v>
      </c>
      <c r="BQ23" s="72">
        <f t="shared" si="53"/>
        <v>2.5973151567777899</v>
      </c>
      <c r="BR23" s="72">
        <f t="shared" si="54"/>
        <v>11.095302595463075</v>
      </c>
      <c r="BS23" s="72">
        <f t="shared" si="55"/>
        <v>1.6896312989016449</v>
      </c>
      <c r="BT23" s="72">
        <f t="shared" si="56"/>
        <v>1.8504836213930893</v>
      </c>
      <c r="BU23" s="72">
        <f t="shared" si="57"/>
        <v>1.5898521254222318</v>
      </c>
      <c r="BV23" s="72">
        <f t="shared" si="58"/>
        <v>3.8746832666685065</v>
      </c>
      <c r="BW23" s="72">
        <f t="shared" si="59"/>
        <v>9.5474924383927586</v>
      </c>
      <c r="BX23" s="72">
        <f t="shared" si="60"/>
        <v>1.5144102753118445</v>
      </c>
      <c r="BY23" s="72">
        <f t="shared" si="61"/>
        <v>1.8504836213930893</v>
      </c>
      <c r="BZ23" s="72">
        <f t="shared" si="62"/>
        <v>1.5898521254222318</v>
      </c>
      <c r="CA23" s="72">
        <f t="shared" si="63"/>
        <v>5.3734618489402797</v>
      </c>
      <c r="CB23" s="72">
        <f t="shared" si="64"/>
        <v>7.6916297223479404</v>
      </c>
      <c r="CC23" s="72">
        <f t="shared" si="65"/>
        <v>1.8523365350921734</v>
      </c>
      <c r="CD23" s="72">
        <f t="shared" si="66"/>
        <v>3.4574096841042059</v>
      </c>
      <c r="CE23" s="72">
        <f t="shared" si="67"/>
        <v>5.2927252350204217</v>
      </c>
      <c r="CF23" s="72">
        <f t="shared" si="68"/>
        <v>11.760776611579644</v>
      </c>
      <c r="CG23" s="72">
        <f t="shared" si="69"/>
        <v>5.2927252350204217</v>
      </c>
      <c r="CH23" s="72">
        <f t="shared" si="70"/>
        <v>5.5223355497461082</v>
      </c>
      <c r="CI23" s="72">
        <f t="shared" si="71"/>
        <v>13.134112949602605</v>
      </c>
      <c r="CJ23" s="72">
        <f t="shared" si="72"/>
        <v>5.5223355497461082</v>
      </c>
      <c r="CK23" s="72">
        <f t="shared" si="73"/>
        <v>2.1289468498178605</v>
      </c>
    </row>
    <row r="24" spans="1:89" x14ac:dyDescent="0.25">
      <c r="B24" s="58"/>
      <c r="C24" s="98"/>
      <c r="D24" s="58"/>
      <c r="E24" s="207"/>
      <c r="F24" s="98"/>
      <c r="G24" s="118"/>
      <c r="H24" s="118"/>
      <c r="I24" s="153"/>
      <c r="J24" s="154"/>
      <c r="K24" s="49"/>
      <c r="L24" s="49"/>
      <c r="M24" s="49"/>
      <c r="N24" s="49"/>
      <c r="O24" s="49"/>
      <c r="P24" s="49"/>
      <c r="Q24" s="49"/>
      <c r="R24" s="154"/>
      <c r="S24" s="154"/>
      <c r="T24" s="49"/>
      <c r="U24" s="49"/>
      <c r="V24" s="154"/>
      <c r="W24" s="154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</row>
    <row r="25" spans="1:89" x14ac:dyDescent="0.25">
      <c r="B25" s="58"/>
      <c r="C25" s="98"/>
      <c r="D25" s="58"/>
      <c r="E25" s="207"/>
      <c r="F25" s="98"/>
      <c r="G25" s="118"/>
      <c r="H25" s="118"/>
      <c r="I25" s="153"/>
      <c r="J25" s="154"/>
      <c r="K25" s="49"/>
      <c r="L25" s="49"/>
      <c r="M25" s="49"/>
      <c r="N25" s="49"/>
      <c r="O25" s="49"/>
      <c r="P25" s="49"/>
      <c r="Q25" s="49"/>
      <c r="R25" s="154"/>
      <c r="S25" s="154"/>
      <c r="T25" s="49"/>
      <c r="U25" s="49"/>
      <c r="V25" s="154"/>
      <c r="W25" s="154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</row>
    <row r="26" spans="1:89" x14ac:dyDescent="0.25">
      <c r="B26" s="58"/>
      <c r="C26" s="98"/>
      <c r="D26" s="58"/>
      <c r="E26" s="207"/>
      <c r="F26" s="98"/>
      <c r="G26" s="118"/>
      <c r="H26" s="118"/>
      <c r="I26" s="153"/>
      <c r="J26" s="154"/>
      <c r="K26" s="49"/>
      <c r="L26" s="49"/>
      <c r="M26" s="49"/>
      <c r="N26" s="49"/>
      <c r="O26" s="49"/>
      <c r="P26" s="49"/>
      <c r="Q26" s="49"/>
      <c r="R26" s="154"/>
      <c r="S26" s="154"/>
      <c r="T26" s="49"/>
      <c r="U26" s="49"/>
      <c r="V26" s="154"/>
      <c r="W26" s="154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</row>
    <row r="27" spans="1:89" x14ac:dyDescent="0.25">
      <c r="D27" s="58"/>
    </row>
    <row r="28" spans="1:89" ht="18.75" x14ac:dyDescent="0.3">
      <c r="A28" s="136" t="s">
        <v>488</v>
      </c>
      <c r="B28" s="136" t="s">
        <v>489</v>
      </c>
      <c r="C28" s="136"/>
      <c r="D28" s="137"/>
      <c r="L28" s="45"/>
      <c r="M28" s="45"/>
    </row>
    <row r="29" spans="1:89" x14ac:dyDescent="0.25">
      <c r="A29" s="70" t="s">
        <v>490</v>
      </c>
      <c r="B29" s="138">
        <v>1</v>
      </c>
      <c r="C29" s="155">
        <v>0.624</v>
      </c>
      <c r="D29" s="156">
        <v>0.24500000000000002</v>
      </c>
    </row>
    <row r="30" spans="1:89" x14ac:dyDescent="0.25">
      <c r="A30" s="70" t="s">
        <v>491</v>
      </c>
      <c r="B30" s="138">
        <v>1</v>
      </c>
      <c r="C30" s="155">
        <v>1.002</v>
      </c>
      <c r="D30" s="156">
        <v>0.34000000000000008</v>
      </c>
    </row>
    <row r="31" spans="1:89" x14ac:dyDescent="0.25">
      <c r="A31" s="70" t="s">
        <v>492</v>
      </c>
      <c r="B31" s="138">
        <v>1</v>
      </c>
      <c r="C31" s="155">
        <v>0.46800000000000008</v>
      </c>
      <c r="D31" s="156">
        <v>0.125</v>
      </c>
    </row>
    <row r="32" spans="1:89" x14ac:dyDescent="0.25">
      <c r="A32" s="70" t="s">
        <v>493</v>
      </c>
      <c r="B32" s="138">
        <v>1</v>
      </c>
      <c r="C32" s="155">
        <v>0.877</v>
      </c>
      <c r="D32" s="156">
        <v>0.25</v>
      </c>
    </row>
    <row r="33" spans="1:85" x14ac:dyDescent="0.25">
      <c r="A33" s="70" t="s">
        <v>494</v>
      </c>
      <c r="B33" s="138">
        <v>1</v>
      </c>
      <c r="C33" s="155">
        <v>0.59299999999999997</v>
      </c>
      <c r="D33" s="156">
        <v>0.19</v>
      </c>
    </row>
    <row r="35" spans="1:85" ht="15.75" x14ac:dyDescent="0.25">
      <c r="A35" s="505" t="s">
        <v>495</v>
      </c>
      <c r="B35" s="505"/>
      <c r="C35" s="505"/>
      <c r="D35" s="505"/>
      <c r="E35" s="505"/>
    </row>
    <row r="36" spans="1:85" x14ac:dyDescent="0.25">
      <c r="A36" s="145" t="s">
        <v>87</v>
      </c>
      <c r="B36" s="145" t="s">
        <v>353</v>
      </c>
      <c r="C36" s="145" t="s">
        <v>89</v>
      </c>
      <c r="D36" s="146" t="s">
        <v>352</v>
      </c>
      <c r="E36" s="145" t="s">
        <v>478</v>
      </c>
      <c r="F36" s="148" t="s">
        <v>99</v>
      </c>
      <c r="G36" s="149" t="s">
        <v>480</v>
      </c>
      <c r="H36" s="149" t="s">
        <v>14</v>
      </c>
      <c r="I36" s="149" t="s">
        <v>37</v>
      </c>
      <c r="J36" s="149" t="s">
        <v>196</v>
      </c>
      <c r="K36" s="149" t="s">
        <v>30</v>
      </c>
      <c r="L36" s="149" t="s">
        <v>198</v>
      </c>
      <c r="M36" s="149" t="s">
        <v>199</v>
      </c>
      <c r="N36" s="149" t="s">
        <v>200</v>
      </c>
      <c r="O36" s="150" t="s">
        <v>481</v>
      </c>
      <c r="P36" s="150" t="s">
        <v>117</v>
      </c>
      <c r="Q36" s="150" t="s">
        <v>482</v>
      </c>
      <c r="R36" s="150" t="s">
        <v>483</v>
      </c>
      <c r="S36" s="150" t="s">
        <v>121</v>
      </c>
      <c r="T36" s="151" t="s">
        <v>484</v>
      </c>
      <c r="U36" s="151" t="s">
        <v>485</v>
      </c>
      <c r="V36" s="151" t="s">
        <v>484</v>
      </c>
      <c r="W36" s="152" t="s">
        <v>484</v>
      </c>
      <c r="X36" s="152" t="s">
        <v>485</v>
      </c>
      <c r="Y36" s="152" t="s">
        <v>484</v>
      </c>
      <c r="Z36" s="152" t="s">
        <v>28</v>
      </c>
      <c r="AA36" s="152" t="s">
        <v>484</v>
      </c>
      <c r="AB36" s="152" t="s">
        <v>485</v>
      </c>
      <c r="AC36" s="152" t="s">
        <v>484</v>
      </c>
      <c r="AD36" s="152" t="s">
        <v>28</v>
      </c>
      <c r="AE36" s="151" t="s">
        <v>484</v>
      </c>
      <c r="AF36" s="151" t="s">
        <v>485</v>
      </c>
      <c r="AG36" s="151" t="s">
        <v>28</v>
      </c>
      <c r="AH36" s="151" t="s">
        <v>486</v>
      </c>
      <c r="AI36" s="151" t="s">
        <v>484</v>
      </c>
      <c r="AJ36" s="151" t="s">
        <v>485</v>
      </c>
      <c r="AK36" s="151" t="s">
        <v>28</v>
      </c>
      <c r="AL36" s="151" t="s">
        <v>486</v>
      </c>
      <c r="AM36" s="151" t="s">
        <v>484</v>
      </c>
      <c r="AN36" s="151" t="s">
        <v>485</v>
      </c>
      <c r="AO36" s="151" t="s">
        <v>484</v>
      </c>
      <c r="AP36" s="151" t="s">
        <v>28</v>
      </c>
      <c r="AQ36" s="151" t="s">
        <v>486</v>
      </c>
      <c r="AR36" s="151" t="s">
        <v>487</v>
      </c>
      <c r="AS36" s="151" t="s">
        <v>486</v>
      </c>
      <c r="AT36" s="151" t="s">
        <v>484</v>
      </c>
      <c r="AU36" s="151" t="s">
        <v>485</v>
      </c>
      <c r="AV36" s="151" t="s">
        <v>484</v>
      </c>
      <c r="AW36" s="151" t="s">
        <v>28</v>
      </c>
      <c r="AX36" s="151" t="s">
        <v>486</v>
      </c>
      <c r="AY36" s="151" t="s">
        <v>487</v>
      </c>
      <c r="AZ36" s="151" t="s">
        <v>486</v>
      </c>
      <c r="BA36" s="152" t="s">
        <v>484</v>
      </c>
      <c r="BB36" s="152" t="s">
        <v>485</v>
      </c>
      <c r="BC36" s="152" t="s">
        <v>28</v>
      </c>
      <c r="BD36" s="152" t="s">
        <v>486</v>
      </c>
      <c r="BE36" s="152" t="s">
        <v>487</v>
      </c>
      <c r="BF36" s="152" t="s">
        <v>484</v>
      </c>
      <c r="BG36" s="152" t="s">
        <v>485</v>
      </c>
      <c r="BH36" s="152" t="s">
        <v>28</v>
      </c>
      <c r="BI36" s="152" t="s">
        <v>486</v>
      </c>
      <c r="BJ36" s="152" t="s">
        <v>487</v>
      </c>
      <c r="BK36" s="151" t="s">
        <v>484</v>
      </c>
      <c r="BL36" s="151" t="s">
        <v>485</v>
      </c>
      <c r="BM36" s="151" t="s">
        <v>28</v>
      </c>
      <c r="BN36" s="151" t="s">
        <v>486</v>
      </c>
      <c r="BO36" s="151" t="s">
        <v>487</v>
      </c>
      <c r="BP36" s="151" t="s">
        <v>484</v>
      </c>
      <c r="BQ36" s="151" t="s">
        <v>485</v>
      </c>
      <c r="BR36" s="151" t="s">
        <v>28</v>
      </c>
      <c r="BS36" s="151" t="s">
        <v>486</v>
      </c>
      <c r="BT36" s="151" t="s">
        <v>487</v>
      </c>
      <c r="BU36" s="151" t="s">
        <v>484</v>
      </c>
      <c r="BV36" s="151" t="s">
        <v>485</v>
      </c>
      <c r="BW36" s="151" t="s">
        <v>28</v>
      </c>
      <c r="BX36" s="151" t="s">
        <v>486</v>
      </c>
      <c r="BY36" s="151" t="s">
        <v>487</v>
      </c>
      <c r="BZ36" s="152" t="s">
        <v>28</v>
      </c>
      <c r="CA36" s="152" t="s">
        <v>486</v>
      </c>
      <c r="CB36" s="152" t="s">
        <v>487</v>
      </c>
      <c r="CC36" s="152" t="s">
        <v>486</v>
      </c>
      <c r="CD36" s="151" t="s">
        <v>486</v>
      </c>
      <c r="CE36" s="151" t="s">
        <v>487</v>
      </c>
      <c r="CF36" s="151" t="s">
        <v>486</v>
      </c>
      <c r="CG36" s="151" t="s">
        <v>28</v>
      </c>
    </row>
    <row r="37" spans="1:85" x14ac:dyDescent="0.25">
      <c r="A37" t="str">
        <f t="shared" ref="A37:E46" si="74">A3</f>
        <v>D. Gehmacher</v>
      </c>
      <c r="B37">
        <f t="shared" si="74"/>
        <v>38</v>
      </c>
      <c r="C37" s="50">
        <f t="shared" ca="1" si="74"/>
        <v>65</v>
      </c>
      <c r="D37">
        <f t="shared" si="74"/>
        <v>0</v>
      </c>
      <c r="E37" s="207">
        <f t="shared" si="74"/>
        <v>42468</v>
      </c>
      <c r="F37" s="153">
        <f t="shared" ref="F37:F57" ca="1" si="75">I3</f>
        <v>1</v>
      </c>
      <c r="G37" s="154">
        <f t="shared" ref="G37:G57" si="76">J3</f>
        <v>25.5</v>
      </c>
      <c r="H37" s="49">
        <f t="shared" ref="H37:H57" si="77">K3</f>
        <v>14.95</v>
      </c>
      <c r="I37" s="49">
        <f t="shared" ref="I37:I57" si="78">L3</f>
        <v>8.9499999999999993</v>
      </c>
      <c r="J37" s="49">
        <f t="shared" ref="J37:J57" si="79">M3</f>
        <v>0.95</v>
      </c>
      <c r="K37" s="49">
        <f t="shared" ref="K37:K57" si="80">N3</f>
        <v>0</v>
      </c>
      <c r="L37" s="49">
        <f t="shared" ref="L37:L57" si="81">O3</f>
        <v>0</v>
      </c>
      <c r="M37" s="49">
        <f t="shared" ref="M37:M57" si="82">P3</f>
        <v>0</v>
      </c>
      <c r="N37" s="49">
        <f t="shared" ref="N37:N57" si="83">Q3</f>
        <v>17.95</v>
      </c>
      <c r="O37" s="154">
        <f t="shared" ref="O37:O57" si="84">((2*(L37+1))+(I37+1))/8</f>
        <v>1.4937499999999999</v>
      </c>
      <c r="P37" s="154">
        <f t="shared" ref="P37:P57" ca="1" si="85">1.66*(M37+(LOG(G37)*4/3)+F37)+0.55*(N37+(LOG(G37)*4/3)+F37)-7.6</f>
        <v>8.6271050650120547</v>
      </c>
      <c r="Q37" s="154">
        <f t="shared" ref="Q37:Q57" si="86">(0.5*M37+0.3*N37)/10</f>
        <v>0.53849999999999998</v>
      </c>
      <c r="R37" s="154">
        <f t="shared" ref="R37:R57" si="87">(0.4*I37+0.3*N37)/10</f>
        <v>0.89649999999999996</v>
      </c>
      <c r="S37" s="154">
        <f t="shared" ref="S37:S57" ca="1" si="88">IF(TODAY()-E37&gt;335,(N37+1+(LOG(G37)*4/3)),(N37+((TODAY()-E37)^0.5)/(336^0.5)+(LOG(G37)*4/3)))</f>
        <v>20.825386907245274</v>
      </c>
      <c r="T37" s="72">
        <f t="shared" ref="T37:T57" ca="1" si="89">((H37+F37+(LOG(G37)*4/3))*0.597)+((I37+F37+(LOG(G37)*4/3))*0.276)</f>
        <v>13.905562770025124</v>
      </c>
      <c r="U37" s="72">
        <f t="shared" ref="U37:U57" ca="1" si="90">((H37+F37+(LOG(G37)*4/3))*0.866)+((I37+F37+(LOG(G37)*4/3))*0.425)</f>
        <v>20.462574497253648</v>
      </c>
      <c r="V37" s="72">
        <f t="shared" ref="V37:V57" ca="1" si="91">T37</f>
        <v>13.905562770025124</v>
      </c>
      <c r="W37" s="72">
        <f t="shared" ref="W37:W57" ca="1" si="92">((I37+F37+(LOG(G37)*4/3))*0.516)</f>
        <v>6.1018996441385607</v>
      </c>
      <c r="X37" s="72">
        <f t="shared" ref="X37:X57" ca="1" si="93">(I37+F37+(LOG(G37)*4/3))*1</f>
        <v>11.825386907245273</v>
      </c>
      <c r="Y37" s="72">
        <f t="shared" ref="Y37:Y57" ca="1" si="94">W37/2</f>
        <v>3.0509498220692803</v>
      </c>
      <c r="Z37" s="72">
        <f t="shared" ref="Z37:Z57" ca="1" si="95">(J37+F37+(LOG(G37)*4/3))*0.238</f>
        <v>0.91044208392437509</v>
      </c>
      <c r="AA37" s="72">
        <f t="shared" ref="AA37:AA57" ca="1" si="96">((I37+F37+(LOG(G37)*4/3))*0.378)</f>
        <v>4.4699962509387134</v>
      </c>
      <c r="AB37" s="72">
        <f t="shared" ref="AB37:AB57" ca="1" si="97">(I37+F37+(LOG(G37)*4/3))*0.723</f>
        <v>8.5497547339383324</v>
      </c>
      <c r="AC37" s="72">
        <f t="shared" ref="AC37:AC57" ca="1" si="98">AA37/2</f>
        <v>2.2349981254693567</v>
      </c>
      <c r="AD37" s="72">
        <f t="shared" ref="AD37:AD57" ca="1" si="99">(J37+F37+(LOG(G37)*4/3))*0.385</f>
        <v>1.4727739592894304</v>
      </c>
      <c r="AE37" s="245">
        <f t="shared" ref="AE37:AE57" ca="1" si="100">((I37+F37+(LOG(G37)*4/3))*0.92)</f>
        <v>10.879355954665652</v>
      </c>
      <c r="AF37" s="72">
        <f t="shared" ref="AF37:AF57" ca="1" si="101">(I37+F37+(LOG(G37)*4/3))*0.414</f>
        <v>4.8957101795995426</v>
      </c>
      <c r="AG37" s="72">
        <f t="shared" ref="AG37:AG57" ca="1" si="102">((J37+F37+(LOG(G37)*4/3))*0.167)</f>
        <v>0.63883961350996077</v>
      </c>
      <c r="AH37" s="245">
        <f t="shared" ref="AH37:AH57" ca="1" si="103">(K37+F37+(LOG(G37)*4/3))*0.588</f>
        <v>1.6907275014602205</v>
      </c>
      <c r="AI37" s="72">
        <f t="shared" ref="AI37:AI57" ca="1" si="104">((I37+F37+(LOG(G37)*4/3))*0.754)</f>
        <v>8.9163417280629353</v>
      </c>
      <c r="AJ37" s="72">
        <f t="shared" ref="AJ37:AJ57" ca="1" si="105">((I37+F37+(LOG(G37)*4/3))*0.708)</f>
        <v>8.3723739303296529</v>
      </c>
      <c r="AK37" s="72">
        <f t="shared" ref="AK37:AK57" ca="1" si="106">((N37+F37+(LOG(G37)*4/3))*0.167)</f>
        <v>3.477839613509961</v>
      </c>
      <c r="AL37" s="72">
        <f t="shared" ref="AL37:AL57" ca="1" si="107">((O37+F37+(LOG(G37)*4/3))*0.288)</f>
        <v>1.2583114292866386</v>
      </c>
      <c r="AM37" s="72">
        <f t="shared" ref="AM37:AM57" ca="1" si="108">((I37+F37+(LOG(G37)*4/3))*0.27)</f>
        <v>3.1928544649562238</v>
      </c>
      <c r="AN37" s="72">
        <f t="shared" ref="AN37:AN57" ca="1" si="109">((I37+F37+(LOG(G37)*4/3))*0.594)</f>
        <v>7.0242798229036918</v>
      </c>
      <c r="AO37" s="72">
        <f t="shared" ref="AO37:AO57" ca="1" si="110">AM37/2</f>
        <v>1.5964272324781119</v>
      </c>
      <c r="AP37" s="72">
        <f t="shared" ref="AP37:AP57" ca="1" si="111">((J37+F37+(LOG(G37)*4/3))*0.944)</f>
        <v>3.6111652404395382</v>
      </c>
      <c r="AQ37" s="72">
        <f t="shared" ref="AQ37:AQ57" ca="1" si="112">((L37+F37+(LOG(G37)*4/3))*0.13)</f>
        <v>0.37380029794188557</v>
      </c>
      <c r="AR37" s="72">
        <f t="shared" ref="AR37:AR57" ca="1" si="113">((M37+F37+(LOG(G37)*4/3))*0.173)+((L37+F37+(LOG(G37)*4/3))*0.12)</f>
        <v>0.84248836382286507</v>
      </c>
      <c r="AS37" s="72">
        <f t="shared" ref="AS37:AS57" ca="1" si="114">AQ37/2</f>
        <v>0.18690014897094279</v>
      </c>
      <c r="AT37" s="72">
        <f t="shared" ref="AT37:AT57" ca="1" si="115">((I37+F37+(LOG(G37)*4/3))*0.189)</f>
        <v>2.2349981254693567</v>
      </c>
      <c r="AU37" s="72">
        <f t="shared" ref="AU37:AU57" ca="1" si="116">((I37+F37+(LOG(G37)*4/3))*0.4)</f>
        <v>4.7301547628981089</v>
      </c>
      <c r="AV37" s="72">
        <f t="shared" ref="AV37:AV57" ca="1" si="117">AT37/2</f>
        <v>1.1174990627346784</v>
      </c>
      <c r="AW37" s="72">
        <f t="shared" ref="AW37:AW57" ca="1" si="118">((J37+F37+(LOG(G37)*4/3))*1)</f>
        <v>3.8253869072452735</v>
      </c>
      <c r="AX37" s="72">
        <f t="shared" ref="AX37:AX57" ca="1" si="119">((L37+F37+(LOG(G37)*4/3))*0.253)</f>
        <v>0.72747288753305417</v>
      </c>
      <c r="AY37" s="72">
        <f t="shared" ref="AY37:AY57" ca="1" si="120">((M37+F37+(LOG(G37)*4/3))*0.21)+((L37+F37+(LOG(G37)*4/3))*0.341)</f>
        <v>1.5843381858921457</v>
      </c>
      <c r="AZ37" s="72">
        <f t="shared" ref="AZ37:AZ57" ca="1" si="121">AX37/2</f>
        <v>0.36373644376652708</v>
      </c>
      <c r="BA37" s="72">
        <f t="shared" ref="BA37:BA57" ca="1" si="122">((I37+F37+(LOG(G37)*4/3))*0.291)</f>
        <v>3.4411875900083739</v>
      </c>
      <c r="BB37" s="72">
        <f t="shared" ref="BB37:BB57" ca="1" si="123">((I37+F37+(LOG(G37)*4/3))*0.348)</f>
        <v>4.1152346437213545</v>
      </c>
      <c r="BC37" s="72">
        <f t="shared" ref="BC37:BC57" ca="1" si="124">((J37+F37+(LOG(G37)*4/3))*0.881)</f>
        <v>3.3701658652830861</v>
      </c>
      <c r="BD37" s="72">
        <f t="shared" ref="BD37:BD57" ca="1" si="125">((K37+F37+(LOG(G37)*4/3))*0.574)+((L37+F37+(LOG(G37)*4/3))*0.315)</f>
        <v>2.5562189605410479</v>
      </c>
      <c r="BE37" s="72">
        <f t="shared" ref="BE37:BE57" ca="1" si="126">((L37+F37+(LOG(G37)*4/3))*0.241)</f>
        <v>0.69296824464611084</v>
      </c>
      <c r="BF37" s="72">
        <f t="shared" ref="BF37:BF57" ca="1" si="127">((I37+F37+(LOG(G37)*4/3))*0.485)</f>
        <v>5.7353126500139568</v>
      </c>
      <c r="BG37" s="72">
        <f t="shared" ref="BG37:BG57" ca="1" si="128">((I37+F37+(LOG(G37)*4/3))*0.264)</f>
        <v>3.1219021435127523</v>
      </c>
      <c r="BH37" s="72">
        <f t="shared" ref="BH37:BH57" ca="1" si="129">((J37+F37+(LOG(G37)*4/3))*0.381)</f>
        <v>1.4574724116604492</v>
      </c>
      <c r="BI37" s="72">
        <f t="shared" ref="BI37:BI57" ca="1" si="130">((K37+F37+(LOG(G37)*4/3))*0.673)+((L37+F37+(LOG(G37)*4/3))*0.201)</f>
        <v>2.5130881569323691</v>
      </c>
      <c r="BJ37" s="72">
        <f t="shared" ref="BJ37:BJ57" ca="1" si="131">((L37+F37+(LOG(G37)*4/3))*0.052)</f>
        <v>0.1495201191767542</v>
      </c>
      <c r="BK37" s="72">
        <f t="shared" ref="BK37:BK57" ca="1" si="132">((I37+F37+(LOG(G37)*4/3))*0.18)</f>
        <v>2.1285696433041492</v>
      </c>
      <c r="BL37" s="72">
        <f t="shared" ref="BL37:BL57" ca="1" si="133">(I37+F37+(LOG(G37)*4/3))*0.068</f>
        <v>0.80412630969267862</v>
      </c>
      <c r="BM37" s="72">
        <f t="shared" ref="BM37:BM57" ca="1" si="134">((J37+F37+(LOG(G37)*4/3))*0.305)</f>
        <v>1.1667430067098084</v>
      </c>
      <c r="BN37" s="72">
        <f t="shared" ref="BN37:BN57" ca="1" si="135">((K37+F37+(LOG(G37)*4/3))*1)+((L37+F37+(LOG(G37)*4/3))*0.286)</f>
        <v>3.6977475627174217</v>
      </c>
      <c r="BO37" s="72">
        <f t="shared" ref="BO37:BO57" ca="1" si="136">((L37+F37+(LOG(G37)*4/3))*0.135)</f>
        <v>0.38817723247811192</v>
      </c>
      <c r="BP37" s="72">
        <f t="shared" ref="BP37:BP57" ca="1" si="137">((I37+F37+(LOG(G37)*4/3))*0.284)</f>
        <v>3.3584098816576571</v>
      </c>
      <c r="BQ37" s="72">
        <f t="shared" ref="BQ37:BQ57" ca="1" si="138">(I37+F37+(LOG(G37)*4/3))*0.244</f>
        <v>2.8853944053678466</v>
      </c>
      <c r="BR37" s="72">
        <f t="shared" ref="BR37:BR57" ca="1" si="139">((J37+F37+(LOG(G37)*4/3))*0.455)</f>
        <v>1.7405510427965996</v>
      </c>
      <c r="BS37" s="72">
        <f t="shared" ref="BS37:BS57" ca="1" si="140">((K37+F37+(LOG(G37)*4/3))*0.864)+((L37+F37+(LOG(G37)*4/3))*0.244)</f>
        <v>3.1859286932277628</v>
      </c>
      <c r="BT37" s="72">
        <f t="shared" ref="BT37:BT57" ca="1" si="141">((L37+F37+(LOG(G37)*4/3))*0.121)</f>
        <v>0.34792181577667808</v>
      </c>
      <c r="BU37" s="72">
        <f t="shared" ref="BU37:BU57" ca="1" si="142">((I37+F37+(LOG(G37)*4/3))*0.284)</f>
        <v>3.3584098816576571</v>
      </c>
      <c r="BV37" s="72">
        <f t="shared" ref="BV37:BV57" ca="1" si="143">((I37+F37+(LOG(G37)*4/3))*0.244)</f>
        <v>2.8853944053678466</v>
      </c>
      <c r="BW37" s="72">
        <f t="shared" ref="BW37:BW57" ca="1" si="144">((J37+F37+(LOG(G37)*4/3))*0.631)</f>
        <v>2.4138191384717675</v>
      </c>
      <c r="BX37" s="72">
        <f t="shared" ref="BX37:BX57" ca="1" si="145">((K37+F37+(LOG(G37)*4/3))*0.702)+((L37+F37+(LOG(G37)*4/3))*0.193)</f>
        <v>2.5734712819845194</v>
      </c>
      <c r="BY37" s="72">
        <f t="shared" ref="BY37:BY57" ca="1" si="146">((L37+F37+(LOG(G37)*4/3))*0.148)</f>
        <v>0.42555726227230045</v>
      </c>
      <c r="BZ37" s="72">
        <f t="shared" ref="BZ37:BZ57" ca="1" si="147">((J37+F37+(LOG(G37)*4/3))*0.406)</f>
        <v>1.5531070843415811</v>
      </c>
      <c r="CA37" s="72">
        <f t="shared" ref="CA37:CA57" ca="1" si="148">IF(D37="TEC",((K37+F37+(LOG(G37)*4/3))*0.15)+((L37+F37+(LOG(G37)*4/3))*0.324)+((M37+F37+(LOG(G37)*4/3))*0.127),(((K37+F37+(LOG(G37)*4/3))*0.144)+((L37+F37+(LOG(G37)*4/3))*0.25)+((M37+F37+(LOG(G37)*4/3))*0.127)))</f>
        <v>1.4980765786747874</v>
      </c>
      <c r="CB37" s="72">
        <f t="shared" ref="CB37:CB57" ca="1" si="149">((L37+F37+(LOG(G37)*4/3))*0.543)+((M37+F37+(LOG(G37)*4/3))*0.583)</f>
        <v>3.2376856575581776</v>
      </c>
      <c r="CC37" s="72">
        <f t="shared" ref="CC37:CC57" ca="1" si="150">CA37</f>
        <v>1.4980765786747874</v>
      </c>
      <c r="CD37" s="72">
        <f t="shared" ref="CD37:CD57" ca="1" si="151">((M37+1+(LOG(G37)*4/3))*0.26)+((K37+F37+(LOG(G37)*4/3))*0.221)+((L37+F37+(LOG(G37)*4/3))*0.142)</f>
        <v>1.7913660432138054</v>
      </c>
      <c r="CE37" s="72">
        <f t="shared" ref="CE37:CE57" ca="1" si="152">((M37+F37+(LOG(G37)*4/3))*1)+((L37+F37+(LOG(G37)*4/3))*0.369)</f>
        <v>3.9364046760187792</v>
      </c>
      <c r="CF37" s="72">
        <f t="shared" ref="CF37:CF57" ca="1" si="153">CD37</f>
        <v>1.7913660432138054</v>
      </c>
      <c r="CG37" s="72">
        <f t="shared" ref="CG37:CG57" ca="1" si="154">((J37+F37+(LOG(G37)*4/3))*0.25)</f>
        <v>0.95634672681131838</v>
      </c>
    </row>
    <row r="38" spans="1:85" x14ac:dyDescent="0.25">
      <c r="A38" t="str">
        <f t="shared" si="74"/>
        <v>林 (Lin) 光维 (Guangwei)</v>
      </c>
      <c r="B38">
        <f t="shared" si="74"/>
        <v>22</v>
      </c>
      <c r="C38" s="50">
        <f t="shared" ca="1" si="74"/>
        <v>104</v>
      </c>
      <c r="D38" t="str">
        <f t="shared" si="74"/>
        <v>IMP</v>
      </c>
      <c r="E38" s="207">
        <f t="shared" si="74"/>
        <v>43878</v>
      </c>
      <c r="F38" s="153">
        <f t="shared" ca="1" si="75"/>
        <v>0.62446977532493753</v>
      </c>
      <c r="G38" s="154">
        <f t="shared" si="76"/>
        <v>3.5</v>
      </c>
      <c r="H38" s="49">
        <f t="shared" si="77"/>
        <v>15</v>
      </c>
      <c r="I38" s="49">
        <f t="shared" si="78"/>
        <v>5</v>
      </c>
      <c r="J38" s="49">
        <f t="shared" si="79"/>
        <v>2</v>
      </c>
      <c r="K38" s="49">
        <f t="shared" si="80"/>
        <v>1</v>
      </c>
      <c r="L38" s="49">
        <f t="shared" si="81"/>
        <v>5</v>
      </c>
      <c r="M38" s="49">
        <f t="shared" si="82"/>
        <v>3</v>
      </c>
      <c r="N38" s="49">
        <f t="shared" si="83"/>
        <v>19.25</v>
      </c>
      <c r="O38" s="154">
        <f t="shared" si="84"/>
        <v>2.25</v>
      </c>
      <c r="P38" s="154">
        <f t="shared" ca="1" si="85"/>
        <v>10.950765374153592</v>
      </c>
      <c r="Q38" s="154">
        <f t="shared" si="86"/>
        <v>0.72749999999999992</v>
      </c>
      <c r="R38" s="154">
        <f t="shared" si="87"/>
        <v>0.77749999999999997</v>
      </c>
      <c r="S38" s="154">
        <f t="shared" ca="1" si="88"/>
        <v>20.667642714376875</v>
      </c>
      <c r="T38" s="72">
        <f t="shared" ca="1" si="89"/>
        <v>11.513457317482393</v>
      </c>
      <c r="U38" s="72">
        <f t="shared" ca="1" si="90"/>
        <v>16.857712940286106</v>
      </c>
      <c r="V38" s="72">
        <f t="shared" ca="1" si="91"/>
        <v>11.513457317482393</v>
      </c>
      <c r="W38" s="72">
        <f t="shared" ca="1" si="92"/>
        <v>3.2765452185806576</v>
      </c>
      <c r="X38" s="72">
        <f t="shared" ca="1" si="93"/>
        <v>6.3498938344586389</v>
      </c>
      <c r="Y38" s="72">
        <f t="shared" ca="1" si="94"/>
        <v>1.6382726092903288</v>
      </c>
      <c r="Z38" s="72">
        <f t="shared" ca="1" si="95"/>
        <v>0.79727473260115589</v>
      </c>
      <c r="AA38" s="72">
        <f t="shared" ca="1" si="96"/>
        <v>2.4002598694253656</v>
      </c>
      <c r="AB38" s="72">
        <f t="shared" ca="1" si="97"/>
        <v>4.5909732423135958</v>
      </c>
      <c r="AC38" s="72">
        <f t="shared" ca="1" si="98"/>
        <v>1.2001299347126828</v>
      </c>
      <c r="AD38" s="72">
        <f t="shared" ca="1" si="99"/>
        <v>1.2897091262665759</v>
      </c>
      <c r="AE38" s="245">
        <f t="shared" ca="1" si="100"/>
        <v>5.8419023277019484</v>
      </c>
      <c r="AF38" s="72">
        <f t="shared" ca="1" si="101"/>
        <v>2.6288560474658764</v>
      </c>
      <c r="AG38" s="72">
        <f t="shared" ca="1" si="102"/>
        <v>0.55943227035459264</v>
      </c>
      <c r="AH38" s="245">
        <f t="shared" ca="1" si="103"/>
        <v>1.3817375746616793</v>
      </c>
      <c r="AI38" s="72">
        <f t="shared" ca="1" si="104"/>
        <v>4.787819951181814</v>
      </c>
      <c r="AJ38" s="72">
        <f t="shared" ca="1" si="105"/>
        <v>4.4957248347967163</v>
      </c>
      <c r="AK38" s="72">
        <f t="shared" ca="1" si="106"/>
        <v>3.4401822703545926</v>
      </c>
      <c r="AL38" s="72">
        <f t="shared" ca="1" si="107"/>
        <v>1.0367694243240877</v>
      </c>
      <c r="AM38" s="72">
        <f t="shared" ca="1" si="108"/>
        <v>1.7144713353038326</v>
      </c>
      <c r="AN38" s="72">
        <f t="shared" ca="1" si="109"/>
        <v>3.7718369376684313</v>
      </c>
      <c r="AO38" s="72">
        <f t="shared" ca="1" si="110"/>
        <v>0.85723566765191628</v>
      </c>
      <c r="AP38" s="72">
        <f t="shared" ca="1" si="111"/>
        <v>3.1622997797289547</v>
      </c>
      <c r="AQ38" s="72">
        <f t="shared" ca="1" si="112"/>
        <v>0.82548619847962312</v>
      </c>
      <c r="AR38" s="72">
        <f t="shared" ca="1" si="113"/>
        <v>1.5145188934963811</v>
      </c>
      <c r="AS38" s="72">
        <f t="shared" ca="1" si="114"/>
        <v>0.41274309923981156</v>
      </c>
      <c r="AT38" s="72">
        <f t="shared" ca="1" si="115"/>
        <v>1.2001299347126828</v>
      </c>
      <c r="AU38" s="72">
        <f t="shared" ca="1" si="116"/>
        <v>2.5399575337834559</v>
      </c>
      <c r="AV38" s="72">
        <f t="shared" ca="1" si="117"/>
        <v>0.60006496735634141</v>
      </c>
      <c r="AW38" s="72">
        <f t="shared" ca="1" si="118"/>
        <v>3.3498938344586384</v>
      </c>
      <c r="AX38" s="72">
        <f t="shared" ca="1" si="119"/>
        <v>1.6065231401180355</v>
      </c>
      <c r="AY38" s="72">
        <f t="shared" ca="1" si="120"/>
        <v>3.0787915027867103</v>
      </c>
      <c r="AZ38" s="72">
        <f t="shared" ca="1" si="121"/>
        <v>0.80326157005901777</v>
      </c>
      <c r="BA38" s="72">
        <f t="shared" ca="1" si="122"/>
        <v>1.8478191058274638</v>
      </c>
      <c r="BB38" s="72">
        <f t="shared" ca="1" si="123"/>
        <v>2.209763054391606</v>
      </c>
      <c r="BC38" s="72">
        <f t="shared" ca="1" si="124"/>
        <v>2.9512564681580606</v>
      </c>
      <c r="BD38" s="72">
        <f t="shared" ca="1" si="125"/>
        <v>3.3490556188337295</v>
      </c>
      <c r="BE38" s="72">
        <f t="shared" ca="1" si="126"/>
        <v>1.530324414104532</v>
      </c>
      <c r="BF38" s="72">
        <f t="shared" ca="1" si="127"/>
        <v>3.0796985097124399</v>
      </c>
      <c r="BG38" s="72">
        <f t="shared" ca="1" si="128"/>
        <v>1.6763719722970807</v>
      </c>
      <c r="BH38" s="72">
        <f t="shared" ca="1" si="129"/>
        <v>1.2763095509287412</v>
      </c>
      <c r="BI38" s="72">
        <f t="shared" ca="1" si="130"/>
        <v>2.8578072113168504</v>
      </c>
      <c r="BJ38" s="72">
        <f t="shared" ca="1" si="131"/>
        <v>0.3301944793918492</v>
      </c>
      <c r="BK38" s="72">
        <f t="shared" ca="1" si="132"/>
        <v>1.1429808902025549</v>
      </c>
      <c r="BL38" s="72">
        <f t="shared" ca="1" si="133"/>
        <v>0.4317927807431875</v>
      </c>
      <c r="BM38" s="72">
        <f t="shared" ca="1" si="134"/>
        <v>1.0217176195098847</v>
      </c>
      <c r="BN38" s="72">
        <f t="shared" ca="1" si="135"/>
        <v>4.1659634711138089</v>
      </c>
      <c r="BO38" s="72">
        <f t="shared" ca="1" si="136"/>
        <v>0.85723566765191628</v>
      </c>
      <c r="BP38" s="72">
        <f t="shared" ca="1" si="137"/>
        <v>1.8033698489862533</v>
      </c>
      <c r="BQ38" s="72">
        <f t="shared" ca="1" si="138"/>
        <v>1.5493740956079078</v>
      </c>
      <c r="BR38" s="72">
        <f t="shared" ca="1" si="139"/>
        <v>1.5242016946786805</v>
      </c>
      <c r="BS38" s="72">
        <f t="shared" ca="1" si="140"/>
        <v>3.5796823685801717</v>
      </c>
      <c r="BT38" s="72">
        <f t="shared" ca="1" si="141"/>
        <v>0.76833715396949531</v>
      </c>
      <c r="BU38" s="72">
        <f t="shared" ca="1" si="142"/>
        <v>1.8033698489862533</v>
      </c>
      <c r="BV38" s="72">
        <f t="shared" ca="1" si="143"/>
        <v>1.5493740956079078</v>
      </c>
      <c r="BW38" s="72">
        <f t="shared" ca="1" si="144"/>
        <v>2.1137830095434009</v>
      </c>
      <c r="BX38" s="72">
        <f t="shared" ca="1" si="145"/>
        <v>2.8751549818404811</v>
      </c>
      <c r="BY38" s="72">
        <f t="shared" ca="1" si="146"/>
        <v>0.93978428749987852</v>
      </c>
      <c r="BZ38" s="72">
        <f t="shared" ca="1" si="147"/>
        <v>1.3600568967902074</v>
      </c>
      <c r="CA38" s="72">
        <f t="shared" ca="1" si="148"/>
        <v>2.478294687752951</v>
      </c>
      <c r="CB38" s="72">
        <f t="shared" ca="1" si="149"/>
        <v>5.9839804576004276</v>
      </c>
      <c r="CC38" s="72">
        <f t="shared" ca="1" si="150"/>
        <v>2.478294687752951</v>
      </c>
      <c r="CD38" s="72">
        <f t="shared" ca="1" si="151"/>
        <v>2.6496217172832477</v>
      </c>
      <c r="CE38" s="72">
        <f t="shared" ca="1" si="152"/>
        <v>6.6930046593738766</v>
      </c>
      <c r="CF38" s="72">
        <f t="shared" ca="1" si="153"/>
        <v>2.6496217172832477</v>
      </c>
      <c r="CG38" s="72">
        <f t="shared" ca="1" si="154"/>
        <v>0.8374734586146596</v>
      </c>
    </row>
    <row r="39" spans="1:85" x14ac:dyDescent="0.25">
      <c r="A39" t="str">
        <f t="shared" si="74"/>
        <v>E. Toney</v>
      </c>
      <c r="B39">
        <f t="shared" si="74"/>
        <v>39</v>
      </c>
      <c r="C39" s="50">
        <f t="shared" ca="1" si="74"/>
        <v>76</v>
      </c>
      <c r="D39">
        <f t="shared" si="74"/>
        <v>0</v>
      </c>
      <c r="E39" s="207" t="str">
        <f t="shared" si="74"/>
        <v>Cantera</v>
      </c>
      <c r="F39" s="153">
        <f t="shared" si="75"/>
        <v>1.5</v>
      </c>
      <c r="G39" s="154">
        <f t="shared" si="76"/>
        <v>19.100000000000001</v>
      </c>
      <c r="H39" s="49">
        <f t="shared" si="77"/>
        <v>0</v>
      </c>
      <c r="I39" s="49">
        <f t="shared" si="78"/>
        <v>8.9499999999999975</v>
      </c>
      <c r="J39" s="49">
        <f t="shared" si="79"/>
        <v>7.95</v>
      </c>
      <c r="K39" s="49">
        <f t="shared" si="80"/>
        <v>4.95</v>
      </c>
      <c r="L39" s="49">
        <f t="shared" si="81"/>
        <v>3.95</v>
      </c>
      <c r="M39" s="49">
        <f t="shared" si="82"/>
        <v>0</v>
      </c>
      <c r="N39" s="49">
        <f t="shared" si="83"/>
        <v>15</v>
      </c>
      <c r="O39" s="154">
        <f t="shared" si="84"/>
        <v>2.4812499999999997</v>
      </c>
      <c r="P39" s="154">
        <f t="shared" si="85"/>
        <v>7.7397783221566367</v>
      </c>
      <c r="Q39" s="154">
        <f t="shared" si="86"/>
        <v>0.45</v>
      </c>
      <c r="R39" s="154">
        <f t="shared" si="87"/>
        <v>0.80799999999999983</v>
      </c>
      <c r="S39" s="154" t="e">
        <f t="shared" ca="1" si="88"/>
        <v>#VALUE!</v>
      </c>
      <c r="T39" s="72">
        <f t="shared" si="89"/>
        <v>5.2708228394763541</v>
      </c>
      <c r="U39" s="72">
        <f t="shared" si="90"/>
        <v>7.9453354361557542</v>
      </c>
      <c r="V39" s="72">
        <f t="shared" si="91"/>
        <v>5.2708228394763541</v>
      </c>
      <c r="W39" s="72">
        <f t="shared" si="92"/>
        <v>6.2735509566664351</v>
      </c>
      <c r="X39" s="72">
        <f t="shared" si="93"/>
        <v>12.158044489663634</v>
      </c>
      <c r="Y39" s="72">
        <f t="shared" si="94"/>
        <v>3.1367754783332176</v>
      </c>
      <c r="Z39" s="72">
        <f t="shared" si="95"/>
        <v>2.6556145885399451</v>
      </c>
      <c r="AA39" s="72">
        <f t="shared" si="96"/>
        <v>4.595740817092854</v>
      </c>
      <c r="AB39" s="72">
        <f t="shared" si="97"/>
        <v>8.7902661660268073</v>
      </c>
      <c r="AC39" s="72">
        <f t="shared" si="98"/>
        <v>2.297870408546427</v>
      </c>
      <c r="AD39" s="72">
        <f t="shared" si="99"/>
        <v>4.2958471285205002</v>
      </c>
      <c r="AE39" s="245">
        <f t="shared" si="100"/>
        <v>11.185400930490545</v>
      </c>
      <c r="AF39" s="72">
        <f t="shared" si="101"/>
        <v>5.0334304187207444</v>
      </c>
      <c r="AG39" s="72">
        <f t="shared" si="102"/>
        <v>1.8633934297738273</v>
      </c>
      <c r="AH39" s="245">
        <f t="shared" si="103"/>
        <v>4.7969301599222192</v>
      </c>
      <c r="AI39" s="72">
        <f t="shared" si="104"/>
        <v>9.1671655452063803</v>
      </c>
      <c r="AJ39" s="72">
        <f t="shared" si="105"/>
        <v>8.6078954986818523</v>
      </c>
      <c r="AK39" s="72">
        <f t="shared" si="106"/>
        <v>3.0407434297738272</v>
      </c>
      <c r="AL39" s="72">
        <f t="shared" si="107"/>
        <v>1.6385168130231271</v>
      </c>
      <c r="AM39" s="72">
        <f t="shared" si="108"/>
        <v>3.2826720122091815</v>
      </c>
      <c r="AN39" s="72">
        <f t="shared" si="109"/>
        <v>7.2218784268601981</v>
      </c>
      <c r="AO39" s="72">
        <f t="shared" si="110"/>
        <v>1.6413360061045907</v>
      </c>
      <c r="AP39" s="72">
        <f t="shared" si="111"/>
        <v>10.533193998242472</v>
      </c>
      <c r="AQ39" s="72">
        <f t="shared" si="112"/>
        <v>0.93054578365627283</v>
      </c>
      <c r="AR39" s="72">
        <f t="shared" si="113"/>
        <v>1.4139570354714457</v>
      </c>
      <c r="AS39" s="72">
        <f t="shared" si="114"/>
        <v>0.46527289182813641</v>
      </c>
      <c r="AT39" s="72">
        <f t="shared" si="115"/>
        <v>2.297870408546427</v>
      </c>
      <c r="AU39" s="72">
        <f t="shared" si="116"/>
        <v>4.8632177958654541</v>
      </c>
      <c r="AV39" s="72">
        <f t="shared" si="117"/>
        <v>1.1489352042732135</v>
      </c>
      <c r="AW39" s="72">
        <f t="shared" si="118"/>
        <v>11.158044489663636</v>
      </c>
      <c r="AX39" s="72">
        <f t="shared" si="119"/>
        <v>1.8109852558849002</v>
      </c>
      <c r="AY39" s="72">
        <f t="shared" si="120"/>
        <v>3.1145825138046641</v>
      </c>
      <c r="AZ39" s="72">
        <f t="shared" si="121"/>
        <v>0.90549262794245011</v>
      </c>
      <c r="BA39" s="72">
        <f t="shared" si="122"/>
        <v>3.5379909464921173</v>
      </c>
      <c r="BB39" s="72">
        <f t="shared" si="123"/>
        <v>4.2309994824029449</v>
      </c>
      <c r="BC39" s="72">
        <f t="shared" si="124"/>
        <v>9.8302371953936643</v>
      </c>
      <c r="BD39" s="72">
        <f t="shared" si="125"/>
        <v>6.9375015513109739</v>
      </c>
      <c r="BE39" s="72">
        <f t="shared" si="126"/>
        <v>1.7250887220089364</v>
      </c>
      <c r="BF39" s="72">
        <f t="shared" si="127"/>
        <v>5.8966515774868622</v>
      </c>
      <c r="BG39" s="72">
        <f t="shared" si="128"/>
        <v>3.2097237452711997</v>
      </c>
      <c r="BH39" s="72">
        <f t="shared" si="129"/>
        <v>4.2512149505618453</v>
      </c>
      <c r="BI39" s="72">
        <f t="shared" si="130"/>
        <v>6.9291308839660193</v>
      </c>
      <c r="BJ39" s="72">
        <f t="shared" si="131"/>
        <v>0.37221831346250911</v>
      </c>
      <c r="BK39" s="72">
        <f t="shared" si="132"/>
        <v>2.1884480081394542</v>
      </c>
      <c r="BL39" s="72">
        <f t="shared" si="133"/>
        <v>0.82674702529712718</v>
      </c>
      <c r="BM39" s="72">
        <f t="shared" si="134"/>
        <v>3.4032035693474088</v>
      </c>
      <c r="BN39" s="72">
        <f t="shared" si="135"/>
        <v>10.205245213707439</v>
      </c>
      <c r="BO39" s="72">
        <f t="shared" si="136"/>
        <v>0.96633600610459103</v>
      </c>
      <c r="BP39" s="72">
        <f t="shared" si="137"/>
        <v>3.4528846350644717</v>
      </c>
      <c r="BQ39" s="72">
        <f t="shared" si="138"/>
        <v>2.9665628554779269</v>
      </c>
      <c r="BR39" s="72">
        <f t="shared" si="139"/>
        <v>5.0769102427969548</v>
      </c>
      <c r="BS39" s="72">
        <f t="shared" si="140"/>
        <v>8.7951132945473098</v>
      </c>
      <c r="BT39" s="72">
        <f t="shared" si="141"/>
        <v>0.86612338324930005</v>
      </c>
      <c r="BU39" s="72">
        <f t="shared" si="142"/>
        <v>3.4528846350644717</v>
      </c>
      <c r="BV39" s="72">
        <f t="shared" si="143"/>
        <v>2.9665628554779269</v>
      </c>
      <c r="BW39" s="72">
        <f t="shared" si="144"/>
        <v>7.0407260729777548</v>
      </c>
      <c r="BX39" s="72">
        <f t="shared" si="145"/>
        <v>7.1084498182489559</v>
      </c>
      <c r="BY39" s="72">
        <f t="shared" si="146"/>
        <v>1.0593905844702183</v>
      </c>
      <c r="BZ39" s="72">
        <f t="shared" si="147"/>
        <v>4.5301660628034366</v>
      </c>
      <c r="CA39" s="72">
        <f t="shared" si="148"/>
        <v>3.3716911791147552</v>
      </c>
      <c r="CB39" s="72">
        <f t="shared" si="149"/>
        <v>5.7571080953612555</v>
      </c>
      <c r="CC39" s="72">
        <f t="shared" si="150"/>
        <v>3.3716911791147552</v>
      </c>
      <c r="CD39" s="72">
        <f t="shared" si="151"/>
        <v>3.5234617170604459</v>
      </c>
      <c r="CE39" s="72">
        <f t="shared" si="152"/>
        <v>5.8493629063495192</v>
      </c>
      <c r="CF39" s="72">
        <f t="shared" si="153"/>
        <v>3.5234617170604459</v>
      </c>
      <c r="CG39" s="72">
        <f t="shared" si="154"/>
        <v>2.789511122415909</v>
      </c>
    </row>
    <row r="40" spans="1:85" x14ac:dyDescent="0.25">
      <c r="A40" t="str">
        <f t="shared" si="74"/>
        <v>F. Lasprilla</v>
      </c>
      <c r="B40">
        <f t="shared" si="74"/>
        <v>35</v>
      </c>
      <c r="C40" s="50">
        <f t="shared" ca="1" si="74"/>
        <v>84</v>
      </c>
      <c r="D40">
        <f t="shared" si="74"/>
        <v>0</v>
      </c>
      <c r="E40" s="207" t="str">
        <f t="shared" si="74"/>
        <v>Cantera</v>
      </c>
      <c r="F40" s="153">
        <f t="shared" si="75"/>
        <v>1.5</v>
      </c>
      <c r="G40" s="154">
        <f t="shared" si="76"/>
        <v>7.1</v>
      </c>
      <c r="H40" s="49">
        <f t="shared" si="77"/>
        <v>0</v>
      </c>
      <c r="I40" s="49">
        <f t="shared" si="78"/>
        <v>8.9499999999999975</v>
      </c>
      <c r="J40" s="49">
        <f t="shared" si="79"/>
        <v>7.95</v>
      </c>
      <c r="K40" s="49">
        <f t="shared" si="80"/>
        <v>4.95</v>
      </c>
      <c r="L40" s="49">
        <f t="shared" si="81"/>
        <v>7.95</v>
      </c>
      <c r="M40" s="49">
        <f t="shared" si="82"/>
        <v>0.95</v>
      </c>
      <c r="N40" s="49">
        <f t="shared" si="83"/>
        <v>14</v>
      </c>
      <c r="O40" s="154">
        <f t="shared" si="84"/>
        <v>3.4812499999999993</v>
      </c>
      <c r="P40" s="154">
        <f t="shared" si="85"/>
        <v>7.5003746008922096</v>
      </c>
      <c r="Q40" s="154">
        <f t="shared" si="86"/>
        <v>0.46749999999999997</v>
      </c>
      <c r="R40" s="154">
        <f t="shared" si="87"/>
        <v>0.77799999999999991</v>
      </c>
      <c r="S40" s="154" t="e">
        <f t="shared" ca="1" si="88"/>
        <v>#VALUE!</v>
      </c>
      <c r="T40" s="72">
        <f t="shared" si="89"/>
        <v>4.7705647179090036</v>
      </c>
      <c r="U40" s="72">
        <f t="shared" si="90"/>
        <v>7.2055493709284342</v>
      </c>
      <c r="V40" s="72">
        <f t="shared" si="91"/>
        <v>4.7705647179090036</v>
      </c>
      <c r="W40" s="72">
        <f t="shared" si="92"/>
        <v>5.9778657439187235</v>
      </c>
      <c r="X40" s="72">
        <f t="shared" si="93"/>
        <v>11.585011131625432</v>
      </c>
      <c r="Y40" s="72">
        <f t="shared" si="94"/>
        <v>2.9889328719593617</v>
      </c>
      <c r="Z40" s="72">
        <f t="shared" si="95"/>
        <v>2.5192326493268529</v>
      </c>
      <c r="AA40" s="72">
        <f t="shared" si="96"/>
        <v>4.3791342077544133</v>
      </c>
      <c r="AB40" s="72">
        <f t="shared" si="97"/>
        <v>8.3759630481651879</v>
      </c>
      <c r="AC40" s="72">
        <f t="shared" si="98"/>
        <v>2.1895671038772067</v>
      </c>
      <c r="AD40" s="72">
        <f t="shared" si="99"/>
        <v>4.0752292856757917</v>
      </c>
      <c r="AE40" s="245">
        <f t="shared" si="100"/>
        <v>10.658210241095398</v>
      </c>
      <c r="AF40" s="72">
        <f t="shared" si="101"/>
        <v>4.7961946084929288</v>
      </c>
      <c r="AG40" s="72">
        <f t="shared" si="102"/>
        <v>1.7676968589814472</v>
      </c>
      <c r="AH40" s="245">
        <f t="shared" si="103"/>
        <v>4.459986545395755</v>
      </c>
      <c r="AI40" s="72">
        <f t="shared" si="104"/>
        <v>8.7350983932455755</v>
      </c>
      <c r="AJ40" s="72">
        <f t="shared" si="105"/>
        <v>8.202187881190806</v>
      </c>
      <c r="AK40" s="72">
        <f t="shared" si="106"/>
        <v>2.7780468589814475</v>
      </c>
      <c r="AL40" s="72">
        <f t="shared" si="107"/>
        <v>1.7614832059081245</v>
      </c>
      <c r="AM40" s="72">
        <f t="shared" si="108"/>
        <v>3.1279530055388669</v>
      </c>
      <c r="AN40" s="72">
        <f t="shared" si="109"/>
        <v>6.8814966121855061</v>
      </c>
      <c r="AO40" s="72">
        <f t="shared" si="110"/>
        <v>1.5639765027694335</v>
      </c>
      <c r="AP40" s="72">
        <f t="shared" si="111"/>
        <v>9.9922505082544077</v>
      </c>
      <c r="AQ40" s="72">
        <f t="shared" si="112"/>
        <v>1.3760514471113061</v>
      </c>
      <c r="AR40" s="72">
        <f t="shared" si="113"/>
        <v>1.8904082615662519</v>
      </c>
      <c r="AS40" s="72">
        <f t="shared" si="114"/>
        <v>0.68802572355565306</v>
      </c>
      <c r="AT40" s="72">
        <f t="shared" si="115"/>
        <v>2.1895671038772067</v>
      </c>
      <c r="AU40" s="72">
        <f t="shared" si="116"/>
        <v>4.6340044526501734</v>
      </c>
      <c r="AV40" s="72">
        <f t="shared" si="117"/>
        <v>1.0947835519386033</v>
      </c>
      <c r="AW40" s="72">
        <f t="shared" si="118"/>
        <v>10.585011131625432</v>
      </c>
      <c r="AX40" s="72">
        <f t="shared" si="119"/>
        <v>2.6780078163012342</v>
      </c>
      <c r="AY40" s="72">
        <f t="shared" si="120"/>
        <v>4.3623411335256135</v>
      </c>
      <c r="AZ40" s="72">
        <f t="shared" si="121"/>
        <v>1.3390039081506171</v>
      </c>
      <c r="BA40" s="72">
        <f t="shared" si="122"/>
        <v>3.3712382393030005</v>
      </c>
      <c r="BB40" s="72">
        <f t="shared" si="123"/>
        <v>4.0315838738056504</v>
      </c>
      <c r="BC40" s="72">
        <f t="shared" si="124"/>
        <v>9.3253948069620058</v>
      </c>
      <c r="BD40" s="72">
        <f t="shared" si="125"/>
        <v>7.68807489601501</v>
      </c>
      <c r="BE40" s="72">
        <f t="shared" si="126"/>
        <v>2.550987682721729</v>
      </c>
      <c r="BF40" s="72">
        <f t="shared" si="127"/>
        <v>5.6187303988383341</v>
      </c>
      <c r="BG40" s="72">
        <f t="shared" si="128"/>
        <v>3.0584429387491143</v>
      </c>
      <c r="BH40" s="72">
        <f t="shared" si="129"/>
        <v>4.0328892411492898</v>
      </c>
      <c r="BI40" s="72">
        <f t="shared" si="130"/>
        <v>7.2322997290406299</v>
      </c>
      <c r="BJ40" s="72">
        <f t="shared" si="131"/>
        <v>0.55042057884452245</v>
      </c>
      <c r="BK40" s="72">
        <f t="shared" si="132"/>
        <v>2.0853020036925778</v>
      </c>
      <c r="BL40" s="72">
        <f t="shared" si="133"/>
        <v>0.7877807569505294</v>
      </c>
      <c r="BM40" s="72">
        <f t="shared" si="134"/>
        <v>3.2284283951457566</v>
      </c>
      <c r="BN40" s="72">
        <f t="shared" si="135"/>
        <v>10.612324315270307</v>
      </c>
      <c r="BO40" s="72">
        <f t="shared" si="136"/>
        <v>1.4289765027694334</v>
      </c>
      <c r="BP40" s="72">
        <f t="shared" si="137"/>
        <v>3.2901431613816223</v>
      </c>
      <c r="BQ40" s="72">
        <f t="shared" si="138"/>
        <v>2.8267427161166054</v>
      </c>
      <c r="BR40" s="72">
        <f t="shared" si="139"/>
        <v>4.8161800648895721</v>
      </c>
      <c r="BS40" s="72">
        <f t="shared" si="140"/>
        <v>9.1361923338409792</v>
      </c>
      <c r="BT40" s="72">
        <f t="shared" si="141"/>
        <v>1.2807863469266771</v>
      </c>
      <c r="BU40" s="72">
        <f t="shared" si="142"/>
        <v>3.2901431613816223</v>
      </c>
      <c r="BV40" s="72">
        <f t="shared" si="143"/>
        <v>2.8267427161166054</v>
      </c>
      <c r="BW40" s="72">
        <f t="shared" si="144"/>
        <v>6.6791420240556478</v>
      </c>
      <c r="BX40" s="72">
        <f t="shared" si="145"/>
        <v>7.3675849628047629</v>
      </c>
      <c r="BY40" s="72">
        <f t="shared" si="146"/>
        <v>1.5665816474805638</v>
      </c>
      <c r="BZ40" s="72">
        <f t="shared" si="147"/>
        <v>4.2975145194399254</v>
      </c>
      <c r="CA40" s="72">
        <f t="shared" si="148"/>
        <v>4.19379079957685</v>
      </c>
      <c r="CB40" s="72">
        <f t="shared" si="149"/>
        <v>7.8377225342102381</v>
      </c>
      <c r="CC40" s="72">
        <f t="shared" si="150"/>
        <v>4.19379079957685</v>
      </c>
      <c r="CD40" s="72">
        <f t="shared" si="151"/>
        <v>3.981461935002645</v>
      </c>
      <c r="CE40" s="72">
        <f t="shared" si="152"/>
        <v>7.4908802391952181</v>
      </c>
      <c r="CF40" s="72">
        <f t="shared" si="153"/>
        <v>3.981461935002645</v>
      </c>
      <c r="CG40" s="72">
        <f t="shared" si="154"/>
        <v>2.646252782906358</v>
      </c>
    </row>
    <row r="41" spans="1:85" x14ac:dyDescent="0.25">
      <c r="A41" t="str">
        <f t="shared" si="74"/>
        <v>E. Romweber</v>
      </c>
      <c r="B41">
        <f t="shared" si="74"/>
        <v>39</v>
      </c>
      <c r="C41" s="50">
        <f t="shared" ca="1" si="74"/>
        <v>38</v>
      </c>
      <c r="D41" t="str">
        <f t="shared" si="74"/>
        <v>IMP</v>
      </c>
      <c r="E41" s="207" t="str">
        <f t="shared" si="74"/>
        <v>Cantera</v>
      </c>
      <c r="F41" s="153">
        <f t="shared" si="75"/>
        <v>1.5</v>
      </c>
      <c r="G41" s="154">
        <f t="shared" si="76"/>
        <v>19.100000000000001</v>
      </c>
      <c r="H41" s="49">
        <f t="shared" si="77"/>
        <v>0</v>
      </c>
      <c r="I41" s="49">
        <f t="shared" si="78"/>
        <v>8.9499999999999975</v>
      </c>
      <c r="J41" s="49">
        <f t="shared" si="79"/>
        <v>8.9499999999999975</v>
      </c>
      <c r="K41" s="49">
        <f t="shared" si="80"/>
        <v>8.9499999999999975</v>
      </c>
      <c r="L41" s="49">
        <f t="shared" si="81"/>
        <v>6.95</v>
      </c>
      <c r="M41" s="49">
        <f t="shared" si="82"/>
        <v>0.95</v>
      </c>
      <c r="N41" s="49">
        <f t="shared" si="83"/>
        <v>16</v>
      </c>
      <c r="O41" s="154">
        <f t="shared" si="84"/>
        <v>3.2312499999999997</v>
      </c>
      <c r="P41" s="154">
        <f t="shared" si="85"/>
        <v>9.8667783221566356</v>
      </c>
      <c r="Q41" s="154">
        <f t="shared" si="86"/>
        <v>0.52749999999999997</v>
      </c>
      <c r="R41" s="154">
        <f t="shared" si="87"/>
        <v>0.83799999999999986</v>
      </c>
      <c r="S41" s="154" t="e">
        <f t="shared" ca="1" si="88"/>
        <v>#VALUE!</v>
      </c>
      <c r="T41" s="72">
        <f t="shared" si="89"/>
        <v>5.2708228394763541</v>
      </c>
      <c r="U41" s="72">
        <f t="shared" si="90"/>
        <v>7.9453354361557542</v>
      </c>
      <c r="V41" s="72">
        <f t="shared" si="91"/>
        <v>5.2708228394763541</v>
      </c>
      <c r="W41" s="72">
        <f t="shared" si="92"/>
        <v>6.2735509566664351</v>
      </c>
      <c r="X41" s="72">
        <f t="shared" si="93"/>
        <v>12.158044489663634</v>
      </c>
      <c r="Y41" s="72">
        <f t="shared" si="94"/>
        <v>3.1367754783332176</v>
      </c>
      <c r="Z41" s="72">
        <f t="shared" si="95"/>
        <v>2.8936145885399447</v>
      </c>
      <c r="AA41" s="72">
        <f t="shared" si="96"/>
        <v>4.595740817092854</v>
      </c>
      <c r="AB41" s="72">
        <f t="shared" si="97"/>
        <v>8.7902661660268073</v>
      </c>
      <c r="AC41" s="72">
        <f t="shared" si="98"/>
        <v>2.297870408546427</v>
      </c>
      <c r="AD41" s="72">
        <f t="shared" si="99"/>
        <v>4.6808471285204991</v>
      </c>
      <c r="AE41" s="245">
        <f t="shared" si="100"/>
        <v>11.185400930490545</v>
      </c>
      <c r="AF41" s="72">
        <f t="shared" si="101"/>
        <v>5.0334304187207444</v>
      </c>
      <c r="AG41" s="72">
        <f t="shared" si="102"/>
        <v>2.0303934297738269</v>
      </c>
      <c r="AH41" s="245">
        <f t="shared" si="103"/>
        <v>7.1489301599222168</v>
      </c>
      <c r="AI41" s="72">
        <f t="shared" si="104"/>
        <v>9.1671655452063803</v>
      </c>
      <c r="AJ41" s="72">
        <f t="shared" si="105"/>
        <v>8.6078954986818523</v>
      </c>
      <c r="AK41" s="72">
        <f t="shared" si="106"/>
        <v>3.2077434297738274</v>
      </c>
      <c r="AL41" s="72">
        <f t="shared" si="107"/>
        <v>1.8545168130231271</v>
      </c>
      <c r="AM41" s="72">
        <f t="shared" si="108"/>
        <v>3.2826720122091815</v>
      </c>
      <c r="AN41" s="72">
        <f t="shared" si="109"/>
        <v>7.2218784268601981</v>
      </c>
      <c r="AO41" s="72">
        <f t="shared" si="110"/>
        <v>1.6413360061045907</v>
      </c>
      <c r="AP41" s="72">
        <f t="shared" si="111"/>
        <v>11.47719399824247</v>
      </c>
      <c r="AQ41" s="72">
        <f t="shared" si="112"/>
        <v>1.3205457836562728</v>
      </c>
      <c r="AR41" s="72">
        <f t="shared" si="113"/>
        <v>1.9383070354714453</v>
      </c>
      <c r="AS41" s="72">
        <f t="shared" si="114"/>
        <v>0.66027289182813642</v>
      </c>
      <c r="AT41" s="72">
        <f t="shared" si="115"/>
        <v>2.297870408546427</v>
      </c>
      <c r="AU41" s="72">
        <f t="shared" si="116"/>
        <v>4.8632177958654541</v>
      </c>
      <c r="AV41" s="72">
        <f t="shared" si="117"/>
        <v>1.1489352042732135</v>
      </c>
      <c r="AW41" s="72">
        <f t="shared" si="118"/>
        <v>12.158044489663634</v>
      </c>
      <c r="AX41" s="72">
        <f t="shared" si="119"/>
        <v>2.5699852558848999</v>
      </c>
      <c r="AY41" s="72">
        <f t="shared" si="120"/>
        <v>4.3370825138046643</v>
      </c>
      <c r="AZ41" s="72">
        <f t="shared" si="121"/>
        <v>1.2849926279424499</v>
      </c>
      <c r="BA41" s="72">
        <f t="shared" si="122"/>
        <v>3.5379909464921173</v>
      </c>
      <c r="BB41" s="72">
        <f t="shared" si="123"/>
        <v>4.2309994824029449</v>
      </c>
      <c r="BC41" s="72">
        <f t="shared" si="124"/>
        <v>10.711237195393663</v>
      </c>
      <c r="BD41" s="72">
        <f t="shared" si="125"/>
        <v>10.178501551310971</v>
      </c>
      <c r="BE41" s="72">
        <f t="shared" si="126"/>
        <v>2.448088722008936</v>
      </c>
      <c r="BF41" s="72">
        <f t="shared" si="127"/>
        <v>5.8966515774868622</v>
      </c>
      <c r="BG41" s="72">
        <f t="shared" si="128"/>
        <v>3.2097237452711997</v>
      </c>
      <c r="BH41" s="72">
        <f t="shared" si="129"/>
        <v>4.6322149505618446</v>
      </c>
      <c r="BI41" s="72">
        <f t="shared" si="130"/>
        <v>10.224130883966017</v>
      </c>
      <c r="BJ41" s="72">
        <f t="shared" si="131"/>
        <v>0.52821831346250903</v>
      </c>
      <c r="BK41" s="72">
        <f t="shared" si="132"/>
        <v>2.1884480081394542</v>
      </c>
      <c r="BL41" s="72">
        <f t="shared" si="133"/>
        <v>0.82674702529712718</v>
      </c>
      <c r="BM41" s="72">
        <f t="shared" si="134"/>
        <v>3.7082035693474085</v>
      </c>
      <c r="BN41" s="72">
        <f t="shared" si="135"/>
        <v>15.063245213707434</v>
      </c>
      <c r="BO41" s="72">
        <f t="shared" si="136"/>
        <v>1.3713360061045909</v>
      </c>
      <c r="BP41" s="72">
        <f t="shared" si="137"/>
        <v>3.4528846350644717</v>
      </c>
      <c r="BQ41" s="72">
        <f t="shared" si="138"/>
        <v>2.9665628554779269</v>
      </c>
      <c r="BR41" s="72">
        <f t="shared" si="139"/>
        <v>5.531910242796954</v>
      </c>
      <c r="BS41" s="72">
        <f t="shared" si="140"/>
        <v>12.983113294547307</v>
      </c>
      <c r="BT41" s="72">
        <f t="shared" si="141"/>
        <v>1.2291233832493</v>
      </c>
      <c r="BU41" s="72">
        <f t="shared" si="142"/>
        <v>3.4528846350644717</v>
      </c>
      <c r="BV41" s="72">
        <f t="shared" si="143"/>
        <v>2.9665628554779269</v>
      </c>
      <c r="BW41" s="72">
        <f t="shared" si="144"/>
        <v>7.6717260729777532</v>
      </c>
      <c r="BX41" s="72">
        <f t="shared" si="145"/>
        <v>10.495449818248954</v>
      </c>
      <c r="BY41" s="72">
        <f t="shared" si="146"/>
        <v>1.503390584470218</v>
      </c>
      <c r="BZ41" s="72">
        <f t="shared" si="147"/>
        <v>4.9361660628034363</v>
      </c>
      <c r="CA41" s="72">
        <f t="shared" si="148"/>
        <v>4.8183411791147535</v>
      </c>
      <c r="CB41" s="72">
        <f t="shared" si="149"/>
        <v>7.9399580953612556</v>
      </c>
      <c r="CC41" s="72">
        <f t="shared" si="150"/>
        <v>4.8183411791147535</v>
      </c>
      <c r="CD41" s="72">
        <f t="shared" si="151"/>
        <v>5.0804617170604454</v>
      </c>
      <c r="CE41" s="72">
        <f t="shared" si="152"/>
        <v>7.9063629063495187</v>
      </c>
      <c r="CF41" s="72">
        <f t="shared" si="153"/>
        <v>5.0804617170604454</v>
      </c>
      <c r="CG41" s="72">
        <f t="shared" si="154"/>
        <v>3.0395111224159086</v>
      </c>
    </row>
    <row r="42" spans="1:85" x14ac:dyDescent="0.25">
      <c r="A42" t="str">
        <f t="shared" si="74"/>
        <v>S. Buschelman</v>
      </c>
      <c r="B42">
        <f t="shared" si="74"/>
        <v>37</v>
      </c>
      <c r="C42" s="50">
        <f t="shared" ca="1" si="74"/>
        <v>109</v>
      </c>
      <c r="D42" t="str">
        <f t="shared" si="74"/>
        <v>TEC</v>
      </c>
      <c r="E42" s="207" t="str">
        <f t="shared" si="74"/>
        <v>Cantera</v>
      </c>
      <c r="F42" s="153">
        <f t="shared" si="75"/>
        <v>1.5</v>
      </c>
      <c r="G42" s="154">
        <f t="shared" si="76"/>
        <v>15.4</v>
      </c>
      <c r="H42" s="49">
        <f t="shared" si="77"/>
        <v>0</v>
      </c>
      <c r="I42" s="49">
        <f t="shared" si="78"/>
        <v>7.95</v>
      </c>
      <c r="J42" s="49">
        <f t="shared" si="79"/>
        <v>11.95</v>
      </c>
      <c r="K42" s="49">
        <f t="shared" si="80"/>
        <v>9.9499999999999993</v>
      </c>
      <c r="L42" s="49">
        <f t="shared" si="81"/>
        <v>6.95</v>
      </c>
      <c r="M42" s="49">
        <f t="shared" si="82"/>
        <v>0.95</v>
      </c>
      <c r="N42" s="49">
        <f t="shared" si="83"/>
        <v>16</v>
      </c>
      <c r="O42" s="154">
        <f t="shared" si="84"/>
        <v>3.1062500000000002</v>
      </c>
      <c r="P42" s="154">
        <f t="shared" si="85"/>
        <v>9.5912277240647779</v>
      </c>
      <c r="Q42" s="154">
        <f t="shared" si="86"/>
        <v>0.52749999999999997</v>
      </c>
      <c r="R42" s="154">
        <f t="shared" si="87"/>
        <v>0.79800000000000004</v>
      </c>
      <c r="S42" s="154" t="e">
        <f t="shared" ca="1" si="88"/>
        <v>#VALUE!</v>
      </c>
      <c r="T42" s="72">
        <f t="shared" si="89"/>
        <v>4.8859741190536425</v>
      </c>
      <c r="U42" s="72">
        <f t="shared" si="90"/>
        <v>7.3593690007998314</v>
      </c>
      <c r="V42" s="72">
        <f t="shared" si="91"/>
        <v>4.8859741190536425</v>
      </c>
      <c r="W42" s="72">
        <f t="shared" si="92"/>
        <v>5.6932142559354864</v>
      </c>
      <c r="X42" s="72">
        <f t="shared" si="93"/>
        <v>11.033360961115283</v>
      </c>
      <c r="Y42" s="72">
        <f t="shared" si="94"/>
        <v>2.8466071279677432</v>
      </c>
      <c r="Z42" s="72">
        <f t="shared" si="95"/>
        <v>3.5779399087454373</v>
      </c>
      <c r="AA42" s="72">
        <f t="shared" si="96"/>
        <v>4.1706104433015776</v>
      </c>
      <c r="AB42" s="72">
        <f t="shared" si="97"/>
        <v>7.9771199748863495</v>
      </c>
      <c r="AC42" s="72">
        <f t="shared" si="98"/>
        <v>2.0853052216507888</v>
      </c>
      <c r="AD42" s="72">
        <f t="shared" si="99"/>
        <v>5.7878439700293844</v>
      </c>
      <c r="AE42" s="245">
        <f t="shared" si="100"/>
        <v>10.150692084226062</v>
      </c>
      <c r="AF42" s="72">
        <f t="shared" si="101"/>
        <v>4.5678114379017272</v>
      </c>
      <c r="AG42" s="72">
        <f t="shared" si="102"/>
        <v>2.5105712805062526</v>
      </c>
      <c r="AH42" s="245">
        <f t="shared" si="103"/>
        <v>7.6636162451357865</v>
      </c>
      <c r="AI42" s="72">
        <f t="shared" si="104"/>
        <v>8.3191541646809242</v>
      </c>
      <c r="AJ42" s="72">
        <f t="shared" si="105"/>
        <v>7.8116195604696204</v>
      </c>
      <c r="AK42" s="72">
        <f t="shared" si="106"/>
        <v>3.1869212805062523</v>
      </c>
      <c r="AL42" s="72">
        <f t="shared" si="107"/>
        <v>1.7826079568012017</v>
      </c>
      <c r="AM42" s="72">
        <f t="shared" si="108"/>
        <v>2.9790074595011267</v>
      </c>
      <c r="AN42" s="72">
        <f t="shared" si="109"/>
        <v>6.5538164109024777</v>
      </c>
      <c r="AO42" s="72">
        <f t="shared" si="110"/>
        <v>1.4895037297505633</v>
      </c>
      <c r="AP42" s="72">
        <f t="shared" si="111"/>
        <v>14.191492747292827</v>
      </c>
      <c r="AQ42" s="72">
        <f t="shared" si="112"/>
        <v>1.304336924944987</v>
      </c>
      <c r="AR42" s="72">
        <f t="shared" si="113"/>
        <v>1.9017747616067782</v>
      </c>
      <c r="AS42" s="72">
        <f t="shared" si="114"/>
        <v>0.65216846247249349</v>
      </c>
      <c r="AT42" s="72">
        <f t="shared" si="115"/>
        <v>2.0853052216507888</v>
      </c>
      <c r="AU42" s="72">
        <f t="shared" si="116"/>
        <v>4.4133443844461135</v>
      </c>
      <c r="AV42" s="72">
        <f t="shared" si="117"/>
        <v>1.0426526108253944</v>
      </c>
      <c r="AW42" s="72">
        <f t="shared" si="118"/>
        <v>15.033360961115283</v>
      </c>
      <c r="AX42" s="72">
        <f t="shared" si="119"/>
        <v>2.5384403231621668</v>
      </c>
      <c r="AY42" s="72">
        <f t="shared" si="120"/>
        <v>4.2683818895745214</v>
      </c>
      <c r="AZ42" s="72">
        <f t="shared" si="121"/>
        <v>1.2692201615810834</v>
      </c>
      <c r="BA42" s="72">
        <f t="shared" si="122"/>
        <v>3.2107080396845471</v>
      </c>
      <c r="BB42" s="72">
        <f t="shared" si="123"/>
        <v>3.8396096144681184</v>
      </c>
      <c r="BC42" s="72">
        <f t="shared" si="124"/>
        <v>13.244391006742564</v>
      </c>
      <c r="BD42" s="72">
        <f t="shared" si="125"/>
        <v>10.641657894431486</v>
      </c>
      <c r="BE42" s="72">
        <f t="shared" si="126"/>
        <v>2.4180399916287834</v>
      </c>
      <c r="BF42" s="72">
        <f t="shared" si="127"/>
        <v>5.3511800661409126</v>
      </c>
      <c r="BG42" s="72">
        <f t="shared" si="128"/>
        <v>2.9128072937344349</v>
      </c>
      <c r="BH42" s="72">
        <f t="shared" si="129"/>
        <v>5.7277105261849233</v>
      </c>
      <c r="BI42" s="72">
        <f t="shared" si="130"/>
        <v>10.788157480014759</v>
      </c>
      <c r="BJ42" s="72">
        <f t="shared" si="131"/>
        <v>0.52173476997799473</v>
      </c>
      <c r="BK42" s="72">
        <f t="shared" si="132"/>
        <v>1.986004973000751</v>
      </c>
      <c r="BL42" s="72">
        <f t="shared" si="133"/>
        <v>0.75026854535583931</v>
      </c>
      <c r="BM42" s="72">
        <f t="shared" si="134"/>
        <v>4.5851750931401609</v>
      </c>
      <c r="BN42" s="72">
        <f t="shared" si="135"/>
        <v>15.902902195994255</v>
      </c>
      <c r="BO42" s="72">
        <f t="shared" si="136"/>
        <v>1.3545037297505633</v>
      </c>
      <c r="BP42" s="72">
        <f t="shared" si="137"/>
        <v>3.1334745129567403</v>
      </c>
      <c r="BQ42" s="72">
        <f t="shared" si="138"/>
        <v>2.6921400745121291</v>
      </c>
      <c r="BR42" s="72">
        <f t="shared" si="139"/>
        <v>6.8401792373074546</v>
      </c>
      <c r="BS42" s="72">
        <f t="shared" si="140"/>
        <v>13.708963944915734</v>
      </c>
      <c r="BT42" s="72">
        <f t="shared" si="141"/>
        <v>1.2140366762949493</v>
      </c>
      <c r="BU42" s="72">
        <f t="shared" si="142"/>
        <v>3.1334745129567403</v>
      </c>
      <c r="BV42" s="72">
        <f t="shared" si="143"/>
        <v>2.6921400745121291</v>
      </c>
      <c r="BW42" s="72">
        <f t="shared" si="144"/>
        <v>9.4860507664637446</v>
      </c>
      <c r="BX42" s="72">
        <f t="shared" si="145"/>
        <v>11.085858060198177</v>
      </c>
      <c r="BY42" s="72">
        <f t="shared" si="146"/>
        <v>1.484937422245062</v>
      </c>
      <c r="BZ42" s="72">
        <f t="shared" si="147"/>
        <v>6.1035445502128054</v>
      </c>
      <c r="CA42" s="72">
        <f t="shared" si="148"/>
        <v>5.718049937630286</v>
      </c>
      <c r="CB42" s="72">
        <f t="shared" si="149"/>
        <v>7.7995644422158108</v>
      </c>
      <c r="CC42" s="72">
        <f t="shared" si="150"/>
        <v>5.718049937630286</v>
      </c>
      <c r="CD42" s="72">
        <f t="shared" si="151"/>
        <v>5.2237838787748219</v>
      </c>
      <c r="CE42" s="72">
        <f t="shared" si="152"/>
        <v>7.7356711557668234</v>
      </c>
      <c r="CF42" s="72">
        <f t="shared" si="153"/>
        <v>5.2237838787748219</v>
      </c>
      <c r="CG42" s="72">
        <f t="shared" si="154"/>
        <v>3.7583402402788209</v>
      </c>
    </row>
    <row r="43" spans="1:85" x14ac:dyDescent="0.25">
      <c r="A43" t="str">
        <f t="shared" si="74"/>
        <v>L. Tutorić</v>
      </c>
      <c r="B43">
        <f t="shared" si="74"/>
        <v>29</v>
      </c>
      <c r="C43" s="50">
        <f t="shared" ca="1" si="74"/>
        <v>19</v>
      </c>
      <c r="D43" t="str">
        <f t="shared" si="74"/>
        <v>CAB</v>
      </c>
      <c r="E43" s="207">
        <f t="shared" si="74"/>
        <v>43982</v>
      </c>
      <c r="F43" s="153">
        <f t="shared" ca="1" si="75"/>
        <v>0.32129411444772915</v>
      </c>
      <c r="G43" s="154">
        <f t="shared" si="76"/>
        <v>5.8</v>
      </c>
      <c r="H43" s="49">
        <f t="shared" si="77"/>
        <v>0</v>
      </c>
      <c r="I43" s="49">
        <f t="shared" si="78"/>
        <v>13</v>
      </c>
      <c r="J43" s="49">
        <f t="shared" si="79"/>
        <v>6</v>
      </c>
      <c r="K43" s="49">
        <f t="shared" si="80"/>
        <v>2</v>
      </c>
      <c r="L43" s="49">
        <f t="shared" si="81"/>
        <v>1</v>
      </c>
      <c r="M43" s="49">
        <f t="shared" si="82"/>
        <v>7</v>
      </c>
      <c r="N43" s="49">
        <f t="shared" si="83"/>
        <v>15.333333333333334</v>
      </c>
      <c r="O43" s="154">
        <f t="shared" si="84"/>
        <v>2.25</v>
      </c>
      <c r="P43" s="154">
        <f t="shared" ca="1" si="85"/>
        <v>15.412961147294938</v>
      </c>
      <c r="Q43" s="154">
        <f t="shared" si="86"/>
        <v>0.80999999999999994</v>
      </c>
      <c r="R43" s="154">
        <f t="shared" si="87"/>
        <v>0.98000000000000009</v>
      </c>
      <c r="S43" s="154">
        <f t="shared" ca="1" si="88"/>
        <v>16.763114560274541</v>
      </c>
      <c r="T43" s="72">
        <f t="shared" ca="1" si="89"/>
        <v>4.7571199464201266</v>
      </c>
      <c r="U43" s="72">
        <f t="shared" ca="1" si="90"/>
        <v>7.2539047546716873</v>
      </c>
      <c r="V43" s="72">
        <f t="shared" ca="1" si="91"/>
        <v>4.7571199464201266</v>
      </c>
      <c r="W43" s="72">
        <f t="shared" ca="1" si="92"/>
        <v>7.399026222626329</v>
      </c>
      <c r="X43" s="72">
        <f t="shared" ca="1" si="93"/>
        <v>14.339198105864979</v>
      </c>
      <c r="Y43" s="72">
        <f t="shared" ca="1" si="94"/>
        <v>3.6995131113131645</v>
      </c>
      <c r="Z43" s="72">
        <f t="shared" ca="1" si="95"/>
        <v>1.7467291491958647</v>
      </c>
      <c r="AA43" s="72">
        <f t="shared" ca="1" si="96"/>
        <v>5.4202168840169618</v>
      </c>
      <c r="AB43" s="72">
        <f t="shared" ca="1" si="97"/>
        <v>10.367240230540379</v>
      </c>
      <c r="AC43" s="72">
        <f t="shared" ca="1" si="98"/>
        <v>2.7101084420084809</v>
      </c>
      <c r="AD43" s="72">
        <f t="shared" ca="1" si="99"/>
        <v>2.8255912707580166</v>
      </c>
      <c r="AE43" s="245">
        <f t="shared" ca="1" si="100"/>
        <v>13.192062257395781</v>
      </c>
      <c r="AF43" s="72">
        <f t="shared" ca="1" si="101"/>
        <v>5.9364280158281009</v>
      </c>
      <c r="AG43" s="72">
        <f t="shared" ca="1" si="102"/>
        <v>1.2256460836794516</v>
      </c>
      <c r="AH43" s="245">
        <f t="shared" ca="1" si="103"/>
        <v>1.9634484862486072</v>
      </c>
      <c r="AI43" s="72">
        <f t="shared" ca="1" si="104"/>
        <v>10.811755371822194</v>
      </c>
      <c r="AJ43" s="72">
        <f t="shared" ca="1" si="105"/>
        <v>10.152152258952404</v>
      </c>
      <c r="AK43" s="72">
        <f t="shared" ca="1" si="106"/>
        <v>2.7843127503461185</v>
      </c>
      <c r="AL43" s="72">
        <f t="shared" ca="1" si="107"/>
        <v>1.0336890544891137</v>
      </c>
      <c r="AM43" s="72">
        <f t="shared" ca="1" si="108"/>
        <v>3.8715834885835445</v>
      </c>
      <c r="AN43" s="72">
        <f t="shared" ca="1" si="109"/>
        <v>8.5174836748837972</v>
      </c>
      <c r="AO43" s="72">
        <f t="shared" ca="1" si="110"/>
        <v>1.9357917442917723</v>
      </c>
      <c r="AP43" s="72">
        <f t="shared" ca="1" si="111"/>
        <v>6.9282030119365396</v>
      </c>
      <c r="AQ43" s="72">
        <f t="shared" ca="1" si="112"/>
        <v>0.30409575376244724</v>
      </c>
      <c r="AR43" s="72">
        <f t="shared" ca="1" si="113"/>
        <v>1.7233850450184387</v>
      </c>
      <c r="AS43" s="72">
        <f t="shared" ca="1" si="114"/>
        <v>0.15204787688122362</v>
      </c>
      <c r="AT43" s="72">
        <f t="shared" ca="1" si="115"/>
        <v>2.7101084420084809</v>
      </c>
      <c r="AU43" s="72">
        <f t="shared" ca="1" si="116"/>
        <v>5.7356792423459915</v>
      </c>
      <c r="AV43" s="72">
        <f t="shared" ca="1" si="117"/>
        <v>1.3550542210042404</v>
      </c>
      <c r="AW43" s="72">
        <f t="shared" ca="1" si="118"/>
        <v>7.3391981058649787</v>
      </c>
      <c r="AX43" s="72">
        <f t="shared" ca="1" si="119"/>
        <v>0.59181712078383963</v>
      </c>
      <c r="AY43" s="72">
        <f t="shared" ca="1" si="120"/>
        <v>2.5488981563316031</v>
      </c>
      <c r="AZ43" s="72">
        <f t="shared" ca="1" si="121"/>
        <v>0.29590856039191982</v>
      </c>
      <c r="BA43" s="72">
        <f t="shared" ca="1" si="122"/>
        <v>4.1727066488067086</v>
      </c>
      <c r="BB43" s="72">
        <f t="shared" ca="1" si="123"/>
        <v>4.9900409408410118</v>
      </c>
      <c r="BC43" s="72">
        <f t="shared" ca="1" si="124"/>
        <v>6.4658335312670463</v>
      </c>
      <c r="BD43" s="72">
        <f t="shared" ca="1" si="125"/>
        <v>2.6535471161139657</v>
      </c>
      <c r="BE43" s="72">
        <f t="shared" ca="1" si="126"/>
        <v>0.56374674351345988</v>
      </c>
      <c r="BF43" s="72">
        <f t="shared" ca="1" si="127"/>
        <v>6.9545110813445143</v>
      </c>
      <c r="BG43" s="72">
        <f t="shared" ca="1" si="128"/>
        <v>3.7855482999483545</v>
      </c>
      <c r="BH43" s="72">
        <f t="shared" ca="1" si="129"/>
        <v>2.796234478334557</v>
      </c>
      <c r="BI43" s="72">
        <f t="shared" ca="1" si="130"/>
        <v>2.7174591445259919</v>
      </c>
      <c r="BJ43" s="72">
        <f t="shared" ca="1" si="131"/>
        <v>0.12163830150497888</v>
      </c>
      <c r="BK43" s="72">
        <f t="shared" ca="1" si="132"/>
        <v>2.5810556590556959</v>
      </c>
      <c r="BL43" s="72">
        <f t="shared" ca="1" si="133"/>
        <v>0.97506547119881859</v>
      </c>
      <c r="BM43" s="72">
        <f t="shared" ca="1" si="134"/>
        <v>2.2384554222888187</v>
      </c>
      <c r="BN43" s="72">
        <f t="shared" ca="1" si="135"/>
        <v>4.0082087641423625</v>
      </c>
      <c r="BO43" s="72">
        <f t="shared" ca="1" si="136"/>
        <v>0.31579174429177215</v>
      </c>
      <c r="BP43" s="72">
        <f t="shared" ca="1" si="137"/>
        <v>4.0723322620656539</v>
      </c>
      <c r="BQ43" s="72">
        <f t="shared" ca="1" si="138"/>
        <v>3.4987643378310547</v>
      </c>
      <c r="BR43" s="72">
        <f t="shared" ca="1" si="139"/>
        <v>3.3393351381685652</v>
      </c>
      <c r="BS43" s="72">
        <f t="shared" ca="1" si="140"/>
        <v>3.4558315012983964</v>
      </c>
      <c r="BT43" s="72">
        <f t="shared" ca="1" si="141"/>
        <v>0.2830429708096624</v>
      </c>
      <c r="BU43" s="72">
        <f t="shared" ca="1" si="142"/>
        <v>4.0723322620656539</v>
      </c>
      <c r="BV43" s="72">
        <f t="shared" ca="1" si="143"/>
        <v>3.4987643378310547</v>
      </c>
      <c r="BW43" s="72">
        <f t="shared" ca="1" si="144"/>
        <v>4.6310340048008012</v>
      </c>
      <c r="BX43" s="72">
        <f t="shared" ca="1" si="145"/>
        <v>2.7955823047491557</v>
      </c>
      <c r="BY43" s="72">
        <f t="shared" ca="1" si="146"/>
        <v>0.34620131966801682</v>
      </c>
      <c r="BZ43" s="72">
        <f t="shared" ca="1" si="147"/>
        <v>2.9797144309811814</v>
      </c>
      <c r="CA43" s="72">
        <f t="shared" ca="1" si="148"/>
        <v>2.1247222131556542</v>
      </c>
      <c r="CB43" s="72">
        <f t="shared" ca="1" si="149"/>
        <v>6.1319370672039657</v>
      </c>
      <c r="CC43" s="72">
        <f t="shared" ca="1" si="150"/>
        <v>2.1247222131556542</v>
      </c>
      <c r="CD43" s="72">
        <f t="shared" ca="1" si="151"/>
        <v>3.4147839501974717</v>
      </c>
      <c r="CE43" s="72">
        <f t="shared" ca="1" si="152"/>
        <v>9.2023622069291555</v>
      </c>
      <c r="CF43" s="72">
        <f t="shared" ca="1" si="153"/>
        <v>3.4147839501974717</v>
      </c>
      <c r="CG43" s="72">
        <f t="shared" ca="1" si="154"/>
        <v>1.8347995264662447</v>
      </c>
    </row>
    <row r="44" spans="1:85" x14ac:dyDescent="0.25">
      <c r="A44" t="str">
        <f t="shared" si="74"/>
        <v>S. Swärdborn</v>
      </c>
      <c r="B44">
        <f t="shared" si="74"/>
        <v>22</v>
      </c>
      <c r="C44" s="50">
        <f t="shared" ca="1" si="74"/>
        <v>21</v>
      </c>
      <c r="D44" t="str">
        <f t="shared" si="74"/>
        <v>IMP</v>
      </c>
      <c r="E44" s="207">
        <f t="shared" si="74"/>
        <v>43884</v>
      </c>
      <c r="F44" s="153">
        <f t="shared" ca="1" si="75"/>
        <v>0.60947395205809318</v>
      </c>
      <c r="G44" s="154">
        <f t="shared" si="76"/>
        <v>4.7</v>
      </c>
      <c r="H44" s="49">
        <f t="shared" si="77"/>
        <v>0</v>
      </c>
      <c r="I44" s="49">
        <f t="shared" si="78"/>
        <v>12</v>
      </c>
      <c r="J44" s="49">
        <f t="shared" si="79"/>
        <v>7</v>
      </c>
      <c r="K44" s="49">
        <f t="shared" si="80"/>
        <v>1</v>
      </c>
      <c r="L44" s="49">
        <f t="shared" si="81"/>
        <v>3</v>
      </c>
      <c r="M44" s="49">
        <f t="shared" si="82"/>
        <v>6</v>
      </c>
      <c r="N44" s="49">
        <f t="shared" si="83"/>
        <v>15.333333333333334</v>
      </c>
      <c r="O44" s="154">
        <f t="shared" si="84"/>
        <v>2.625</v>
      </c>
      <c r="P44" s="154">
        <f t="shared" ca="1" si="85"/>
        <v>14.120719122098967</v>
      </c>
      <c r="Q44" s="154">
        <f t="shared" si="86"/>
        <v>0.76</v>
      </c>
      <c r="R44" s="154">
        <f t="shared" si="87"/>
        <v>0.94000000000000006</v>
      </c>
      <c r="S44" s="154">
        <f t="shared" ca="1" si="88"/>
        <v>16.908661516561715</v>
      </c>
      <c r="T44" s="72">
        <f t="shared" ca="1" si="89"/>
        <v>4.6263926667838913</v>
      </c>
      <c r="U44" s="72">
        <f t="shared" ca="1" si="90"/>
        <v>7.0437353182336793</v>
      </c>
      <c r="V44" s="72">
        <f t="shared" ca="1" si="91"/>
        <v>4.6263926667838913</v>
      </c>
      <c r="W44" s="72">
        <f t="shared" ca="1" si="92"/>
        <v>6.9688918855217494</v>
      </c>
      <c r="X44" s="72">
        <f t="shared" ca="1" si="93"/>
        <v>13.505604429305716</v>
      </c>
      <c r="Y44" s="72">
        <f t="shared" ca="1" si="94"/>
        <v>3.4844459427608747</v>
      </c>
      <c r="Z44" s="72">
        <f t="shared" ca="1" si="95"/>
        <v>2.0243338541747602</v>
      </c>
      <c r="AA44" s="72">
        <f t="shared" ca="1" si="96"/>
        <v>5.1051184742775604</v>
      </c>
      <c r="AB44" s="72">
        <f t="shared" ca="1" si="97"/>
        <v>9.764552002388033</v>
      </c>
      <c r="AC44" s="72">
        <f t="shared" ca="1" si="98"/>
        <v>2.5525592371387802</v>
      </c>
      <c r="AD44" s="72">
        <f t="shared" ca="1" si="99"/>
        <v>3.2746577052827006</v>
      </c>
      <c r="AE44" s="245">
        <f t="shared" ca="1" si="100"/>
        <v>12.42515607496126</v>
      </c>
      <c r="AF44" s="72">
        <f t="shared" ca="1" si="101"/>
        <v>5.5913202337325663</v>
      </c>
      <c r="AG44" s="72">
        <f t="shared" ca="1" si="102"/>
        <v>1.4204359396940547</v>
      </c>
      <c r="AH44" s="245">
        <f t="shared" ca="1" si="103"/>
        <v>1.4732954044317614</v>
      </c>
      <c r="AI44" s="72">
        <f t="shared" ca="1" si="104"/>
        <v>10.18322573969651</v>
      </c>
      <c r="AJ44" s="72">
        <f t="shared" ca="1" si="105"/>
        <v>9.5619679359484469</v>
      </c>
      <c r="AK44" s="72">
        <f t="shared" ca="1" si="106"/>
        <v>2.812102606360722</v>
      </c>
      <c r="AL44" s="72">
        <f t="shared" ca="1" si="107"/>
        <v>1.1896140756400462</v>
      </c>
      <c r="AM44" s="72">
        <f t="shared" ca="1" si="108"/>
        <v>3.6465131959125436</v>
      </c>
      <c r="AN44" s="72">
        <f t="shared" ca="1" si="109"/>
        <v>8.0223290310075956</v>
      </c>
      <c r="AO44" s="72">
        <f t="shared" ca="1" si="110"/>
        <v>1.8232565979562718</v>
      </c>
      <c r="AP44" s="72">
        <f t="shared" ca="1" si="111"/>
        <v>8.0292905812645952</v>
      </c>
      <c r="AQ44" s="72">
        <f t="shared" ca="1" si="112"/>
        <v>0.58572857580974313</v>
      </c>
      <c r="AR44" s="72">
        <f t="shared" ca="1" si="113"/>
        <v>1.8391420977865747</v>
      </c>
      <c r="AS44" s="72">
        <f t="shared" ca="1" si="114"/>
        <v>0.29286428790487157</v>
      </c>
      <c r="AT44" s="72">
        <f t="shared" ca="1" si="115"/>
        <v>2.5525592371387802</v>
      </c>
      <c r="AU44" s="72">
        <f t="shared" ca="1" si="116"/>
        <v>5.402241771722287</v>
      </c>
      <c r="AV44" s="72">
        <f t="shared" ca="1" si="117"/>
        <v>1.2762796185693901</v>
      </c>
      <c r="AW44" s="72">
        <f t="shared" ca="1" si="118"/>
        <v>8.5056044293057163</v>
      </c>
      <c r="AX44" s="72">
        <f t="shared" ca="1" si="119"/>
        <v>1.1399179206143462</v>
      </c>
      <c r="AY44" s="72">
        <f t="shared" ca="1" si="120"/>
        <v>3.1125880405474495</v>
      </c>
      <c r="AZ44" s="72">
        <f t="shared" ca="1" si="121"/>
        <v>0.56995896030717308</v>
      </c>
      <c r="BA44" s="72">
        <f t="shared" ca="1" si="122"/>
        <v>3.9301308889279634</v>
      </c>
      <c r="BB44" s="72">
        <f t="shared" ca="1" si="123"/>
        <v>4.699950341398389</v>
      </c>
      <c r="BC44" s="72">
        <f t="shared" ca="1" si="124"/>
        <v>7.4934375022183364</v>
      </c>
      <c r="BD44" s="72">
        <f t="shared" ca="1" si="125"/>
        <v>2.8574823376527818</v>
      </c>
      <c r="BE44" s="72">
        <f t="shared" ca="1" si="126"/>
        <v>1.0858506674626776</v>
      </c>
      <c r="BF44" s="72">
        <f t="shared" ca="1" si="127"/>
        <v>6.550218148213272</v>
      </c>
      <c r="BG44" s="72">
        <f t="shared" ca="1" si="128"/>
        <v>3.5654795693367092</v>
      </c>
      <c r="BH44" s="72">
        <f t="shared" ca="1" si="129"/>
        <v>3.2406352875654778</v>
      </c>
      <c r="BI44" s="72">
        <f t="shared" ca="1" si="130"/>
        <v>2.5918982712131964</v>
      </c>
      <c r="BJ44" s="72">
        <f t="shared" ca="1" si="131"/>
        <v>0.23429143032389724</v>
      </c>
      <c r="BK44" s="72">
        <f t="shared" ca="1" si="132"/>
        <v>2.4310087972750289</v>
      </c>
      <c r="BL44" s="72">
        <f t="shared" ca="1" si="133"/>
        <v>0.91838110119278882</v>
      </c>
      <c r="BM44" s="72">
        <f t="shared" ca="1" si="134"/>
        <v>2.5942093509382436</v>
      </c>
      <c r="BN44" s="72">
        <f t="shared" ca="1" si="135"/>
        <v>3.7942072960871513</v>
      </c>
      <c r="BO44" s="72">
        <f t="shared" ca="1" si="136"/>
        <v>0.60825659795627174</v>
      </c>
      <c r="BP44" s="72">
        <f t="shared" ca="1" si="137"/>
        <v>3.8355916579228229</v>
      </c>
      <c r="BQ44" s="72">
        <f t="shared" ca="1" si="138"/>
        <v>3.2953674807505946</v>
      </c>
      <c r="BR44" s="72">
        <f t="shared" ca="1" si="139"/>
        <v>3.8700500153341011</v>
      </c>
      <c r="BS44" s="72">
        <f t="shared" ca="1" si="140"/>
        <v>3.2642097076707337</v>
      </c>
      <c r="BT44" s="72">
        <f t="shared" ca="1" si="141"/>
        <v>0.54517813594599163</v>
      </c>
      <c r="BU44" s="72">
        <f t="shared" ca="1" si="142"/>
        <v>3.8355916579228229</v>
      </c>
      <c r="BV44" s="72">
        <f t="shared" ca="1" si="143"/>
        <v>3.2953674807505946</v>
      </c>
      <c r="BW44" s="72">
        <f t="shared" ca="1" si="144"/>
        <v>5.3670363948919073</v>
      </c>
      <c r="BX44" s="72">
        <f t="shared" ca="1" si="145"/>
        <v>2.6285159642286162</v>
      </c>
      <c r="BY44" s="72">
        <f t="shared" ca="1" si="146"/>
        <v>0.66682945553724593</v>
      </c>
      <c r="BZ44" s="72">
        <f t="shared" ca="1" si="147"/>
        <v>3.4532753982981212</v>
      </c>
      <c r="CA44" s="72">
        <f t="shared" ca="1" si="148"/>
        <v>2.4404199076682782</v>
      </c>
      <c r="CB44" s="72">
        <f t="shared" ca="1" si="149"/>
        <v>6.8223105873982366</v>
      </c>
      <c r="CC44" s="72">
        <f t="shared" ca="1" si="150"/>
        <v>2.4404199076682782</v>
      </c>
      <c r="CD44" s="72">
        <f t="shared" ca="1" si="151"/>
        <v>3.2465283319223577</v>
      </c>
      <c r="CE44" s="72">
        <f t="shared" ca="1" si="152"/>
        <v>9.1681724637195252</v>
      </c>
      <c r="CF44" s="72">
        <f t="shared" ca="1" si="153"/>
        <v>3.2465283319223577</v>
      </c>
      <c r="CG44" s="72">
        <f t="shared" ca="1" si="154"/>
        <v>2.1264011073264291</v>
      </c>
    </row>
    <row r="45" spans="1:85" x14ac:dyDescent="0.25">
      <c r="A45" t="str">
        <f t="shared" si="74"/>
        <v>A. Grimaud</v>
      </c>
      <c r="B45">
        <f t="shared" si="74"/>
        <v>22</v>
      </c>
      <c r="C45" s="50">
        <f t="shared" ca="1" si="74"/>
        <v>44</v>
      </c>
      <c r="D45" t="str">
        <f t="shared" si="74"/>
        <v>RAP</v>
      </c>
      <c r="E45" s="207">
        <f t="shared" si="74"/>
        <v>43739</v>
      </c>
      <c r="F45" s="153">
        <f t="shared" ca="1" si="75"/>
        <v>0.93003751159816417</v>
      </c>
      <c r="G45" s="154">
        <f t="shared" si="76"/>
        <v>4.7</v>
      </c>
      <c r="H45" s="49">
        <f t="shared" si="77"/>
        <v>0</v>
      </c>
      <c r="I45" s="49">
        <f t="shared" si="78"/>
        <v>12</v>
      </c>
      <c r="J45" s="49">
        <f t="shared" si="79"/>
        <v>7</v>
      </c>
      <c r="K45" s="49">
        <f t="shared" si="80"/>
        <v>3</v>
      </c>
      <c r="L45" s="49">
        <f t="shared" si="81"/>
        <v>3</v>
      </c>
      <c r="M45" s="49">
        <f t="shared" si="82"/>
        <v>5</v>
      </c>
      <c r="N45" s="49">
        <f t="shared" si="83"/>
        <v>14.333333333333334</v>
      </c>
      <c r="O45" s="154">
        <f t="shared" si="84"/>
        <v>2.625</v>
      </c>
      <c r="P45" s="154">
        <f t="shared" ca="1" si="85"/>
        <v>12.619164588682525</v>
      </c>
      <c r="Q45" s="154">
        <f t="shared" si="86"/>
        <v>0.67999999999999994</v>
      </c>
      <c r="R45" s="154">
        <f t="shared" si="87"/>
        <v>0.91000000000000014</v>
      </c>
      <c r="S45" s="154">
        <f t="shared" ca="1" si="88"/>
        <v>16.174374993104024</v>
      </c>
      <c r="T45" s="72">
        <f t="shared" ca="1" si="89"/>
        <v>4.9062446542623732</v>
      </c>
      <c r="U45" s="72">
        <f t="shared" ca="1" si="90"/>
        <v>7.457582873599911</v>
      </c>
      <c r="V45" s="72">
        <f t="shared" ca="1" si="91"/>
        <v>4.9062446542623732</v>
      </c>
      <c r="W45" s="72">
        <f t="shared" ca="1" si="92"/>
        <v>7.1343026822444262</v>
      </c>
      <c r="X45" s="72">
        <f t="shared" ca="1" si="93"/>
        <v>13.826167988845787</v>
      </c>
      <c r="Y45" s="72">
        <f t="shared" ca="1" si="94"/>
        <v>3.5671513411222131</v>
      </c>
      <c r="Z45" s="72">
        <f t="shared" ca="1" si="95"/>
        <v>2.1006279813452973</v>
      </c>
      <c r="AA45" s="72">
        <f t="shared" ca="1" si="96"/>
        <v>5.2262914997837076</v>
      </c>
      <c r="AB45" s="72">
        <f t="shared" ca="1" si="97"/>
        <v>9.9963194559355042</v>
      </c>
      <c r="AC45" s="72">
        <f t="shared" ca="1" si="98"/>
        <v>2.6131457498918538</v>
      </c>
      <c r="AD45" s="72">
        <f t="shared" ca="1" si="99"/>
        <v>3.3980746757056282</v>
      </c>
      <c r="AE45" s="245">
        <f t="shared" ca="1" si="100"/>
        <v>12.720074549738126</v>
      </c>
      <c r="AF45" s="72">
        <f t="shared" ca="1" si="101"/>
        <v>5.724033547382156</v>
      </c>
      <c r="AG45" s="72">
        <f t="shared" ca="1" si="102"/>
        <v>1.4739700541372465</v>
      </c>
      <c r="AH45" s="245">
        <f t="shared" ca="1" si="103"/>
        <v>2.8377867774413228</v>
      </c>
      <c r="AI45" s="72">
        <f t="shared" ca="1" si="104"/>
        <v>10.424930663589723</v>
      </c>
      <c r="AJ45" s="72">
        <f t="shared" ca="1" si="105"/>
        <v>9.7889269361028166</v>
      </c>
      <c r="AK45" s="72">
        <f t="shared" ca="1" si="106"/>
        <v>2.6986367208039135</v>
      </c>
      <c r="AL45" s="72">
        <f t="shared" ca="1" si="107"/>
        <v>1.2819363807875868</v>
      </c>
      <c r="AM45" s="72">
        <f t="shared" ca="1" si="108"/>
        <v>3.7330653569883627</v>
      </c>
      <c r="AN45" s="72">
        <f t="shared" ca="1" si="109"/>
        <v>8.2127437853743981</v>
      </c>
      <c r="AO45" s="72">
        <f t="shared" ca="1" si="110"/>
        <v>1.8665326784941814</v>
      </c>
      <c r="AP45" s="72">
        <f t="shared" ca="1" si="111"/>
        <v>8.3319025814704233</v>
      </c>
      <c r="AQ45" s="72">
        <f t="shared" ca="1" si="112"/>
        <v>0.62740183854995235</v>
      </c>
      <c r="AR45" s="72">
        <f t="shared" ca="1" si="113"/>
        <v>1.7600672207318158</v>
      </c>
      <c r="AS45" s="72">
        <f t="shared" ca="1" si="114"/>
        <v>0.31370091927497618</v>
      </c>
      <c r="AT45" s="72">
        <f t="shared" ca="1" si="115"/>
        <v>2.6131457498918538</v>
      </c>
      <c r="AU45" s="72">
        <f t="shared" ca="1" si="116"/>
        <v>5.5304671955383151</v>
      </c>
      <c r="AV45" s="72">
        <f t="shared" ca="1" si="117"/>
        <v>1.3065728749459269</v>
      </c>
      <c r="AW45" s="72">
        <f t="shared" ca="1" si="118"/>
        <v>8.8261679888457873</v>
      </c>
      <c r="AX45" s="72">
        <f t="shared" ca="1" si="119"/>
        <v>1.2210205011779842</v>
      </c>
      <c r="AY45" s="72">
        <f t="shared" ca="1" si="120"/>
        <v>3.0792185618540291</v>
      </c>
      <c r="AZ45" s="72">
        <f t="shared" ca="1" si="121"/>
        <v>0.61051025058899211</v>
      </c>
      <c r="BA45" s="72">
        <f t="shared" ca="1" si="122"/>
        <v>4.023414884754124</v>
      </c>
      <c r="BB45" s="72">
        <f t="shared" ca="1" si="123"/>
        <v>4.8115064601183333</v>
      </c>
      <c r="BC45" s="72">
        <f t="shared" ca="1" si="124"/>
        <v>7.7758539981731385</v>
      </c>
      <c r="BD45" s="72">
        <f t="shared" ca="1" si="125"/>
        <v>4.2904633420839051</v>
      </c>
      <c r="BE45" s="72">
        <f t="shared" ca="1" si="126"/>
        <v>1.1631064853118347</v>
      </c>
      <c r="BF45" s="72">
        <f t="shared" ca="1" si="127"/>
        <v>6.705691474590207</v>
      </c>
      <c r="BG45" s="72">
        <f t="shared" ca="1" si="128"/>
        <v>3.6501083490552881</v>
      </c>
      <c r="BH45" s="72">
        <f t="shared" ca="1" si="129"/>
        <v>3.3627700037502448</v>
      </c>
      <c r="BI45" s="72">
        <f t="shared" ca="1" si="130"/>
        <v>4.2180708222512182</v>
      </c>
      <c r="BJ45" s="72">
        <f t="shared" ca="1" si="131"/>
        <v>0.25096073541998093</v>
      </c>
      <c r="BK45" s="72">
        <f t="shared" ca="1" si="132"/>
        <v>2.4887102379922417</v>
      </c>
      <c r="BL45" s="72">
        <f t="shared" ca="1" si="133"/>
        <v>0.9401794232415136</v>
      </c>
      <c r="BM45" s="72">
        <f t="shared" ca="1" si="134"/>
        <v>2.691981236597965</v>
      </c>
      <c r="BN45" s="72">
        <f t="shared" ca="1" si="135"/>
        <v>6.2064520336556823</v>
      </c>
      <c r="BO45" s="72">
        <f t="shared" ca="1" si="136"/>
        <v>0.65153267849418128</v>
      </c>
      <c r="BP45" s="72">
        <f t="shared" ca="1" si="137"/>
        <v>3.9266317088322031</v>
      </c>
      <c r="BQ45" s="72">
        <f t="shared" ca="1" si="138"/>
        <v>3.3735849892783722</v>
      </c>
      <c r="BR45" s="72">
        <f t="shared" ca="1" si="139"/>
        <v>4.0159064349248332</v>
      </c>
      <c r="BS45" s="72">
        <f t="shared" ca="1" si="140"/>
        <v>5.3473941316411331</v>
      </c>
      <c r="BT45" s="72">
        <f t="shared" ca="1" si="141"/>
        <v>0.58396632665034021</v>
      </c>
      <c r="BU45" s="72">
        <f t="shared" ca="1" si="142"/>
        <v>3.9266317088322031</v>
      </c>
      <c r="BV45" s="72">
        <f t="shared" ca="1" si="143"/>
        <v>3.3735849892783722</v>
      </c>
      <c r="BW45" s="72">
        <f t="shared" ca="1" si="144"/>
        <v>5.5693120009616921</v>
      </c>
      <c r="BX45" s="72">
        <f t="shared" ca="1" si="145"/>
        <v>4.3194203500169799</v>
      </c>
      <c r="BY45" s="72">
        <f t="shared" ca="1" si="146"/>
        <v>0.71427286234917653</v>
      </c>
      <c r="BZ45" s="72">
        <f t="shared" ca="1" si="147"/>
        <v>3.5834242034713899</v>
      </c>
      <c r="CA45" s="72">
        <f t="shared" ca="1" si="148"/>
        <v>2.7684335221886553</v>
      </c>
      <c r="CB45" s="72">
        <f t="shared" ca="1" si="149"/>
        <v>6.600265155440356</v>
      </c>
      <c r="CC45" s="72">
        <f t="shared" ca="1" si="150"/>
        <v>2.7684335221886553</v>
      </c>
      <c r="CD45" s="72">
        <f t="shared" ca="1" si="151"/>
        <v>3.5448929040354029</v>
      </c>
      <c r="CE45" s="72">
        <f t="shared" ca="1" si="152"/>
        <v>8.6070239767298826</v>
      </c>
      <c r="CF45" s="72">
        <f t="shared" ca="1" si="153"/>
        <v>3.5448929040354029</v>
      </c>
      <c r="CG45" s="72">
        <f t="shared" ca="1" si="154"/>
        <v>2.2065419972114468</v>
      </c>
    </row>
    <row r="46" spans="1:85" x14ac:dyDescent="0.25">
      <c r="A46" t="str">
        <f t="shared" si="74"/>
        <v>V. Gardner</v>
      </c>
      <c r="B46">
        <f t="shared" si="74"/>
        <v>22</v>
      </c>
      <c r="C46" s="50">
        <f t="shared" ca="1" si="74"/>
        <v>33</v>
      </c>
      <c r="D46">
        <f t="shared" si="74"/>
        <v>0</v>
      </c>
      <c r="E46" s="207">
        <f t="shared" si="74"/>
        <v>43756</v>
      </c>
      <c r="F46" s="153">
        <f t="shared" ca="1" si="75"/>
        <v>0.89595496648943951</v>
      </c>
      <c r="G46" s="154">
        <f t="shared" si="76"/>
        <v>3.7</v>
      </c>
      <c r="H46" s="49">
        <f t="shared" si="77"/>
        <v>0</v>
      </c>
      <c r="I46" s="49">
        <f t="shared" si="78"/>
        <v>12</v>
      </c>
      <c r="J46" s="49">
        <f t="shared" si="79"/>
        <v>5</v>
      </c>
      <c r="K46" s="49">
        <f t="shared" si="80"/>
        <v>3</v>
      </c>
      <c r="L46" s="49">
        <f t="shared" si="81"/>
        <v>5</v>
      </c>
      <c r="M46" s="49">
        <f t="shared" si="82"/>
        <v>6</v>
      </c>
      <c r="N46" s="49">
        <f t="shared" si="83"/>
        <v>16</v>
      </c>
      <c r="O46" s="154">
        <f t="shared" si="84"/>
        <v>3.125</v>
      </c>
      <c r="P46" s="154">
        <f t="shared" ca="1" si="85"/>
        <v>14.814361556192411</v>
      </c>
      <c r="Q46" s="154">
        <f t="shared" si="86"/>
        <v>0.78</v>
      </c>
      <c r="R46" s="154">
        <f t="shared" si="87"/>
        <v>0.96000000000000019</v>
      </c>
      <c r="S46" s="154">
        <f t="shared" ca="1" si="88"/>
        <v>17.675350578384947</v>
      </c>
      <c r="T46" s="72">
        <f t="shared" ca="1" si="89"/>
        <v>4.7555554925592629</v>
      </c>
      <c r="U46" s="72">
        <f t="shared" ca="1" si="90"/>
        <v>7.2347424294318534</v>
      </c>
      <c r="V46" s="72">
        <f t="shared" ca="1" si="91"/>
        <v>4.7555554925592629</v>
      </c>
      <c r="W46" s="72">
        <f t="shared" ca="1" si="92"/>
        <v>7.0452355488666427</v>
      </c>
      <c r="X46" s="72">
        <f t="shared" ca="1" si="93"/>
        <v>13.653557265245432</v>
      </c>
      <c r="Y46" s="72">
        <f t="shared" ca="1" si="94"/>
        <v>3.5226177744333214</v>
      </c>
      <c r="Z46" s="72">
        <f t="shared" ca="1" si="95"/>
        <v>1.583546629128413</v>
      </c>
      <c r="AA46" s="72">
        <f t="shared" ca="1" si="96"/>
        <v>5.1610446462627735</v>
      </c>
      <c r="AB46" s="72">
        <f t="shared" ca="1" si="97"/>
        <v>9.8715219027724466</v>
      </c>
      <c r="AC46" s="72">
        <f t="shared" ca="1" si="98"/>
        <v>2.5805223231313867</v>
      </c>
      <c r="AD46" s="72">
        <f t="shared" ca="1" si="99"/>
        <v>2.5616195471194918</v>
      </c>
      <c r="AE46" s="245">
        <f t="shared" ca="1" si="100"/>
        <v>12.561272684025798</v>
      </c>
      <c r="AF46" s="72">
        <f t="shared" ca="1" si="101"/>
        <v>5.6525727078116086</v>
      </c>
      <c r="AG46" s="72">
        <f t="shared" ca="1" si="102"/>
        <v>1.1111440632959872</v>
      </c>
      <c r="AH46" s="245">
        <f t="shared" ca="1" si="103"/>
        <v>2.7362916719643144</v>
      </c>
      <c r="AI46" s="72">
        <f t="shared" ca="1" si="104"/>
        <v>10.294782177995057</v>
      </c>
      <c r="AJ46" s="72">
        <f t="shared" ca="1" si="105"/>
        <v>9.6667185437937651</v>
      </c>
      <c r="AK46" s="72">
        <f t="shared" ca="1" si="106"/>
        <v>2.9481440632959881</v>
      </c>
      <c r="AL46" s="72">
        <f t="shared" ca="1" si="107"/>
        <v>1.3762244923906846</v>
      </c>
      <c r="AM46" s="72">
        <f t="shared" ca="1" si="108"/>
        <v>3.6864604616162668</v>
      </c>
      <c r="AN46" s="72">
        <f t="shared" ca="1" si="109"/>
        <v>8.1102130155557859</v>
      </c>
      <c r="AO46" s="72">
        <f t="shared" ca="1" si="110"/>
        <v>1.8432302308081334</v>
      </c>
      <c r="AP46" s="72">
        <f t="shared" ca="1" si="111"/>
        <v>6.280958058391688</v>
      </c>
      <c r="AQ46" s="72">
        <f t="shared" ca="1" si="112"/>
        <v>0.86496244448190629</v>
      </c>
      <c r="AR46" s="72">
        <f t="shared" ca="1" si="113"/>
        <v>2.1224922787169116</v>
      </c>
      <c r="AS46" s="72">
        <f t="shared" ca="1" si="114"/>
        <v>0.43248122224095314</v>
      </c>
      <c r="AT46" s="72">
        <f t="shared" ca="1" si="115"/>
        <v>2.5805223231313867</v>
      </c>
      <c r="AU46" s="72">
        <f t="shared" ca="1" si="116"/>
        <v>5.4614229060981732</v>
      </c>
      <c r="AV46" s="72">
        <f t="shared" ca="1" si="117"/>
        <v>1.2902611615656934</v>
      </c>
      <c r="AW46" s="72">
        <f t="shared" ca="1" si="118"/>
        <v>6.6535572652454329</v>
      </c>
      <c r="AX46" s="72">
        <f t="shared" ca="1" si="119"/>
        <v>1.6833499881070946</v>
      </c>
      <c r="AY46" s="72">
        <f t="shared" ca="1" si="120"/>
        <v>3.8761100531502333</v>
      </c>
      <c r="AZ46" s="72">
        <f t="shared" ca="1" si="121"/>
        <v>0.84167499405354729</v>
      </c>
      <c r="BA46" s="72">
        <f t="shared" ca="1" si="122"/>
        <v>3.9731851641864204</v>
      </c>
      <c r="BB46" s="72">
        <f t="shared" ca="1" si="123"/>
        <v>4.7514379283054105</v>
      </c>
      <c r="BC46" s="72">
        <f t="shared" ca="1" si="124"/>
        <v>5.8617839506812262</v>
      </c>
      <c r="BD46" s="72">
        <f t="shared" ca="1" si="125"/>
        <v>4.7670124088031898</v>
      </c>
      <c r="BE46" s="72">
        <f t="shared" ca="1" si="126"/>
        <v>1.6035073009241492</v>
      </c>
      <c r="BF46" s="72">
        <f t="shared" ca="1" si="127"/>
        <v>6.6219752736440345</v>
      </c>
      <c r="BG46" s="72">
        <f t="shared" ca="1" si="128"/>
        <v>3.6045391180247943</v>
      </c>
      <c r="BH46" s="72">
        <f t="shared" ca="1" si="129"/>
        <v>2.5350053180585101</v>
      </c>
      <c r="BI46" s="72">
        <f t="shared" ca="1" si="130"/>
        <v>4.4692090498245083</v>
      </c>
      <c r="BJ46" s="72">
        <f t="shared" ca="1" si="131"/>
        <v>0.34598497779276249</v>
      </c>
      <c r="BK46" s="72">
        <f t="shared" ca="1" si="132"/>
        <v>2.4576403077441777</v>
      </c>
      <c r="BL46" s="72">
        <f t="shared" ca="1" si="133"/>
        <v>0.92844189403668942</v>
      </c>
      <c r="BM46" s="72">
        <f t="shared" ca="1" si="134"/>
        <v>2.029334965899857</v>
      </c>
      <c r="BN46" s="72">
        <f t="shared" ca="1" si="135"/>
        <v>6.5564746431056262</v>
      </c>
      <c r="BO46" s="72">
        <f t="shared" ca="1" si="136"/>
        <v>0.89823023080813347</v>
      </c>
      <c r="BP46" s="72">
        <f t="shared" ca="1" si="137"/>
        <v>3.8776102633297023</v>
      </c>
      <c r="BQ46" s="72">
        <f t="shared" ca="1" si="138"/>
        <v>3.3314679727198855</v>
      </c>
      <c r="BR46" s="72">
        <f t="shared" ca="1" si="139"/>
        <v>3.0273685556866723</v>
      </c>
      <c r="BS46" s="72">
        <f t="shared" ca="1" si="140"/>
        <v>5.64414144989194</v>
      </c>
      <c r="BT46" s="72">
        <f t="shared" ca="1" si="141"/>
        <v>0.80508042909469735</v>
      </c>
      <c r="BU46" s="72">
        <f t="shared" ca="1" si="142"/>
        <v>3.8776102633297023</v>
      </c>
      <c r="BV46" s="72">
        <f t="shared" ca="1" si="143"/>
        <v>3.3314679727198855</v>
      </c>
      <c r="BW46" s="72">
        <f t="shared" ca="1" si="144"/>
        <v>4.1983946343698682</v>
      </c>
      <c r="BX46" s="72">
        <f t="shared" ca="1" si="145"/>
        <v>4.5509337523946627</v>
      </c>
      <c r="BY46" s="72">
        <f t="shared" ca="1" si="146"/>
        <v>0.98472647525632406</v>
      </c>
      <c r="BZ46" s="72">
        <f t="shared" ca="1" si="147"/>
        <v>2.701344249689646</v>
      </c>
      <c r="CA46" s="72">
        <f t="shared" ca="1" si="148"/>
        <v>3.3055033351928702</v>
      </c>
      <c r="CB46" s="72">
        <f t="shared" ca="1" si="149"/>
        <v>8.0749054806663576</v>
      </c>
      <c r="CC46" s="72">
        <f t="shared" ca="1" si="150"/>
        <v>3.3055033351928702</v>
      </c>
      <c r="CD46" s="72">
        <f t="shared" ca="1" si="151"/>
        <v>3.9902178849606509</v>
      </c>
      <c r="CE46" s="72">
        <f t="shared" ca="1" si="152"/>
        <v>10.108719896120999</v>
      </c>
      <c r="CF46" s="72">
        <f t="shared" ca="1" si="153"/>
        <v>3.9902178849606509</v>
      </c>
      <c r="CG46" s="72">
        <f t="shared" ca="1" si="154"/>
        <v>1.6633893163113582</v>
      </c>
    </row>
    <row r="47" spans="1:85" x14ac:dyDescent="0.25">
      <c r="A47" t="str">
        <f t="shared" ref="A47:E56" si="155">A13</f>
        <v>S. Embe</v>
      </c>
      <c r="B47">
        <f t="shared" si="155"/>
        <v>22</v>
      </c>
      <c r="C47" s="50">
        <f t="shared" ca="1" si="155"/>
        <v>89</v>
      </c>
      <c r="D47">
        <f t="shared" si="155"/>
        <v>0</v>
      </c>
      <c r="E47" s="207">
        <f t="shared" si="155"/>
        <v>43920</v>
      </c>
      <c r="F47" s="153">
        <f t="shared" ca="1" si="75"/>
        <v>0.51462741468122808</v>
      </c>
      <c r="G47" s="154">
        <f t="shared" si="76"/>
        <v>2.5</v>
      </c>
      <c r="H47" s="49">
        <f t="shared" si="77"/>
        <v>0</v>
      </c>
      <c r="I47" s="49">
        <f t="shared" si="78"/>
        <v>11</v>
      </c>
      <c r="J47" s="49">
        <f t="shared" si="79"/>
        <v>4</v>
      </c>
      <c r="K47" s="49">
        <f t="shared" si="80"/>
        <v>1</v>
      </c>
      <c r="L47" s="49">
        <f t="shared" si="81"/>
        <v>5</v>
      </c>
      <c r="M47" s="49">
        <f t="shared" si="82"/>
        <v>6</v>
      </c>
      <c r="N47" s="49">
        <f t="shared" si="83"/>
        <v>17.333333333333332</v>
      </c>
      <c r="O47" s="154">
        <f t="shared" si="84"/>
        <v>3</v>
      </c>
      <c r="P47" s="154">
        <f t="shared" ca="1" si="85"/>
        <v>14.203256478665788</v>
      </c>
      <c r="Q47" s="154">
        <f t="shared" si="86"/>
        <v>0.82</v>
      </c>
      <c r="R47" s="154">
        <f t="shared" si="87"/>
        <v>0.96</v>
      </c>
      <c r="S47" s="154">
        <f t="shared" ca="1" si="88"/>
        <v>18.459039047274619</v>
      </c>
      <c r="T47" s="72">
        <f t="shared" ca="1" si="89"/>
        <v>3.9484719031109643</v>
      </c>
      <c r="U47" s="72">
        <f t="shared" ca="1" si="90"/>
        <v>6.0243713939475994</v>
      </c>
      <c r="V47" s="72">
        <f t="shared" ca="1" si="91"/>
        <v>3.9484719031109643</v>
      </c>
      <c r="W47" s="72">
        <f t="shared" ca="1" si="92"/>
        <v>6.2153304719418765</v>
      </c>
      <c r="X47" s="72">
        <f t="shared" ca="1" si="93"/>
        <v>12.045214092910612</v>
      </c>
      <c r="Y47" s="72">
        <f t="shared" ca="1" si="94"/>
        <v>3.1076652359709382</v>
      </c>
      <c r="Z47" s="72">
        <f t="shared" ca="1" si="95"/>
        <v>1.2007609541127255</v>
      </c>
      <c r="AA47" s="72">
        <f t="shared" ca="1" si="96"/>
        <v>4.5530909271202118</v>
      </c>
      <c r="AB47" s="72">
        <f t="shared" ca="1" si="97"/>
        <v>8.7086897891743718</v>
      </c>
      <c r="AC47" s="72">
        <f t="shared" ca="1" si="98"/>
        <v>2.2765454635601059</v>
      </c>
      <c r="AD47" s="72">
        <f t="shared" ca="1" si="99"/>
        <v>1.9424074257705854</v>
      </c>
      <c r="AE47" s="245">
        <f t="shared" ca="1" si="100"/>
        <v>11.081596965477763</v>
      </c>
      <c r="AF47" s="72">
        <f t="shared" ca="1" si="101"/>
        <v>4.9867186344649932</v>
      </c>
      <c r="AG47" s="72">
        <f t="shared" ca="1" si="102"/>
        <v>0.84255075351607212</v>
      </c>
      <c r="AH47" s="245">
        <f t="shared" ca="1" si="103"/>
        <v>1.2025858866314394</v>
      </c>
      <c r="AI47" s="72">
        <f t="shared" ca="1" si="104"/>
        <v>9.0820914260546015</v>
      </c>
      <c r="AJ47" s="72">
        <f t="shared" ca="1" si="105"/>
        <v>8.5280115777807133</v>
      </c>
      <c r="AK47" s="72">
        <f t="shared" ca="1" si="106"/>
        <v>3.0692174201827389</v>
      </c>
      <c r="AL47" s="72">
        <f t="shared" ca="1" si="107"/>
        <v>1.165021658758256</v>
      </c>
      <c r="AM47" s="72">
        <f t="shared" ca="1" si="108"/>
        <v>3.2522078050858654</v>
      </c>
      <c r="AN47" s="72">
        <f t="shared" ca="1" si="109"/>
        <v>7.1548571711889037</v>
      </c>
      <c r="AO47" s="72">
        <f t="shared" ca="1" si="110"/>
        <v>1.6261039025429327</v>
      </c>
      <c r="AP47" s="72">
        <f t="shared" ca="1" si="111"/>
        <v>4.7626821037076166</v>
      </c>
      <c r="AQ47" s="72">
        <f t="shared" ca="1" si="112"/>
        <v>0.78587783207837947</v>
      </c>
      <c r="AR47" s="72">
        <f t="shared" ca="1" si="113"/>
        <v>1.9442477292228091</v>
      </c>
      <c r="AS47" s="72">
        <f t="shared" ca="1" si="114"/>
        <v>0.39293891603918973</v>
      </c>
      <c r="AT47" s="72">
        <f t="shared" ca="1" si="115"/>
        <v>2.2765454635601059</v>
      </c>
      <c r="AU47" s="72">
        <f t="shared" ca="1" si="116"/>
        <v>4.8180856371642449</v>
      </c>
      <c r="AV47" s="72">
        <f t="shared" ca="1" si="117"/>
        <v>1.1382727317800529</v>
      </c>
      <c r="AW47" s="72">
        <f t="shared" ca="1" si="118"/>
        <v>5.0452140929106113</v>
      </c>
      <c r="AX47" s="72">
        <f t="shared" ca="1" si="119"/>
        <v>1.5294391655063846</v>
      </c>
      <c r="AY47" s="72">
        <f t="shared" ca="1" si="120"/>
        <v>3.5409129651937468</v>
      </c>
      <c r="AZ47" s="72">
        <f t="shared" ca="1" si="121"/>
        <v>0.7647195827531923</v>
      </c>
      <c r="BA47" s="72">
        <f t="shared" ca="1" si="122"/>
        <v>3.5051573010369879</v>
      </c>
      <c r="BB47" s="72">
        <f t="shared" ca="1" si="123"/>
        <v>4.1917345043328931</v>
      </c>
      <c r="BC47" s="72">
        <f t="shared" ca="1" si="124"/>
        <v>4.4448336158542485</v>
      </c>
      <c r="BD47" s="72">
        <f t="shared" ca="1" si="125"/>
        <v>3.0781953285975332</v>
      </c>
      <c r="BE47" s="72">
        <f t="shared" ca="1" si="126"/>
        <v>1.4568965963914573</v>
      </c>
      <c r="BF47" s="72">
        <f t="shared" ca="1" si="127"/>
        <v>5.8419288350616467</v>
      </c>
      <c r="BG47" s="72">
        <f t="shared" ca="1" si="128"/>
        <v>3.1799365205284018</v>
      </c>
      <c r="BH47" s="72">
        <f t="shared" ca="1" si="129"/>
        <v>1.9222265693989429</v>
      </c>
      <c r="BI47" s="72">
        <f t="shared" ca="1" si="130"/>
        <v>2.5915171172038742</v>
      </c>
      <c r="BJ47" s="72">
        <f t="shared" ca="1" si="131"/>
        <v>0.3143511328313518</v>
      </c>
      <c r="BK47" s="72">
        <f t="shared" ca="1" si="132"/>
        <v>2.1681385367239101</v>
      </c>
      <c r="BL47" s="72">
        <f t="shared" ca="1" si="133"/>
        <v>0.81907455831792164</v>
      </c>
      <c r="BM47" s="72">
        <f t="shared" ca="1" si="134"/>
        <v>1.5387902983377364</v>
      </c>
      <c r="BN47" s="72">
        <f t="shared" ca="1" si="135"/>
        <v>3.774145323483046</v>
      </c>
      <c r="BO47" s="72">
        <f t="shared" ca="1" si="136"/>
        <v>0.81610390254293252</v>
      </c>
      <c r="BP47" s="72">
        <f t="shared" ca="1" si="137"/>
        <v>3.4208408023866137</v>
      </c>
      <c r="BQ47" s="72">
        <f t="shared" ca="1" si="138"/>
        <v>2.9390322386701895</v>
      </c>
      <c r="BR47" s="72">
        <f t="shared" ca="1" si="139"/>
        <v>2.2955724122743284</v>
      </c>
      <c r="BS47" s="72">
        <f t="shared" ca="1" si="140"/>
        <v>3.2420972149449572</v>
      </c>
      <c r="BT47" s="72">
        <f t="shared" ca="1" si="141"/>
        <v>0.73147090524218394</v>
      </c>
      <c r="BU47" s="72">
        <f t="shared" ca="1" si="142"/>
        <v>3.4208408023866137</v>
      </c>
      <c r="BV47" s="72">
        <f t="shared" ca="1" si="143"/>
        <v>2.9390322386701895</v>
      </c>
      <c r="BW47" s="72">
        <f t="shared" ca="1" si="144"/>
        <v>3.1835300926265959</v>
      </c>
      <c r="BX47" s="72">
        <f t="shared" ca="1" si="145"/>
        <v>2.6024666131549967</v>
      </c>
      <c r="BY47" s="72">
        <f t="shared" ca="1" si="146"/>
        <v>0.8946916857507704</v>
      </c>
      <c r="BZ47" s="72">
        <f t="shared" ca="1" si="147"/>
        <v>2.0483569217217084</v>
      </c>
      <c r="CA47" s="72">
        <f t="shared" ca="1" si="148"/>
        <v>2.7005565424064284</v>
      </c>
      <c r="CB47" s="72">
        <f t="shared" ca="1" si="149"/>
        <v>7.3899110686173479</v>
      </c>
      <c r="CC47" s="72">
        <f t="shared" ca="1" si="150"/>
        <v>2.7005565424064284</v>
      </c>
      <c r="CD47" s="72">
        <f t="shared" ca="1" si="151"/>
        <v>3.2683652520661917</v>
      </c>
      <c r="CE47" s="72">
        <f t="shared" ca="1" si="152"/>
        <v>9.2758980931946269</v>
      </c>
      <c r="CF47" s="72">
        <f t="shared" ca="1" si="153"/>
        <v>3.2683652520661917</v>
      </c>
      <c r="CG47" s="72">
        <f t="shared" ca="1" si="154"/>
        <v>1.2613035232276528</v>
      </c>
    </row>
    <row r="48" spans="1:85" x14ac:dyDescent="0.25">
      <c r="A48" t="str">
        <f t="shared" si="155"/>
        <v>E. Deus</v>
      </c>
      <c r="B48">
        <f t="shared" si="155"/>
        <v>21</v>
      </c>
      <c r="C48" s="50">
        <f t="shared" ca="1" si="155"/>
        <v>72</v>
      </c>
      <c r="D48" t="str">
        <f t="shared" si="155"/>
        <v>IMP</v>
      </c>
      <c r="E48" s="207">
        <f t="shared" si="155"/>
        <v>43898</v>
      </c>
      <c r="F48" s="153">
        <f t="shared" ca="1" si="75"/>
        <v>0.57364484417316941</v>
      </c>
      <c r="G48" s="154">
        <f t="shared" si="76"/>
        <v>3.9</v>
      </c>
      <c r="H48" s="49">
        <f t="shared" si="77"/>
        <v>0</v>
      </c>
      <c r="I48" s="49">
        <f t="shared" si="78"/>
        <v>11</v>
      </c>
      <c r="J48" s="49">
        <f t="shared" si="79"/>
        <v>7</v>
      </c>
      <c r="K48" s="49">
        <f t="shared" si="80"/>
        <v>1</v>
      </c>
      <c r="L48" s="49">
        <f t="shared" si="81"/>
        <v>6</v>
      </c>
      <c r="M48" s="49">
        <f t="shared" si="82"/>
        <v>5</v>
      </c>
      <c r="N48" s="49">
        <f t="shared" si="83"/>
        <v>15.333333333333334</v>
      </c>
      <c r="O48" s="154">
        <f t="shared" si="84"/>
        <v>3.25</v>
      </c>
      <c r="P48" s="154">
        <f t="shared" ca="1" si="85"/>
        <v>12.142758814327459</v>
      </c>
      <c r="Q48" s="154">
        <f t="shared" si="86"/>
        <v>0.71</v>
      </c>
      <c r="R48" s="154">
        <f t="shared" si="87"/>
        <v>0.9</v>
      </c>
      <c r="S48" s="154">
        <f t="shared" ca="1" si="88"/>
        <v>16.769217945578799</v>
      </c>
      <c r="T48" s="72">
        <f t="shared" ca="1" si="89"/>
        <v>4.2247911515420231</v>
      </c>
      <c r="U48" s="72">
        <f t="shared" ca="1" si="90"/>
        <v>6.4329947040558428</v>
      </c>
      <c r="V48" s="72">
        <f t="shared" ca="1" si="91"/>
        <v>4.2247911515420231</v>
      </c>
      <c r="W48" s="72">
        <f t="shared" ca="1" si="92"/>
        <v>6.3786531892275882</v>
      </c>
      <c r="X48" s="72">
        <f t="shared" ca="1" si="93"/>
        <v>12.36173098687517</v>
      </c>
      <c r="Y48" s="72">
        <f t="shared" ca="1" si="94"/>
        <v>3.1893265946137941</v>
      </c>
      <c r="Z48" s="72">
        <f t="shared" ca="1" si="95"/>
        <v>1.99009197487629</v>
      </c>
      <c r="AA48" s="72">
        <f t="shared" ca="1" si="96"/>
        <v>4.6727343130388146</v>
      </c>
      <c r="AB48" s="72">
        <f t="shared" ca="1" si="97"/>
        <v>8.9375315035107477</v>
      </c>
      <c r="AC48" s="72">
        <f t="shared" ca="1" si="98"/>
        <v>2.3363671565194073</v>
      </c>
      <c r="AD48" s="72">
        <f t="shared" ca="1" si="99"/>
        <v>3.2192664299469396</v>
      </c>
      <c r="AE48" s="245">
        <f t="shared" ca="1" si="100"/>
        <v>11.372792507925157</v>
      </c>
      <c r="AF48" s="72">
        <f t="shared" ca="1" si="101"/>
        <v>5.1177566285663199</v>
      </c>
      <c r="AG48" s="72">
        <f t="shared" ca="1" si="102"/>
        <v>1.396409074808153</v>
      </c>
      <c r="AH48" s="245">
        <f t="shared" ca="1" si="103"/>
        <v>1.388697820282599</v>
      </c>
      <c r="AI48" s="72">
        <f t="shared" ca="1" si="104"/>
        <v>9.3207451641038777</v>
      </c>
      <c r="AJ48" s="72">
        <f t="shared" ca="1" si="105"/>
        <v>8.7521055387076192</v>
      </c>
      <c r="AK48" s="72">
        <f t="shared" ca="1" si="106"/>
        <v>2.7880757414748198</v>
      </c>
      <c r="AL48" s="72">
        <f t="shared" ca="1" si="107"/>
        <v>1.3281785242200483</v>
      </c>
      <c r="AM48" s="72">
        <f t="shared" ca="1" si="108"/>
        <v>3.3376673664562961</v>
      </c>
      <c r="AN48" s="72">
        <f t="shared" ca="1" si="109"/>
        <v>7.3428682062038506</v>
      </c>
      <c r="AO48" s="72">
        <f t="shared" ca="1" si="110"/>
        <v>1.6688336832281481</v>
      </c>
      <c r="AP48" s="72">
        <f t="shared" ca="1" si="111"/>
        <v>7.8934740516101582</v>
      </c>
      <c r="AQ48" s="72">
        <f t="shared" ca="1" si="112"/>
        <v>0.9570250282937719</v>
      </c>
      <c r="AR48" s="72">
        <f t="shared" ca="1" si="113"/>
        <v>1.9839871791544241</v>
      </c>
      <c r="AS48" s="72">
        <f t="shared" ca="1" si="114"/>
        <v>0.47851251414688595</v>
      </c>
      <c r="AT48" s="72">
        <f t="shared" ca="1" si="115"/>
        <v>2.3363671565194073</v>
      </c>
      <c r="AU48" s="72">
        <f t="shared" ca="1" si="116"/>
        <v>4.9446923947500681</v>
      </c>
      <c r="AV48" s="72">
        <f t="shared" ca="1" si="117"/>
        <v>1.1681835782597036</v>
      </c>
      <c r="AW48" s="72">
        <f t="shared" ca="1" si="118"/>
        <v>8.3617309868751679</v>
      </c>
      <c r="AX48" s="72">
        <f t="shared" ca="1" si="119"/>
        <v>1.8625179396794176</v>
      </c>
      <c r="AY48" s="72">
        <f t="shared" ca="1" si="120"/>
        <v>3.8463137737682178</v>
      </c>
      <c r="AZ48" s="72">
        <f t="shared" ca="1" si="121"/>
        <v>0.93125896983970879</v>
      </c>
      <c r="BA48" s="72">
        <f t="shared" ca="1" si="122"/>
        <v>3.5972637171806743</v>
      </c>
      <c r="BB48" s="72">
        <f t="shared" ca="1" si="123"/>
        <v>4.3018823834325586</v>
      </c>
      <c r="BC48" s="72">
        <f t="shared" ca="1" si="124"/>
        <v>7.3666849994370232</v>
      </c>
      <c r="BD48" s="72">
        <f t="shared" ca="1" si="125"/>
        <v>3.6745788473320244</v>
      </c>
      <c r="BE48" s="72">
        <f t="shared" ca="1" si="126"/>
        <v>1.7741771678369154</v>
      </c>
      <c r="BF48" s="72">
        <f t="shared" ca="1" si="127"/>
        <v>5.9954395286344573</v>
      </c>
      <c r="BG48" s="72">
        <f t="shared" ca="1" si="128"/>
        <v>3.2634969805350451</v>
      </c>
      <c r="BH48" s="72">
        <f t="shared" ca="1" si="129"/>
        <v>3.1858195059994392</v>
      </c>
      <c r="BI48" s="72">
        <f t="shared" ca="1" si="130"/>
        <v>3.069152882528897</v>
      </c>
      <c r="BJ48" s="72">
        <f t="shared" ca="1" si="131"/>
        <v>0.38281001131750869</v>
      </c>
      <c r="BK48" s="72">
        <f t="shared" ca="1" si="132"/>
        <v>2.2251115776375303</v>
      </c>
      <c r="BL48" s="72">
        <f t="shared" ca="1" si="133"/>
        <v>0.84059770710751158</v>
      </c>
      <c r="BM48" s="72">
        <f t="shared" ca="1" si="134"/>
        <v>2.5503279509969263</v>
      </c>
      <c r="BN48" s="72">
        <f t="shared" ca="1" si="135"/>
        <v>4.4671860491214659</v>
      </c>
      <c r="BO48" s="72">
        <f t="shared" ca="1" si="136"/>
        <v>0.99383368322814769</v>
      </c>
      <c r="BP48" s="72">
        <f t="shared" ca="1" si="137"/>
        <v>3.5107316002725479</v>
      </c>
      <c r="BQ48" s="72">
        <f t="shared" ca="1" si="138"/>
        <v>3.0162623607975414</v>
      </c>
      <c r="BR48" s="72">
        <f t="shared" ca="1" si="139"/>
        <v>3.8045875990282014</v>
      </c>
      <c r="BS48" s="72">
        <f t="shared" ca="1" si="140"/>
        <v>3.836797933457686</v>
      </c>
      <c r="BT48" s="72">
        <f t="shared" ca="1" si="141"/>
        <v>0.89076944941189529</v>
      </c>
      <c r="BU48" s="72">
        <f t="shared" ca="1" si="142"/>
        <v>3.5107316002725479</v>
      </c>
      <c r="BV48" s="72">
        <f t="shared" ca="1" si="143"/>
        <v>3.0162623607975414</v>
      </c>
      <c r="BW48" s="72">
        <f t="shared" ca="1" si="144"/>
        <v>5.2762522527182307</v>
      </c>
      <c r="BX48" s="72">
        <f t="shared" ca="1" si="145"/>
        <v>3.0787492332532755</v>
      </c>
      <c r="BY48" s="72">
        <f t="shared" ca="1" si="146"/>
        <v>1.0895361860575248</v>
      </c>
      <c r="BZ48" s="72">
        <f t="shared" ca="1" si="147"/>
        <v>3.3948627806713185</v>
      </c>
      <c r="CA48" s="72">
        <f t="shared" ca="1" si="148"/>
        <v>2.9884618441619626</v>
      </c>
      <c r="CB48" s="72">
        <f t="shared" ca="1" si="149"/>
        <v>7.7063090912214394</v>
      </c>
      <c r="CC48" s="72">
        <f t="shared" ca="1" si="150"/>
        <v>2.9884618441619626</v>
      </c>
      <c r="CD48" s="72">
        <f t="shared" ca="1" si="151"/>
        <v>3.3322107453382062</v>
      </c>
      <c r="CE48" s="72">
        <f t="shared" ca="1" si="152"/>
        <v>9.0782097210321044</v>
      </c>
      <c r="CF48" s="72">
        <f t="shared" ca="1" si="153"/>
        <v>3.3322107453382062</v>
      </c>
      <c r="CG48" s="72">
        <f t="shared" ca="1" si="154"/>
        <v>2.090432746718792</v>
      </c>
    </row>
    <row r="49" spans="1:85" x14ac:dyDescent="0.25">
      <c r="A49" t="str">
        <f t="shared" si="155"/>
        <v>I. Vanags</v>
      </c>
      <c r="B49">
        <f t="shared" si="155"/>
        <v>22</v>
      </c>
      <c r="C49" s="50">
        <f t="shared" ca="1" si="155"/>
        <v>20</v>
      </c>
      <c r="D49" t="str">
        <f t="shared" si="155"/>
        <v>CAB</v>
      </c>
      <c r="E49" s="207">
        <f t="shared" si="155"/>
        <v>43626</v>
      </c>
      <c r="F49" s="153">
        <f t="shared" ca="1" si="75"/>
        <v>1</v>
      </c>
      <c r="G49" s="154">
        <f t="shared" si="76"/>
        <v>2.6</v>
      </c>
      <c r="H49" s="49">
        <f t="shared" si="77"/>
        <v>0</v>
      </c>
      <c r="I49" s="49">
        <f t="shared" si="78"/>
        <v>4</v>
      </c>
      <c r="J49" s="49">
        <f t="shared" si="79"/>
        <v>13</v>
      </c>
      <c r="K49" s="49">
        <f t="shared" si="80"/>
        <v>3</v>
      </c>
      <c r="L49" s="49">
        <f t="shared" si="81"/>
        <v>4</v>
      </c>
      <c r="M49" s="49">
        <f t="shared" si="82"/>
        <v>7</v>
      </c>
      <c r="N49" s="49">
        <f t="shared" si="83"/>
        <v>16.333333333333332</v>
      </c>
      <c r="O49" s="154">
        <f t="shared" si="84"/>
        <v>1.875</v>
      </c>
      <c r="P49" s="154">
        <f t="shared" ca="1" si="85"/>
        <v>16.436121465354006</v>
      </c>
      <c r="Q49" s="154">
        <f t="shared" si="86"/>
        <v>0.83999999999999986</v>
      </c>
      <c r="R49" s="154">
        <f t="shared" si="87"/>
        <v>0.65</v>
      </c>
      <c r="S49" s="154">
        <f t="shared" ca="1" si="88"/>
        <v>17.886631130627755</v>
      </c>
      <c r="T49" s="72">
        <f t="shared" ca="1" si="89"/>
        <v>2.4600289770380321</v>
      </c>
      <c r="U49" s="72">
        <f t="shared" ca="1" si="90"/>
        <v>3.7053074563071013</v>
      </c>
      <c r="V49" s="72">
        <f t="shared" ca="1" si="91"/>
        <v>2.4600289770380321</v>
      </c>
      <c r="W49" s="72">
        <f t="shared" ca="1" si="92"/>
        <v>2.865501663403923</v>
      </c>
      <c r="X49" s="72">
        <f t="shared" ca="1" si="93"/>
        <v>5.553297797294424</v>
      </c>
      <c r="Y49" s="72">
        <f t="shared" ca="1" si="94"/>
        <v>1.4327508317019615</v>
      </c>
      <c r="Z49" s="72">
        <f t="shared" ca="1" si="95"/>
        <v>3.4636848757560728</v>
      </c>
      <c r="AA49" s="72">
        <f t="shared" ca="1" si="96"/>
        <v>2.0991465673772924</v>
      </c>
      <c r="AB49" s="72">
        <f t="shared" ca="1" si="97"/>
        <v>4.0150343074438686</v>
      </c>
      <c r="AC49" s="72">
        <f t="shared" ca="1" si="98"/>
        <v>1.0495732836886462</v>
      </c>
      <c r="AD49" s="72">
        <f t="shared" ca="1" si="99"/>
        <v>5.6030196519583528</v>
      </c>
      <c r="AE49" s="245">
        <f t="shared" ca="1" si="100"/>
        <v>5.1090339735108703</v>
      </c>
      <c r="AF49" s="72">
        <f t="shared" ca="1" si="101"/>
        <v>2.2990652880798912</v>
      </c>
      <c r="AG49" s="72">
        <f t="shared" ca="1" si="102"/>
        <v>2.4304007321481689</v>
      </c>
      <c r="AH49" s="245">
        <f t="shared" ca="1" si="103"/>
        <v>2.6773391048091213</v>
      </c>
      <c r="AI49" s="72">
        <f t="shared" ca="1" si="104"/>
        <v>4.1871865391599954</v>
      </c>
      <c r="AJ49" s="72">
        <f t="shared" ca="1" si="105"/>
        <v>3.9317348404844519</v>
      </c>
      <c r="AK49" s="72">
        <f t="shared" ca="1" si="106"/>
        <v>2.9870673988148351</v>
      </c>
      <c r="AL49" s="72">
        <f t="shared" ca="1" si="107"/>
        <v>0.98734976562079402</v>
      </c>
      <c r="AM49" s="72">
        <f t="shared" ca="1" si="108"/>
        <v>1.4993904052694946</v>
      </c>
      <c r="AN49" s="72">
        <f t="shared" ca="1" si="109"/>
        <v>3.2986588915928876</v>
      </c>
      <c r="AO49" s="72">
        <f t="shared" ca="1" si="110"/>
        <v>0.74969520263474732</v>
      </c>
      <c r="AP49" s="72">
        <f t="shared" ca="1" si="111"/>
        <v>13.738313120645934</v>
      </c>
      <c r="AQ49" s="72">
        <f t="shared" ca="1" si="112"/>
        <v>0.72192871364827516</v>
      </c>
      <c r="AR49" s="72">
        <f t="shared" ca="1" si="113"/>
        <v>2.1461162546072661</v>
      </c>
      <c r="AS49" s="72">
        <f t="shared" ca="1" si="114"/>
        <v>0.36096435682413758</v>
      </c>
      <c r="AT49" s="72">
        <f t="shared" ca="1" si="115"/>
        <v>1.0495732836886462</v>
      </c>
      <c r="AU49" s="72">
        <f t="shared" ca="1" si="116"/>
        <v>2.2213191189177697</v>
      </c>
      <c r="AV49" s="72">
        <f t="shared" ca="1" si="117"/>
        <v>0.52478664184432311</v>
      </c>
      <c r="AW49" s="72">
        <f t="shared" ca="1" si="118"/>
        <v>14.553297797294423</v>
      </c>
      <c r="AX49" s="72">
        <f t="shared" ca="1" si="119"/>
        <v>1.4049843427154893</v>
      </c>
      <c r="AY49" s="72">
        <f t="shared" ca="1" si="120"/>
        <v>3.6898670863092278</v>
      </c>
      <c r="AZ49" s="72">
        <f t="shared" ca="1" si="121"/>
        <v>0.70249217135774467</v>
      </c>
      <c r="BA49" s="72">
        <f t="shared" ca="1" si="122"/>
        <v>1.6160096590126773</v>
      </c>
      <c r="BB49" s="72">
        <f t="shared" ca="1" si="123"/>
        <v>1.9325476334584595</v>
      </c>
      <c r="BC49" s="72">
        <f t="shared" ca="1" si="124"/>
        <v>12.821455359416387</v>
      </c>
      <c r="BD49" s="72">
        <f t="shared" ca="1" si="125"/>
        <v>4.3628817417947428</v>
      </c>
      <c r="BE49" s="72">
        <f t="shared" ca="1" si="126"/>
        <v>1.3383447691479562</v>
      </c>
      <c r="BF49" s="72">
        <f t="shared" ca="1" si="127"/>
        <v>2.6933494316877957</v>
      </c>
      <c r="BG49" s="72">
        <f t="shared" ca="1" si="128"/>
        <v>1.4660706184857279</v>
      </c>
      <c r="BH49" s="72">
        <f t="shared" ca="1" si="129"/>
        <v>5.5448064607691752</v>
      </c>
      <c r="BI49" s="72">
        <f t="shared" ca="1" si="130"/>
        <v>4.1805822748353272</v>
      </c>
      <c r="BJ49" s="72">
        <f t="shared" ca="1" si="131"/>
        <v>0.28877148545931003</v>
      </c>
      <c r="BK49" s="72">
        <f t="shared" ca="1" si="132"/>
        <v>0.99959360351299631</v>
      </c>
      <c r="BL49" s="72">
        <f t="shared" ca="1" si="133"/>
        <v>0.37762425021602086</v>
      </c>
      <c r="BM49" s="72">
        <f t="shared" ca="1" si="134"/>
        <v>4.4387558281747985</v>
      </c>
      <c r="BN49" s="72">
        <f t="shared" ca="1" si="135"/>
        <v>6.1415409673206289</v>
      </c>
      <c r="BO49" s="72">
        <f t="shared" ca="1" si="136"/>
        <v>0.74969520263474732</v>
      </c>
      <c r="BP49" s="72">
        <f t="shared" ca="1" si="137"/>
        <v>1.5771365744316164</v>
      </c>
      <c r="BQ49" s="72">
        <f t="shared" ca="1" si="138"/>
        <v>1.3550046625398393</v>
      </c>
      <c r="BR49" s="72">
        <f t="shared" ca="1" si="139"/>
        <v>6.6217504977689625</v>
      </c>
      <c r="BS49" s="72">
        <f t="shared" ca="1" si="140"/>
        <v>5.2890539594022217</v>
      </c>
      <c r="BT49" s="72">
        <f t="shared" ca="1" si="141"/>
        <v>0.67194903347262525</v>
      </c>
      <c r="BU49" s="72">
        <f t="shared" ca="1" si="142"/>
        <v>1.5771365744316164</v>
      </c>
      <c r="BV49" s="72">
        <f t="shared" ca="1" si="143"/>
        <v>1.3550046625398393</v>
      </c>
      <c r="BW49" s="72">
        <f t="shared" ca="1" si="144"/>
        <v>9.1831309100927818</v>
      </c>
      <c r="BX49" s="72">
        <f t="shared" ca="1" si="145"/>
        <v>4.2682015285785093</v>
      </c>
      <c r="BY49" s="72">
        <f t="shared" ca="1" si="146"/>
        <v>0.82188807399957475</v>
      </c>
      <c r="BZ49" s="72">
        <f t="shared" ca="1" si="147"/>
        <v>5.9086389057015358</v>
      </c>
      <c r="CA49" s="72">
        <f t="shared" ca="1" si="148"/>
        <v>3.1302681523903946</v>
      </c>
      <c r="CB49" s="72">
        <f t="shared" ca="1" si="149"/>
        <v>8.0020133197535213</v>
      </c>
      <c r="CC49" s="72">
        <f t="shared" ca="1" si="150"/>
        <v>3.1302681523903946</v>
      </c>
      <c r="CD49" s="72">
        <f t="shared" ca="1" si="151"/>
        <v>4.0187045277144255</v>
      </c>
      <c r="CE49" s="72">
        <f t="shared" ca="1" si="152"/>
        <v>10.602464684496066</v>
      </c>
      <c r="CF49" s="72">
        <f t="shared" ca="1" si="153"/>
        <v>4.0187045277144255</v>
      </c>
      <c r="CG49" s="72">
        <f t="shared" ca="1" si="154"/>
        <v>3.6383244493236058</v>
      </c>
    </row>
    <row r="50" spans="1:85" x14ac:dyDescent="0.25">
      <c r="A50" t="str">
        <f t="shared" si="155"/>
        <v>I. Stone</v>
      </c>
      <c r="B50">
        <f t="shared" si="155"/>
        <v>21</v>
      </c>
      <c r="C50" s="50">
        <f t="shared" ca="1" si="155"/>
        <v>75</v>
      </c>
      <c r="D50" t="str">
        <f t="shared" si="155"/>
        <v>RAP</v>
      </c>
      <c r="E50" s="207">
        <f t="shared" si="155"/>
        <v>43633</v>
      </c>
      <c r="F50" s="153">
        <f t="shared" ca="1" si="75"/>
        <v>1</v>
      </c>
      <c r="G50" s="154">
        <f t="shared" si="76"/>
        <v>3.8</v>
      </c>
      <c r="H50" s="49">
        <f t="shared" si="77"/>
        <v>0</v>
      </c>
      <c r="I50" s="49">
        <f t="shared" si="78"/>
        <v>3</v>
      </c>
      <c r="J50" s="49">
        <f t="shared" si="79"/>
        <v>12</v>
      </c>
      <c r="K50" s="49">
        <f t="shared" si="80"/>
        <v>2</v>
      </c>
      <c r="L50" s="49">
        <f t="shared" si="81"/>
        <v>6</v>
      </c>
      <c r="M50" s="49">
        <f t="shared" si="82"/>
        <v>9</v>
      </c>
      <c r="N50" s="49">
        <f t="shared" si="83"/>
        <v>15.333333333333334</v>
      </c>
      <c r="O50" s="154">
        <f t="shared" si="84"/>
        <v>2.25</v>
      </c>
      <c r="P50" s="154">
        <f t="shared" ca="1" si="85"/>
        <v>19.691762331364195</v>
      </c>
      <c r="Q50" s="154">
        <f t="shared" si="86"/>
        <v>0.90999999999999992</v>
      </c>
      <c r="R50" s="154">
        <f t="shared" si="87"/>
        <v>0.57999999999999996</v>
      </c>
      <c r="S50" s="154">
        <f t="shared" ca="1" si="88"/>
        <v>17.106378128822417</v>
      </c>
      <c r="T50" s="72">
        <f t="shared" ca="1" si="89"/>
        <v>2.3758681064619669</v>
      </c>
      <c r="U50" s="72">
        <f t="shared" ca="1" si="90"/>
        <v>3.5640008309764024</v>
      </c>
      <c r="V50" s="72">
        <f t="shared" ca="1" si="91"/>
        <v>2.3758681064619669</v>
      </c>
      <c r="W50" s="72">
        <f t="shared" ca="1" si="92"/>
        <v>2.4628911144723658</v>
      </c>
      <c r="X50" s="72">
        <f t="shared" ca="1" si="93"/>
        <v>4.7730447954890804</v>
      </c>
      <c r="Y50" s="72">
        <f t="shared" ca="1" si="94"/>
        <v>1.2314455572361829</v>
      </c>
      <c r="Z50" s="72">
        <f t="shared" ca="1" si="95"/>
        <v>3.2779846613264008</v>
      </c>
      <c r="AA50" s="72">
        <f t="shared" ca="1" si="96"/>
        <v>1.8042109326948723</v>
      </c>
      <c r="AB50" s="72">
        <f t="shared" ca="1" si="97"/>
        <v>3.4509113871386052</v>
      </c>
      <c r="AC50" s="72">
        <f t="shared" ca="1" si="98"/>
        <v>0.90210546634743616</v>
      </c>
      <c r="AD50" s="72">
        <f t="shared" ca="1" si="99"/>
        <v>5.3026222462632955</v>
      </c>
      <c r="AE50" s="245">
        <f t="shared" ca="1" si="100"/>
        <v>4.3912012118499542</v>
      </c>
      <c r="AF50" s="72">
        <f t="shared" ca="1" si="101"/>
        <v>1.9760405453324792</v>
      </c>
      <c r="AG50" s="72">
        <f t="shared" ca="1" si="102"/>
        <v>2.3000984808466765</v>
      </c>
      <c r="AH50" s="245">
        <f t="shared" ca="1" si="103"/>
        <v>2.218550339747579</v>
      </c>
      <c r="AI50" s="72">
        <f t="shared" ca="1" si="104"/>
        <v>3.5988757757987666</v>
      </c>
      <c r="AJ50" s="72">
        <f t="shared" ca="1" si="105"/>
        <v>3.3793157152062689</v>
      </c>
      <c r="AK50" s="72">
        <f t="shared" ca="1" si="106"/>
        <v>2.856765147513344</v>
      </c>
      <c r="AL50" s="72">
        <f t="shared" ca="1" si="107"/>
        <v>1.158636901100855</v>
      </c>
      <c r="AM50" s="72">
        <f t="shared" ca="1" si="108"/>
        <v>1.2887220947820519</v>
      </c>
      <c r="AN50" s="72">
        <f t="shared" ca="1" si="109"/>
        <v>2.8351886085205136</v>
      </c>
      <c r="AO50" s="72">
        <f t="shared" ca="1" si="110"/>
        <v>0.64436104739102595</v>
      </c>
      <c r="AP50" s="72">
        <f t="shared" ca="1" si="111"/>
        <v>13.00175428694169</v>
      </c>
      <c r="AQ50" s="72">
        <f t="shared" ca="1" si="112"/>
        <v>1.0104958234135806</v>
      </c>
      <c r="AR50" s="72">
        <f t="shared" ca="1" si="113"/>
        <v>2.7965021250783004</v>
      </c>
      <c r="AS50" s="72">
        <f t="shared" ca="1" si="114"/>
        <v>0.50524791170679029</v>
      </c>
      <c r="AT50" s="72">
        <f t="shared" ca="1" si="115"/>
        <v>0.90210546634743616</v>
      </c>
      <c r="AU50" s="72">
        <f t="shared" ca="1" si="116"/>
        <v>1.9092179181956324</v>
      </c>
      <c r="AV50" s="72">
        <f t="shared" ca="1" si="117"/>
        <v>0.45105273317371808</v>
      </c>
      <c r="AW50" s="72">
        <f t="shared" ca="1" si="118"/>
        <v>13.77304479548908</v>
      </c>
      <c r="AX50" s="72">
        <f t="shared" ca="1" si="119"/>
        <v>1.9665803332587373</v>
      </c>
      <c r="AY50" s="72">
        <f t="shared" ca="1" si="120"/>
        <v>4.9129476823144831</v>
      </c>
      <c r="AZ50" s="72">
        <f t="shared" ca="1" si="121"/>
        <v>0.98329016662936863</v>
      </c>
      <c r="BA50" s="72">
        <f t="shared" ca="1" si="122"/>
        <v>1.3889560354873223</v>
      </c>
      <c r="BB50" s="72">
        <f t="shared" ca="1" si="123"/>
        <v>1.6610195888302</v>
      </c>
      <c r="BC50" s="72">
        <f t="shared" ca="1" si="124"/>
        <v>12.13405246482588</v>
      </c>
      <c r="BD50" s="72">
        <f t="shared" ca="1" si="125"/>
        <v>4.6142368231897919</v>
      </c>
      <c r="BE50" s="72">
        <f t="shared" ca="1" si="126"/>
        <v>1.8733037957128684</v>
      </c>
      <c r="BF50" s="72">
        <f t="shared" ca="1" si="127"/>
        <v>2.3149267258122039</v>
      </c>
      <c r="BG50" s="72">
        <f t="shared" ca="1" si="128"/>
        <v>1.2600838260091174</v>
      </c>
      <c r="BH50" s="72">
        <f t="shared" ca="1" si="129"/>
        <v>5.247530067081339</v>
      </c>
      <c r="BI50" s="72">
        <f t="shared" ca="1" si="130"/>
        <v>4.1016411512574562</v>
      </c>
      <c r="BJ50" s="72">
        <f t="shared" ca="1" si="131"/>
        <v>0.40419832936543215</v>
      </c>
      <c r="BK50" s="72">
        <f t="shared" ca="1" si="132"/>
        <v>0.85914806318803449</v>
      </c>
      <c r="BL50" s="72">
        <f t="shared" ca="1" si="133"/>
        <v>0.32456704609325748</v>
      </c>
      <c r="BM50" s="72">
        <f t="shared" ca="1" si="134"/>
        <v>4.2007786626241694</v>
      </c>
      <c r="BN50" s="72">
        <f t="shared" ca="1" si="135"/>
        <v>5.9961356069989566</v>
      </c>
      <c r="BO50" s="72">
        <f t="shared" ca="1" si="136"/>
        <v>1.049361047391026</v>
      </c>
      <c r="BP50" s="72">
        <f t="shared" ca="1" si="137"/>
        <v>1.3555447219188987</v>
      </c>
      <c r="BQ50" s="72">
        <f t="shared" ca="1" si="138"/>
        <v>1.1646229300993356</v>
      </c>
      <c r="BR50" s="72">
        <f t="shared" ca="1" si="139"/>
        <v>6.2667353819475311</v>
      </c>
      <c r="BS50" s="72">
        <f t="shared" ca="1" si="140"/>
        <v>5.1565336334019012</v>
      </c>
      <c r="BT50" s="72">
        <f t="shared" ca="1" si="141"/>
        <v>0.94053842025417866</v>
      </c>
      <c r="BU50" s="72">
        <f t="shared" ca="1" si="142"/>
        <v>1.3555447219188987</v>
      </c>
      <c r="BV50" s="72">
        <f t="shared" ca="1" si="143"/>
        <v>1.1646229300993356</v>
      </c>
      <c r="BW50" s="72">
        <f t="shared" ca="1" si="144"/>
        <v>8.6907912659536084</v>
      </c>
      <c r="BX50" s="72">
        <f t="shared" ca="1" si="145"/>
        <v>4.1488750919627266</v>
      </c>
      <c r="BY50" s="72">
        <f t="shared" ca="1" si="146"/>
        <v>1.1504106297323839</v>
      </c>
      <c r="BZ50" s="72">
        <f t="shared" ca="1" si="147"/>
        <v>5.5918561869685668</v>
      </c>
      <c r="CA50" s="72">
        <f t="shared" ca="1" si="148"/>
        <v>3.8547563384498109</v>
      </c>
      <c r="CB50" s="72">
        <f t="shared" ca="1" si="149"/>
        <v>10.501448439720704</v>
      </c>
      <c r="CC50" s="72">
        <f t="shared" ca="1" si="150"/>
        <v>3.8547563384498109</v>
      </c>
      <c r="CD50" s="72">
        <f t="shared" ca="1" si="151"/>
        <v>4.7386069075896966</v>
      </c>
      <c r="CE50" s="72">
        <f t="shared" ca="1" si="152"/>
        <v>13.64129832502455</v>
      </c>
      <c r="CF50" s="72">
        <f t="shared" ca="1" si="153"/>
        <v>4.7386069075896966</v>
      </c>
      <c r="CG50" s="72">
        <f t="shared" ca="1" si="154"/>
        <v>3.4432611988722699</v>
      </c>
    </row>
    <row r="51" spans="1:85" x14ac:dyDescent="0.25">
      <c r="A51" t="str">
        <f t="shared" si="155"/>
        <v>G. Piscaer</v>
      </c>
      <c r="B51">
        <f t="shared" si="155"/>
        <v>22</v>
      </c>
      <c r="C51" s="50">
        <f t="shared" ca="1" si="155"/>
        <v>36</v>
      </c>
      <c r="D51" t="str">
        <f t="shared" si="155"/>
        <v>IMP</v>
      </c>
      <c r="E51" s="207">
        <f t="shared" si="155"/>
        <v>43630</v>
      </c>
      <c r="F51" s="153">
        <f t="shared" ca="1" si="75"/>
        <v>1</v>
      </c>
      <c r="G51" s="154">
        <f t="shared" si="76"/>
        <v>3.7</v>
      </c>
      <c r="H51" s="49">
        <f t="shared" si="77"/>
        <v>0</v>
      </c>
      <c r="I51" s="49">
        <f t="shared" si="78"/>
        <v>4</v>
      </c>
      <c r="J51" s="49">
        <f t="shared" si="79"/>
        <v>13</v>
      </c>
      <c r="K51" s="49">
        <f t="shared" si="80"/>
        <v>3</v>
      </c>
      <c r="L51" s="49">
        <f t="shared" si="81"/>
        <v>2</v>
      </c>
      <c r="M51" s="49">
        <f t="shared" si="82"/>
        <v>8</v>
      </c>
      <c r="N51" s="49">
        <f t="shared" si="83"/>
        <v>14.333333333333334</v>
      </c>
      <c r="O51" s="154">
        <f t="shared" si="84"/>
        <v>1.375</v>
      </c>
      <c r="P51" s="154">
        <f t="shared" ca="1" si="85"/>
        <v>17.447634413584076</v>
      </c>
      <c r="Q51" s="154">
        <f t="shared" si="86"/>
        <v>0.83000000000000007</v>
      </c>
      <c r="R51" s="154">
        <f t="shared" si="87"/>
        <v>0.59000000000000008</v>
      </c>
      <c r="S51" s="154">
        <f t="shared" ca="1" si="88"/>
        <v>16.090935632089327</v>
      </c>
      <c r="T51" s="72">
        <f t="shared" ca="1" si="89"/>
        <v>2.6383868068139824</v>
      </c>
      <c r="U51" s="72">
        <f t="shared" ca="1" si="90"/>
        <v>3.9690645676939873</v>
      </c>
      <c r="V51" s="72">
        <f t="shared" ca="1" si="91"/>
        <v>2.6383868068139824</v>
      </c>
      <c r="W51" s="72">
        <f t="shared" ca="1" si="92"/>
        <v>2.9709227861580927</v>
      </c>
      <c r="X51" s="72">
        <f t="shared" ca="1" si="93"/>
        <v>5.7576022987559936</v>
      </c>
      <c r="Y51" s="72">
        <f t="shared" ca="1" si="94"/>
        <v>1.4854613930790463</v>
      </c>
      <c r="Z51" s="72">
        <f t="shared" ca="1" si="95"/>
        <v>3.5123093471039262</v>
      </c>
      <c r="AA51" s="72">
        <f t="shared" ca="1" si="96"/>
        <v>2.1763736689297657</v>
      </c>
      <c r="AB51" s="72">
        <f t="shared" ca="1" si="97"/>
        <v>4.162746462000583</v>
      </c>
      <c r="AC51" s="72">
        <f t="shared" ca="1" si="98"/>
        <v>1.0881868344648828</v>
      </c>
      <c r="AD51" s="72">
        <f t="shared" ca="1" si="99"/>
        <v>5.6816768850210577</v>
      </c>
      <c r="AE51" s="245">
        <f t="shared" ca="1" si="100"/>
        <v>5.2969941148555142</v>
      </c>
      <c r="AF51" s="72">
        <f t="shared" ca="1" si="101"/>
        <v>2.3836473516849814</v>
      </c>
      <c r="AG51" s="72">
        <f t="shared" ca="1" si="102"/>
        <v>2.4645195838922511</v>
      </c>
      <c r="AH51" s="245">
        <f t="shared" ca="1" si="103"/>
        <v>2.7974701516685241</v>
      </c>
      <c r="AI51" s="72">
        <f t="shared" ca="1" si="104"/>
        <v>4.341232133262019</v>
      </c>
      <c r="AJ51" s="72">
        <f t="shared" ca="1" si="105"/>
        <v>4.0763824275192428</v>
      </c>
      <c r="AK51" s="72">
        <f t="shared" ca="1" si="106"/>
        <v>2.6871862505589177</v>
      </c>
      <c r="AL51" s="72">
        <f t="shared" ca="1" si="107"/>
        <v>0.90218946204172601</v>
      </c>
      <c r="AM51" s="72">
        <f t="shared" ca="1" si="108"/>
        <v>1.5545526206641185</v>
      </c>
      <c r="AN51" s="72">
        <f t="shared" ca="1" si="109"/>
        <v>3.4200157654610601</v>
      </c>
      <c r="AO51" s="72">
        <f t="shared" ca="1" si="110"/>
        <v>0.77727631033205924</v>
      </c>
      <c r="AP51" s="72">
        <f t="shared" ca="1" si="111"/>
        <v>13.931176570025656</v>
      </c>
      <c r="AQ51" s="72">
        <f t="shared" ca="1" si="112"/>
        <v>0.48848829883827916</v>
      </c>
      <c r="AR51" s="72">
        <f t="shared" ca="1" si="113"/>
        <v>2.1389774735355056</v>
      </c>
      <c r="AS51" s="72">
        <f t="shared" ca="1" si="114"/>
        <v>0.24424414941913958</v>
      </c>
      <c r="AT51" s="72">
        <f t="shared" ca="1" si="115"/>
        <v>1.0881868344648828</v>
      </c>
      <c r="AU51" s="72">
        <f t="shared" ca="1" si="116"/>
        <v>2.3030409195023975</v>
      </c>
      <c r="AV51" s="72">
        <f t="shared" ca="1" si="117"/>
        <v>0.54409341723244142</v>
      </c>
      <c r="AW51" s="72">
        <f t="shared" ca="1" si="118"/>
        <v>14.757602298755993</v>
      </c>
      <c r="AX51" s="72">
        <f t="shared" ca="1" si="119"/>
        <v>0.95067338158526626</v>
      </c>
      <c r="AY51" s="72">
        <f t="shared" ca="1" si="120"/>
        <v>3.3304388666145521</v>
      </c>
      <c r="AZ51" s="72">
        <f t="shared" ca="1" si="121"/>
        <v>0.47533669079263313</v>
      </c>
      <c r="BA51" s="72">
        <f t="shared" ca="1" si="122"/>
        <v>1.6754622689379941</v>
      </c>
      <c r="BB51" s="72">
        <f t="shared" ca="1" si="123"/>
        <v>2.0036455999670855</v>
      </c>
      <c r="BC51" s="72">
        <f t="shared" ca="1" si="124"/>
        <v>13.00144762520403</v>
      </c>
      <c r="BD51" s="72">
        <f t="shared" ca="1" si="125"/>
        <v>3.9145084435940776</v>
      </c>
      <c r="BE51" s="72">
        <f t="shared" ca="1" si="126"/>
        <v>0.90558215400019437</v>
      </c>
      <c r="BF51" s="72">
        <f t="shared" ca="1" si="127"/>
        <v>2.7924371148966567</v>
      </c>
      <c r="BG51" s="72">
        <f t="shared" ca="1" si="128"/>
        <v>1.5200070068715823</v>
      </c>
      <c r="BH51" s="72">
        <f t="shared" ca="1" si="129"/>
        <v>5.6226464758260333</v>
      </c>
      <c r="BI51" s="72">
        <f t="shared" ca="1" si="130"/>
        <v>3.9571444091127383</v>
      </c>
      <c r="BJ51" s="72">
        <f t="shared" ca="1" si="131"/>
        <v>0.19539531953531164</v>
      </c>
      <c r="BK51" s="72">
        <f t="shared" ca="1" si="132"/>
        <v>1.0363684137760789</v>
      </c>
      <c r="BL51" s="72">
        <f t="shared" ca="1" si="133"/>
        <v>0.39151695631540762</v>
      </c>
      <c r="BM51" s="72">
        <f t="shared" ca="1" si="134"/>
        <v>4.5010687011205777</v>
      </c>
      <c r="BN51" s="72">
        <f t="shared" ca="1" si="135"/>
        <v>5.8322765562002079</v>
      </c>
      <c r="BO51" s="72">
        <f t="shared" ca="1" si="136"/>
        <v>0.50727631033205911</v>
      </c>
      <c r="BP51" s="72">
        <f t="shared" ca="1" si="137"/>
        <v>1.6351590528467019</v>
      </c>
      <c r="BQ51" s="72">
        <f t="shared" ca="1" si="138"/>
        <v>1.4048549608964624</v>
      </c>
      <c r="BR51" s="72">
        <f t="shared" ca="1" si="139"/>
        <v>6.7147090459339767</v>
      </c>
      <c r="BS51" s="72">
        <f t="shared" ca="1" si="140"/>
        <v>5.0274233470216414</v>
      </c>
      <c r="BT51" s="72">
        <f t="shared" ca="1" si="141"/>
        <v>0.45466987814947518</v>
      </c>
      <c r="BU51" s="72">
        <f t="shared" ca="1" si="142"/>
        <v>1.6351590528467019</v>
      </c>
      <c r="BV51" s="72">
        <f t="shared" ca="1" si="143"/>
        <v>1.4048549608964624</v>
      </c>
      <c r="BW51" s="72">
        <f t="shared" ca="1" si="144"/>
        <v>9.3120470505150319</v>
      </c>
      <c r="BX51" s="72">
        <f t="shared" ca="1" si="145"/>
        <v>4.0650540573866145</v>
      </c>
      <c r="BY51" s="72">
        <f t="shared" ca="1" si="146"/>
        <v>0.55612514021588699</v>
      </c>
      <c r="BZ51" s="72">
        <f t="shared" ca="1" si="147"/>
        <v>5.9915865332949334</v>
      </c>
      <c r="CA51" s="72">
        <f t="shared" ca="1" si="148"/>
        <v>2.8637107976518728</v>
      </c>
      <c r="CB51" s="72">
        <f t="shared" ca="1" si="149"/>
        <v>7.7290601883992487</v>
      </c>
      <c r="CC51" s="72">
        <f t="shared" ca="1" si="150"/>
        <v>2.8637107976518728</v>
      </c>
      <c r="CD51" s="72">
        <f t="shared" ca="1" si="151"/>
        <v>4.1219862321249838</v>
      </c>
      <c r="CE51" s="72">
        <f t="shared" ca="1" si="152"/>
        <v>11.144157546996954</v>
      </c>
      <c r="CF51" s="72">
        <f t="shared" ca="1" si="153"/>
        <v>4.1219862321249838</v>
      </c>
      <c r="CG51" s="72">
        <f t="shared" ca="1" si="154"/>
        <v>3.6894005746889982</v>
      </c>
    </row>
    <row r="52" spans="1:85" x14ac:dyDescent="0.25">
      <c r="A52" t="str">
        <f t="shared" si="155"/>
        <v>M. Bondarewski</v>
      </c>
      <c r="B52">
        <f t="shared" si="155"/>
        <v>22</v>
      </c>
      <c r="C52" s="50">
        <f t="shared" ca="1" si="155"/>
        <v>36</v>
      </c>
      <c r="D52" t="str">
        <f t="shared" si="155"/>
        <v>RAP</v>
      </c>
      <c r="E52" s="207">
        <f t="shared" si="155"/>
        <v>43627</v>
      </c>
      <c r="F52" s="153">
        <f t="shared" ca="1" si="75"/>
        <v>1</v>
      </c>
      <c r="G52" s="154">
        <f t="shared" si="76"/>
        <v>3.9</v>
      </c>
      <c r="H52" s="49">
        <f t="shared" si="77"/>
        <v>0</v>
      </c>
      <c r="I52" s="49">
        <f t="shared" si="78"/>
        <v>2</v>
      </c>
      <c r="J52" s="49">
        <f t="shared" si="79"/>
        <v>13</v>
      </c>
      <c r="K52" s="49">
        <f t="shared" si="80"/>
        <v>5</v>
      </c>
      <c r="L52" s="49">
        <f t="shared" si="81"/>
        <v>4</v>
      </c>
      <c r="M52" s="49">
        <f t="shared" si="82"/>
        <v>8</v>
      </c>
      <c r="N52" s="49">
        <f t="shared" si="83"/>
        <v>17</v>
      </c>
      <c r="O52" s="154">
        <f t="shared" si="84"/>
        <v>1.625</v>
      </c>
      <c r="P52" s="154">
        <f t="shared" ca="1" si="85"/>
        <v>18.981670375371415</v>
      </c>
      <c r="Q52" s="154">
        <f t="shared" si="86"/>
        <v>0.90999999999999992</v>
      </c>
      <c r="R52" s="154">
        <f t="shared" si="87"/>
        <v>0.59</v>
      </c>
      <c r="S52" s="154">
        <f t="shared" ca="1" si="88"/>
        <v>18.788086142701999</v>
      </c>
      <c r="T52" s="72">
        <f t="shared" ca="1" si="89"/>
        <v>2.1129992025788455</v>
      </c>
      <c r="U52" s="72">
        <f t="shared" ca="1" si="90"/>
        <v>3.1584192102282804</v>
      </c>
      <c r="V52" s="72">
        <f t="shared" ca="1" si="91"/>
        <v>2.1129992025788455</v>
      </c>
      <c r="W52" s="72">
        <f t="shared" ca="1" si="92"/>
        <v>1.9546524496342315</v>
      </c>
      <c r="X52" s="72">
        <f t="shared" ca="1" si="93"/>
        <v>3.7880861427019989</v>
      </c>
      <c r="Y52" s="72">
        <f t="shared" ca="1" si="94"/>
        <v>0.97732622481711573</v>
      </c>
      <c r="Z52" s="72">
        <f t="shared" ca="1" si="95"/>
        <v>3.5195645019630759</v>
      </c>
      <c r="AA52" s="72">
        <f t="shared" ca="1" si="96"/>
        <v>1.4318965619413555</v>
      </c>
      <c r="AB52" s="72">
        <f t="shared" ca="1" si="97"/>
        <v>2.7387862811735451</v>
      </c>
      <c r="AC52" s="72">
        <f t="shared" ca="1" si="98"/>
        <v>0.71594828097067775</v>
      </c>
      <c r="AD52" s="72">
        <f t="shared" ca="1" si="99"/>
        <v>5.6934131649402699</v>
      </c>
      <c r="AE52" s="245">
        <f t="shared" ca="1" si="100"/>
        <v>3.4850392512858392</v>
      </c>
      <c r="AF52" s="72">
        <f t="shared" ca="1" si="101"/>
        <v>1.5682676630786274</v>
      </c>
      <c r="AG52" s="72">
        <f t="shared" ca="1" si="102"/>
        <v>2.4696103858312339</v>
      </c>
      <c r="AH52" s="245">
        <f t="shared" ca="1" si="103"/>
        <v>3.9913946519087755</v>
      </c>
      <c r="AI52" s="72">
        <f t="shared" ca="1" si="104"/>
        <v>2.856216951597307</v>
      </c>
      <c r="AJ52" s="72">
        <f t="shared" ca="1" si="105"/>
        <v>2.6819649890330153</v>
      </c>
      <c r="AK52" s="72">
        <f t="shared" ca="1" si="106"/>
        <v>3.1376103858312341</v>
      </c>
      <c r="AL52" s="72">
        <f t="shared" ca="1" si="107"/>
        <v>0.98296880909817563</v>
      </c>
      <c r="AM52" s="72">
        <f t="shared" ca="1" si="108"/>
        <v>1.0227832585295398</v>
      </c>
      <c r="AN52" s="72">
        <f t="shared" ca="1" si="109"/>
        <v>2.2501231687649872</v>
      </c>
      <c r="AO52" s="72">
        <f t="shared" ca="1" si="110"/>
        <v>0.51139162926476989</v>
      </c>
      <c r="AP52" s="72">
        <f t="shared" ca="1" si="111"/>
        <v>13.959953318710687</v>
      </c>
      <c r="AQ52" s="72">
        <f t="shared" ca="1" si="112"/>
        <v>0.75245119855125997</v>
      </c>
      <c r="AR52" s="72">
        <f t="shared" ca="1" si="113"/>
        <v>2.3879092398116857</v>
      </c>
      <c r="AS52" s="72">
        <f t="shared" ca="1" si="114"/>
        <v>0.37622559927562998</v>
      </c>
      <c r="AT52" s="72">
        <f t="shared" ca="1" si="115"/>
        <v>0.71594828097067775</v>
      </c>
      <c r="AU52" s="72">
        <f t="shared" ca="1" si="116"/>
        <v>1.5152344570807996</v>
      </c>
      <c r="AV52" s="72">
        <f t="shared" ca="1" si="117"/>
        <v>0.35797414048533888</v>
      </c>
      <c r="AW52" s="72">
        <f t="shared" ca="1" si="118"/>
        <v>14.788086142701999</v>
      </c>
      <c r="AX52" s="72">
        <f t="shared" ca="1" si="119"/>
        <v>1.4643857941036058</v>
      </c>
      <c r="AY52" s="72">
        <f t="shared" ca="1" si="120"/>
        <v>4.029235464628802</v>
      </c>
      <c r="AZ52" s="72">
        <f t="shared" ca="1" si="121"/>
        <v>0.7321928970518029</v>
      </c>
      <c r="BA52" s="72">
        <f t="shared" ca="1" si="122"/>
        <v>1.1023330675262817</v>
      </c>
      <c r="BB52" s="72">
        <f t="shared" ca="1" si="123"/>
        <v>1.3182539776602955</v>
      </c>
      <c r="BC52" s="72">
        <f t="shared" ca="1" si="124"/>
        <v>13.028303891720462</v>
      </c>
      <c r="BD52" s="72">
        <f t="shared" ca="1" si="125"/>
        <v>5.7196085808620776</v>
      </c>
      <c r="BE52" s="72">
        <f t="shared" ca="1" si="126"/>
        <v>1.3949287603911817</v>
      </c>
      <c r="BF52" s="72">
        <f t="shared" ca="1" si="127"/>
        <v>1.8372217792104695</v>
      </c>
      <c r="BG52" s="72">
        <f t="shared" ca="1" si="128"/>
        <v>1.0000547416733279</v>
      </c>
      <c r="BH52" s="72">
        <f t="shared" ca="1" si="129"/>
        <v>5.6342608203694615</v>
      </c>
      <c r="BI52" s="72">
        <f t="shared" ca="1" si="130"/>
        <v>5.7317872887215477</v>
      </c>
      <c r="BJ52" s="72">
        <f t="shared" ca="1" si="131"/>
        <v>0.30098047942050393</v>
      </c>
      <c r="BK52" s="72">
        <f t="shared" ca="1" si="132"/>
        <v>0.68185550568635978</v>
      </c>
      <c r="BL52" s="72">
        <f t="shared" ca="1" si="133"/>
        <v>0.25758985770373594</v>
      </c>
      <c r="BM52" s="72">
        <f t="shared" ca="1" si="134"/>
        <v>4.5103662735241095</v>
      </c>
      <c r="BN52" s="72">
        <f t="shared" ca="1" si="135"/>
        <v>8.4434787795147717</v>
      </c>
      <c r="BO52" s="72">
        <f t="shared" ca="1" si="136"/>
        <v>0.78139162926477002</v>
      </c>
      <c r="BP52" s="72">
        <f t="shared" ca="1" si="137"/>
        <v>1.0758164645273676</v>
      </c>
      <c r="BQ52" s="72">
        <f t="shared" ca="1" si="138"/>
        <v>0.92429301881928772</v>
      </c>
      <c r="BR52" s="72">
        <f t="shared" ca="1" si="139"/>
        <v>6.7285791949294103</v>
      </c>
      <c r="BS52" s="72">
        <f t="shared" ca="1" si="140"/>
        <v>7.2771994461138156</v>
      </c>
      <c r="BT52" s="72">
        <f t="shared" ca="1" si="141"/>
        <v>0.70035842326694187</v>
      </c>
      <c r="BU52" s="72">
        <f t="shared" ca="1" si="142"/>
        <v>1.0758164645273676</v>
      </c>
      <c r="BV52" s="72">
        <f t="shared" ca="1" si="143"/>
        <v>0.92429301881928772</v>
      </c>
      <c r="BW52" s="72">
        <f t="shared" ca="1" si="144"/>
        <v>9.3312823560449623</v>
      </c>
      <c r="BX52" s="72">
        <f t="shared" ca="1" si="145"/>
        <v>5.8823370977182892</v>
      </c>
      <c r="BY52" s="72">
        <f t="shared" ca="1" si="146"/>
        <v>0.85663674911989585</v>
      </c>
      <c r="BZ52" s="72">
        <f t="shared" ca="1" si="147"/>
        <v>6.0039629739370124</v>
      </c>
      <c r="CA52" s="72">
        <f t="shared" ca="1" si="148"/>
        <v>3.6675928803477418</v>
      </c>
      <c r="CB52" s="72">
        <f t="shared" ca="1" si="149"/>
        <v>8.8493849966824509</v>
      </c>
      <c r="CC52" s="72">
        <f t="shared" ca="1" si="150"/>
        <v>3.6675928803477418</v>
      </c>
      <c r="CD52" s="72">
        <f t="shared" ca="1" si="151"/>
        <v>4.8669776669033453</v>
      </c>
      <c r="CE52" s="72">
        <f t="shared" ca="1" si="152"/>
        <v>11.923889929359037</v>
      </c>
      <c r="CF52" s="72">
        <f t="shared" ca="1" si="153"/>
        <v>4.8669776669033453</v>
      </c>
      <c r="CG52" s="72">
        <f t="shared" ca="1" si="154"/>
        <v>3.6970215356754998</v>
      </c>
    </row>
    <row r="53" spans="1:85" x14ac:dyDescent="0.25">
      <c r="A53" t="str">
        <f t="shared" si="155"/>
        <v>P. Tuderek</v>
      </c>
      <c r="B53">
        <f t="shared" si="155"/>
        <v>22</v>
      </c>
      <c r="C53" s="50">
        <f t="shared" ca="1" si="155"/>
        <v>22</v>
      </c>
      <c r="D53" t="str">
        <f t="shared" si="155"/>
        <v>CAB</v>
      </c>
      <c r="E53" s="207">
        <f t="shared" si="155"/>
        <v>43626</v>
      </c>
      <c r="F53" s="153">
        <f t="shared" ca="1" si="75"/>
        <v>1</v>
      </c>
      <c r="G53" s="154">
        <f t="shared" si="76"/>
        <v>2.9</v>
      </c>
      <c r="H53" s="49">
        <f t="shared" si="77"/>
        <v>0</v>
      </c>
      <c r="I53" s="49">
        <f t="shared" si="78"/>
        <v>6</v>
      </c>
      <c r="J53" s="49">
        <f t="shared" si="79"/>
        <v>12</v>
      </c>
      <c r="K53" s="49">
        <f t="shared" si="80"/>
        <v>2</v>
      </c>
      <c r="L53" s="49">
        <f t="shared" si="81"/>
        <v>3</v>
      </c>
      <c r="M53" s="49">
        <f t="shared" si="82"/>
        <v>6</v>
      </c>
      <c r="N53" s="49">
        <f t="shared" si="83"/>
        <v>17.25</v>
      </c>
      <c r="O53" s="154">
        <f t="shared" si="84"/>
        <v>1.875</v>
      </c>
      <c r="P53" s="154">
        <f t="shared" ca="1" si="85"/>
        <v>15.420032767142258</v>
      </c>
      <c r="Q53" s="154">
        <f t="shared" si="86"/>
        <v>0.81750000000000012</v>
      </c>
      <c r="R53" s="154">
        <f t="shared" si="87"/>
        <v>0.75750000000000006</v>
      </c>
      <c r="S53" s="154">
        <f t="shared" ca="1" si="88"/>
        <v>18.866530663865277</v>
      </c>
      <c r="T53" s="72">
        <f t="shared" ca="1" si="89"/>
        <v>3.0672312695543846</v>
      </c>
      <c r="U53" s="72">
        <f t="shared" ca="1" si="90"/>
        <v>4.6369410870500696</v>
      </c>
      <c r="V53" s="72">
        <f t="shared" ca="1" si="91"/>
        <v>3.0672312695543846</v>
      </c>
      <c r="W53" s="72">
        <f t="shared" ca="1" si="92"/>
        <v>3.9301298225544818</v>
      </c>
      <c r="X53" s="72">
        <f t="shared" ca="1" si="93"/>
        <v>7.6165306638652748</v>
      </c>
      <c r="Y53" s="72">
        <f t="shared" ca="1" si="94"/>
        <v>1.9650649112772409</v>
      </c>
      <c r="Z53" s="72">
        <f t="shared" ca="1" si="95"/>
        <v>3.2407342979999352</v>
      </c>
      <c r="AA53" s="72">
        <f t="shared" ca="1" si="96"/>
        <v>2.8790485909410739</v>
      </c>
      <c r="AB53" s="72">
        <f t="shared" ca="1" si="97"/>
        <v>5.5067516699745935</v>
      </c>
      <c r="AC53" s="72">
        <f t="shared" ca="1" si="98"/>
        <v>1.439524295470537</v>
      </c>
      <c r="AD53" s="72">
        <f t="shared" ca="1" si="99"/>
        <v>5.242364305588131</v>
      </c>
      <c r="AE53" s="245">
        <f t="shared" ca="1" si="100"/>
        <v>7.0072082107560529</v>
      </c>
      <c r="AF53" s="72">
        <f t="shared" ca="1" si="101"/>
        <v>3.1532436948402234</v>
      </c>
      <c r="AG53" s="72">
        <f t="shared" ca="1" si="102"/>
        <v>2.273960620865501</v>
      </c>
      <c r="AH53" s="245">
        <f t="shared" ca="1" si="103"/>
        <v>2.1265200303527814</v>
      </c>
      <c r="AI53" s="72">
        <f t="shared" ca="1" si="104"/>
        <v>5.7428641205544171</v>
      </c>
      <c r="AJ53" s="72">
        <f t="shared" ca="1" si="105"/>
        <v>5.392503710016614</v>
      </c>
      <c r="AK53" s="72">
        <f t="shared" ca="1" si="106"/>
        <v>3.1507106208655014</v>
      </c>
      <c r="AL53" s="72">
        <f t="shared" ca="1" si="107"/>
        <v>1.0055608311931992</v>
      </c>
      <c r="AM53" s="72">
        <f t="shared" ca="1" si="108"/>
        <v>2.0564632792436242</v>
      </c>
      <c r="AN53" s="72">
        <f t="shared" ca="1" si="109"/>
        <v>4.5242192143359734</v>
      </c>
      <c r="AO53" s="72">
        <f t="shared" ca="1" si="110"/>
        <v>1.0282316396218121</v>
      </c>
      <c r="AP53" s="72">
        <f t="shared" ca="1" si="111"/>
        <v>12.85400494668882</v>
      </c>
      <c r="AQ53" s="72">
        <f t="shared" ca="1" si="112"/>
        <v>0.6001489863024857</v>
      </c>
      <c r="AR53" s="72">
        <f t="shared" ca="1" si="113"/>
        <v>1.8716434845125254</v>
      </c>
      <c r="AS53" s="72">
        <f t="shared" ca="1" si="114"/>
        <v>0.30007449315124285</v>
      </c>
      <c r="AT53" s="72">
        <f t="shared" ca="1" si="115"/>
        <v>1.439524295470537</v>
      </c>
      <c r="AU53" s="72">
        <f t="shared" ca="1" si="116"/>
        <v>3.0466122655461101</v>
      </c>
      <c r="AV53" s="72">
        <f t="shared" ca="1" si="117"/>
        <v>0.71976214773526848</v>
      </c>
      <c r="AW53" s="72">
        <f t="shared" ca="1" si="118"/>
        <v>13.616530663865275</v>
      </c>
      <c r="AX53" s="72">
        <f t="shared" ca="1" si="119"/>
        <v>1.1679822579579144</v>
      </c>
      <c r="AY53" s="72">
        <f t="shared" ca="1" si="120"/>
        <v>3.1737083957897663</v>
      </c>
      <c r="AZ53" s="72">
        <f t="shared" ca="1" si="121"/>
        <v>0.58399112897895722</v>
      </c>
      <c r="BA53" s="72">
        <f t="shared" ca="1" si="122"/>
        <v>2.216410423184795</v>
      </c>
      <c r="BB53" s="72">
        <f t="shared" ca="1" si="123"/>
        <v>2.6505526710251153</v>
      </c>
      <c r="BC53" s="72">
        <f t="shared" ca="1" si="124"/>
        <v>11.996163514865307</v>
      </c>
      <c r="BD53" s="72">
        <f t="shared" ca="1" si="125"/>
        <v>3.5300957601762293</v>
      </c>
      <c r="BE53" s="72">
        <f t="shared" ca="1" si="126"/>
        <v>1.1125838899915312</v>
      </c>
      <c r="BF53" s="72">
        <f t="shared" ca="1" si="127"/>
        <v>3.6940173719746583</v>
      </c>
      <c r="BG53" s="72">
        <f t="shared" ca="1" si="128"/>
        <v>2.0107640952604324</v>
      </c>
      <c r="BH53" s="72">
        <f t="shared" ca="1" si="129"/>
        <v>5.1878981829326696</v>
      </c>
      <c r="BI53" s="72">
        <f t="shared" ca="1" si="130"/>
        <v>3.3618478002182504</v>
      </c>
      <c r="BJ53" s="72">
        <f t="shared" ca="1" si="131"/>
        <v>0.24005959452099429</v>
      </c>
      <c r="BK53" s="72">
        <f t="shared" ca="1" si="132"/>
        <v>1.3709755194957494</v>
      </c>
      <c r="BL53" s="72">
        <f t="shared" ca="1" si="133"/>
        <v>0.51792408514283872</v>
      </c>
      <c r="BM53" s="72">
        <f t="shared" ca="1" si="134"/>
        <v>4.1530418524789088</v>
      </c>
      <c r="BN53" s="72">
        <f t="shared" ca="1" si="135"/>
        <v>4.9368584337307428</v>
      </c>
      <c r="BO53" s="72">
        <f t="shared" ca="1" si="136"/>
        <v>0.62323163962181216</v>
      </c>
      <c r="BP53" s="72">
        <f t="shared" ca="1" si="137"/>
        <v>2.1630947085377379</v>
      </c>
      <c r="BQ53" s="72">
        <f t="shared" ca="1" si="138"/>
        <v>1.858433481983127</v>
      </c>
      <c r="BR53" s="72">
        <f t="shared" ca="1" si="139"/>
        <v>6.1955214520587001</v>
      </c>
      <c r="BS53" s="72">
        <f t="shared" ca="1" si="140"/>
        <v>4.2511159755627244</v>
      </c>
      <c r="BT53" s="72">
        <f t="shared" ca="1" si="141"/>
        <v>0.55860021032769824</v>
      </c>
      <c r="BU53" s="72">
        <f t="shared" ca="1" si="142"/>
        <v>2.1630947085377379</v>
      </c>
      <c r="BV53" s="72">
        <f t="shared" ca="1" si="143"/>
        <v>1.858433481983127</v>
      </c>
      <c r="BW53" s="72">
        <f t="shared" ca="1" si="144"/>
        <v>8.5920308488989878</v>
      </c>
      <c r="BX53" s="72">
        <f t="shared" ca="1" si="145"/>
        <v>3.4297949441594211</v>
      </c>
      <c r="BY53" s="72">
        <f t="shared" ca="1" si="146"/>
        <v>0.68324653825206061</v>
      </c>
      <c r="BZ53" s="72">
        <f t="shared" ca="1" si="147"/>
        <v>5.5283114495293022</v>
      </c>
      <c r="CA53" s="72">
        <f t="shared" ca="1" si="148"/>
        <v>2.6422124758738081</v>
      </c>
      <c r="CB53" s="72">
        <f t="shared" ca="1" si="149"/>
        <v>6.9472135275123001</v>
      </c>
      <c r="CC53" s="72">
        <f t="shared" ca="1" si="150"/>
        <v>2.6422124758738081</v>
      </c>
      <c r="CD53" s="72">
        <f t="shared" ca="1" si="151"/>
        <v>3.4350986035880657</v>
      </c>
      <c r="CE53" s="72">
        <f t="shared" ca="1" si="152"/>
        <v>9.320030478831562</v>
      </c>
      <c r="CF53" s="72">
        <f t="shared" ca="1" si="153"/>
        <v>3.4350986035880657</v>
      </c>
      <c r="CG53" s="72">
        <f t="shared" ca="1" si="154"/>
        <v>3.4041326659663187</v>
      </c>
    </row>
    <row r="54" spans="1:85" x14ac:dyDescent="0.25">
      <c r="A54" t="str">
        <f t="shared" si="155"/>
        <v>R. Forsyth</v>
      </c>
      <c r="B54">
        <f t="shared" si="155"/>
        <v>22</v>
      </c>
      <c r="C54" s="50">
        <f t="shared" ca="1" si="155"/>
        <v>77</v>
      </c>
      <c r="D54" t="str">
        <f t="shared" si="155"/>
        <v>POT</v>
      </c>
      <c r="E54" s="207">
        <f t="shared" si="155"/>
        <v>43626</v>
      </c>
      <c r="F54" s="153">
        <f t="shared" ca="1" si="75"/>
        <v>1</v>
      </c>
      <c r="G54" s="154">
        <f t="shared" si="76"/>
        <v>3.9</v>
      </c>
      <c r="H54" s="49">
        <f t="shared" si="77"/>
        <v>0</v>
      </c>
      <c r="I54" s="49">
        <f t="shared" si="78"/>
        <v>7</v>
      </c>
      <c r="J54" s="49">
        <f t="shared" si="79"/>
        <v>13</v>
      </c>
      <c r="K54" s="49">
        <f t="shared" si="80"/>
        <v>3</v>
      </c>
      <c r="L54" s="49">
        <f t="shared" si="81"/>
        <v>4</v>
      </c>
      <c r="M54" s="49">
        <f t="shared" si="82"/>
        <v>6</v>
      </c>
      <c r="N54" s="49">
        <f t="shared" si="83"/>
        <v>15</v>
      </c>
      <c r="O54" s="154">
        <f t="shared" si="84"/>
        <v>2.25</v>
      </c>
      <c r="P54" s="154">
        <f t="shared" ca="1" si="85"/>
        <v>14.561670375371422</v>
      </c>
      <c r="Q54" s="154">
        <f t="shared" si="86"/>
        <v>0.75</v>
      </c>
      <c r="R54" s="154">
        <f t="shared" si="87"/>
        <v>0.73000000000000009</v>
      </c>
      <c r="S54" s="154">
        <f t="shared" ca="1" si="88"/>
        <v>16.788086142701999</v>
      </c>
      <c r="T54" s="72">
        <f t="shared" ca="1" si="89"/>
        <v>3.4929992025788454</v>
      </c>
      <c r="U54" s="72">
        <f t="shared" ca="1" si="90"/>
        <v>5.2834192102282804</v>
      </c>
      <c r="V54" s="72">
        <f t="shared" ca="1" si="91"/>
        <v>3.4929992025788454</v>
      </c>
      <c r="W54" s="72">
        <f t="shared" ca="1" si="92"/>
        <v>4.5346524496342315</v>
      </c>
      <c r="X54" s="72">
        <f t="shared" ca="1" si="93"/>
        <v>8.7880861427019994</v>
      </c>
      <c r="Y54" s="72">
        <f t="shared" ca="1" si="94"/>
        <v>2.2673262248171158</v>
      </c>
      <c r="Z54" s="72">
        <f t="shared" ca="1" si="95"/>
        <v>3.5195645019630759</v>
      </c>
      <c r="AA54" s="72">
        <f t="shared" ca="1" si="96"/>
        <v>3.3218965619413559</v>
      </c>
      <c r="AB54" s="72">
        <f t="shared" ca="1" si="97"/>
        <v>6.3537862811735453</v>
      </c>
      <c r="AC54" s="72">
        <f t="shared" ca="1" si="98"/>
        <v>1.6609482809706779</v>
      </c>
      <c r="AD54" s="72">
        <f t="shared" ca="1" si="99"/>
        <v>5.6934131649402699</v>
      </c>
      <c r="AE54" s="245">
        <f t="shared" ca="1" si="100"/>
        <v>8.0850392512858402</v>
      </c>
      <c r="AF54" s="72">
        <f t="shared" ca="1" si="101"/>
        <v>3.6382676630786275</v>
      </c>
      <c r="AG54" s="72">
        <f t="shared" ca="1" si="102"/>
        <v>2.4696103858312339</v>
      </c>
      <c r="AH54" s="245">
        <f t="shared" ca="1" si="103"/>
        <v>2.8153946519087754</v>
      </c>
      <c r="AI54" s="72">
        <f t="shared" ca="1" si="104"/>
        <v>6.6262169515973079</v>
      </c>
      <c r="AJ54" s="72">
        <f t="shared" ca="1" si="105"/>
        <v>6.2219649890330153</v>
      </c>
      <c r="AK54" s="72">
        <f t="shared" ca="1" si="106"/>
        <v>2.803610385831234</v>
      </c>
      <c r="AL54" s="72">
        <f t="shared" ca="1" si="107"/>
        <v>1.1629688090981758</v>
      </c>
      <c r="AM54" s="72">
        <f t="shared" ca="1" si="108"/>
        <v>2.3727832585295401</v>
      </c>
      <c r="AN54" s="72">
        <f t="shared" ca="1" si="109"/>
        <v>5.2201231687649878</v>
      </c>
      <c r="AO54" s="72">
        <f t="shared" ca="1" si="110"/>
        <v>1.18639162926477</v>
      </c>
      <c r="AP54" s="72">
        <f t="shared" ca="1" si="111"/>
        <v>13.959953318710687</v>
      </c>
      <c r="AQ54" s="72">
        <f t="shared" ca="1" si="112"/>
        <v>0.75245119855125997</v>
      </c>
      <c r="AR54" s="72">
        <f t="shared" ca="1" si="113"/>
        <v>2.0419092398116856</v>
      </c>
      <c r="AS54" s="72">
        <f t="shared" ca="1" si="114"/>
        <v>0.37622559927562998</v>
      </c>
      <c r="AT54" s="72">
        <f t="shared" ca="1" si="115"/>
        <v>1.6609482809706779</v>
      </c>
      <c r="AU54" s="72">
        <f t="shared" ca="1" si="116"/>
        <v>3.5152344570807998</v>
      </c>
      <c r="AV54" s="72">
        <f t="shared" ca="1" si="117"/>
        <v>0.83047414048533896</v>
      </c>
      <c r="AW54" s="72">
        <f t="shared" ca="1" si="118"/>
        <v>14.788086142701999</v>
      </c>
      <c r="AX54" s="72">
        <f t="shared" ca="1" si="119"/>
        <v>1.4643857941036058</v>
      </c>
      <c r="AY54" s="72">
        <f t="shared" ca="1" si="120"/>
        <v>3.6092354646288021</v>
      </c>
      <c r="AZ54" s="72">
        <f t="shared" ca="1" si="121"/>
        <v>0.7321928970518029</v>
      </c>
      <c r="BA54" s="72">
        <f t="shared" ca="1" si="122"/>
        <v>2.5573330675262818</v>
      </c>
      <c r="BB54" s="72">
        <f t="shared" ca="1" si="123"/>
        <v>3.0582539776602955</v>
      </c>
      <c r="BC54" s="72">
        <f t="shared" ca="1" si="124"/>
        <v>13.028303891720462</v>
      </c>
      <c r="BD54" s="72">
        <f t="shared" ca="1" si="125"/>
        <v>4.571608580862077</v>
      </c>
      <c r="BE54" s="72">
        <f t="shared" ca="1" si="126"/>
        <v>1.3949287603911817</v>
      </c>
      <c r="BF54" s="72">
        <f t="shared" ca="1" si="127"/>
        <v>4.2622217792104697</v>
      </c>
      <c r="BG54" s="72">
        <f t="shared" ca="1" si="128"/>
        <v>2.3200547416733279</v>
      </c>
      <c r="BH54" s="72">
        <f t="shared" ca="1" si="129"/>
        <v>5.6342608203694615</v>
      </c>
      <c r="BI54" s="72">
        <f t="shared" ca="1" si="130"/>
        <v>4.3857872887215477</v>
      </c>
      <c r="BJ54" s="72">
        <f t="shared" ca="1" si="131"/>
        <v>0.30098047942050393</v>
      </c>
      <c r="BK54" s="72">
        <f t="shared" ca="1" si="132"/>
        <v>1.5818555056863599</v>
      </c>
      <c r="BL54" s="72">
        <f t="shared" ca="1" si="133"/>
        <v>0.59758985770373596</v>
      </c>
      <c r="BM54" s="72">
        <f t="shared" ca="1" si="134"/>
        <v>4.5103662735241095</v>
      </c>
      <c r="BN54" s="72">
        <f t="shared" ca="1" si="135"/>
        <v>6.4434787795147708</v>
      </c>
      <c r="BO54" s="72">
        <f t="shared" ca="1" si="136"/>
        <v>0.78139162926477002</v>
      </c>
      <c r="BP54" s="72">
        <f t="shared" ca="1" si="137"/>
        <v>2.4958164645273677</v>
      </c>
      <c r="BQ54" s="72">
        <f t="shared" ca="1" si="138"/>
        <v>2.1442930188192877</v>
      </c>
      <c r="BR54" s="72">
        <f t="shared" ca="1" si="139"/>
        <v>6.7285791949294103</v>
      </c>
      <c r="BS54" s="72">
        <f t="shared" ca="1" si="140"/>
        <v>5.5491994461138159</v>
      </c>
      <c r="BT54" s="72">
        <f t="shared" ca="1" si="141"/>
        <v>0.70035842326694187</v>
      </c>
      <c r="BU54" s="72">
        <f t="shared" ca="1" si="142"/>
        <v>2.4958164645273677</v>
      </c>
      <c r="BV54" s="72">
        <f t="shared" ca="1" si="143"/>
        <v>2.1442930188192877</v>
      </c>
      <c r="BW54" s="72">
        <f t="shared" ca="1" si="144"/>
        <v>9.3312823560449623</v>
      </c>
      <c r="BX54" s="72">
        <f t="shared" ca="1" si="145"/>
        <v>4.4783370977182893</v>
      </c>
      <c r="BY54" s="72">
        <f t="shared" ca="1" si="146"/>
        <v>0.85663674911989585</v>
      </c>
      <c r="BZ54" s="72">
        <f t="shared" ca="1" si="147"/>
        <v>6.0039629739370124</v>
      </c>
      <c r="CA54" s="72">
        <f t="shared" ca="1" si="148"/>
        <v>3.1255928803477415</v>
      </c>
      <c r="CB54" s="72">
        <f t="shared" ca="1" si="149"/>
        <v>7.6833849966824506</v>
      </c>
      <c r="CC54" s="72">
        <f t="shared" ca="1" si="150"/>
        <v>3.1255928803477415</v>
      </c>
      <c r="CD54" s="72">
        <f t="shared" ca="1" si="151"/>
        <v>3.9049776669033456</v>
      </c>
      <c r="CE54" s="72">
        <f t="shared" ca="1" si="152"/>
        <v>9.9238899293590368</v>
      </c>
      <c r="CF54" s="72">
        <f t="shared" ca="1" si="153"/>
        <v>3.9049776669033456</v>
      </c>
      <c r="CG54" s="72">
        <f t="shared" ca="1" si="154"/>
        <v>3.6970215356754998</v>
      </c>
    </row>
    <row r="55" spans="1:85" x14ac:dyDescent="0.25">
      <c r="A55" t="str">
        <f t="shared" si="155"/>
        <v>J-P. Kechele</v>
      </c>
      <c r="B55">
        <f t="shared" si="155"/>
        <v>29</v>
      </c>
      <c r="C55" s="50">
        <f t="shared" ca="1" si="155"/>
        <v>110</v>
      </c>
      <c r="D55" t="str">
        <f t="shared" si="155"/>
        <v>CAB</v>
      </c>
      <c r="E55" s="207">
        <f t="shared" si="155"/>
        <v>43982</v>
      </c>
      <c r="F55" s="153">
        <f t="shared" ca="1" si="75"/>
        <v>0.32129411444772915</v>
      </c>
      <c r="G55" s="154">
        <f t="shared" si="76"/>
        <v>7.5999999999999988</v>
      </c>
      <c r="H55" s="49">
        <f t="shared" si="77"/>
        <v>0</v>
      </c>
      <c r="I55" s="49">
        <f t="shared" si="78"/>
        <v>4</v>
      </c>
      <c r="J55" s="49">
        <f t="shared" si="79"/>
        <v>14</v>
      </c>
      <c r="K55" s="49">
        <f t="shared" si="80"/>
        <v>4</v>
      </c>
      <c r="L55" s="49">
        <f t="shared" si="81"/>
        <v>9</v>
      </c>
      <c r="M55" s="49">
        <f t="shared" si="82"/>
        <v>8</v>
      </c>
      <c r="N55" s="49">
        <f t="shared" si="83"/>
        <v>19.25</v>
      </c>
      <c r="O55" s="154">
        <f t="shared" si="84"/>
        <v>3.125</v>
      </c>
      <c r="P55" s="154">
        <f t="shared" ca="1" si="85"/>
        <v>19.573024044850214</v>
      </c>
      <c r="Q55" s="154">
        <f t="shared" si="86"/>
        <v>0.97749999999999981</v>
      </c>
      <c r="R55" s="154">
        <f t="shared" si="87"/>
        <v>0.73750000000000004</v>
      </c>
      <c r="S55" s="154">
        <f t="shared" ca="1" si="88"/>
        <v>20.83629535856501</v>
      </c>
      <c r="T55" s="72">
        <f t="shared" ca="1" si="89"/>
        <v>2.4097567833277092</v>
      </c>
      <c r="U55" s="72">
        <f t="shared" ca="1" si="90"/>
        <v>3.6309644985980203</v>
      </c>
      <c r="V55" s="72">
        <f t="shared" ca="1" si="91"/>
        <v>2.4097567833277092</v>
      </c>
      <c r="W55" s="72">
        <f t="shared" ca="1" si="92"/>
        <v>2.8357875145442129</v>
      </c>
      <c r="X55" s="72">
        <f t="shared" ca="1" si="93"/>
        <v>5.4957122374887843</v>
      </c>
      <c r="Y55" s="72">
        <f t="shared" ca="1" si="94"/>
        <v>1.4178937572721064</v>
      </c>
      <c r="Z55" s="72">
        <f t="shared" ca="1" si="95"/>
        <v>3.6879795125223307</v>
      </c>
      <c r="AA55" s="72">
        <f t="shared" ca="1" si="96"/>
        <v>2.0773792257707604</v>
      </c>
      <c r="AB55" s="72">
        <f t="shared" ca="1" si="97"/>
        <v>3.9733999477043911</v>
      </c>
      <c r="AC55" s="72">
        <f t="shared" ca="1" si="98"/>
        <v>1.0386896128853802</v>
      </c>
      <c r="AD55" s="72">
        <f t="shared" ca="1" si="99"/>
        <v>5.9658492114331825</v>
      </c>
      <c r="AE55" s="245">
        <f t="shared" ca="1" si="100"/>
        <v>5.0560552584896818</v>
      </c>
      <c r="AF55" s="72">
        <f t="shared" ca="1" si="101"/>
        <v>2.2752248663203565</v>
      </c>
      <c r="AG55" s="72">
        <f t="shared" ca="1" si="102"/>
        <v>2.5877839436606274</v>
      </c>
      <c r="AH55" s="245">
        <f t="shared" ca="1" si="103"/>
        <v>3.231478795643405</v>
      </c>
      <c r="AI55" s="72">
        <f t="shared" ca="1" si="104"/>
        <v>4.1437670270665432</v>
      </c>
      <c r="AJ55" s="72">
        <f t="shared" ca="1" si="105"/>
        <v>3.8909642641420592</v>
      </c>
      <c r="AK55" s="72">
        <f t="shared" ca="1" si="106"/>
        <v>3.4645339436606268</v>
      </c>
      <c r="AL55" s="72">
        <f t="shared" ca="1" si="107"/>
        <v>1.3307651243967697</v>
      </c>
      <c r="AM55" s="72">
        <f t="shared" ca="1" si="108"/>
        <v>1.4838423041219719</v>
      </c>
      <c r="AN55" s="72">
        <f t="shared" ca="1" si="109"/>
        <v>3.2644530690683378</v>
      </c>
      <c r="AO55" s="72">
        <f t="shared" ca="1" si="110"/>
        <v>0.74192115206098597</v>
      </c>
      <c r="AP55" s="72">
        <f t="shared" ca="1" si="111"/>
        <v>14.627952352189412</v>
      </c>
      <c r="AQ55" s="72">
        <f t="shared" ca="1" si="112"/>
        <v>1.364442590873542</v>
      </c>
      <c r="AR55" s="72">
        <f t="shared" ca="1" si="113"/>
        <v>2.9022436855842138</v>
      </c>
      <c r="AS55" s="72">
        <f t="shared" ca="1" si="114"/>
        <v>0.68222129543677101</v>
      </c>
      <c r="AT55" s="72">
        <f t="shared" ca="1" si="115"/>
        <v>1.0386896128853802</v>
      </c>
      <c r="AU55" s="72">
        <f t="shared" ca="1" si="116"/>
        <v>2.1982848949955138</v>
      </c>
      <c r="AV55" s="72">
        <f t="shared" ca="1" si="117"/>
        <v>0.5193448064426901</v>
      </c>
      <c r="AW55" s="72">
        <f t="shared" ca="1" si="118"/>
        <v>15.495712237488785</v>
      </c>
      <c r="AX55" s="72">
        <f t="shared" ca="1" si="119"/>
        <v>2.6554151960846628</v>
      </c>
      <c r="AY55" s="72">
        <f t="shared" ca="1" si="120"/>
        <v>5.5731374428563214</v>
      </c>
      <c r="AZ55" s="72">
        <f t="shared" ca="1" si="121"/>
        <v>1.3277075980423314</v>
      </c>
      <c r="BA55" s="72">
        <f t="shared" ca="1" si="122"/>
        <v>1.5992522611092361</v>
      </c>
      <c r="BB55" s="72">
        <f t="shared" ca="1" si="123"/>
        <v>1.9125078586460968</v>
      </c>
      <c r="BC55" s="72">
        <f t="shared" ca="1" si="124"/>
        <v>13.651722481227619</v>
      </c>
      <c r="BD55" s="72">
        <f t="shared" ca="1" si="125"/>
        <v>6.4606881791275299</v>
      </c>
      <c r="BE55" s="72">
        <f t="shared" ca="1" si="126"/>
        <v>2.5294666492347972</v>
      </c>
      <c r="BF55" s="72">
        <f t="shared" ca="1" si="127"/>
        <v>2.6654204351820603</v>
      </c>
      <c r="BG55" s="72">
        <f t="shared" ca="1" si="128"/>
        <v>1.4508680306970392</v>
      </c>
      <c r="BH55" s="72">
        <f t="shared" ca="1" si="129"/>
        <v>5.9038663624832273</v>
      </c>
      <c r="BI55" s="72">
        <f t="shared" ca="1" si="130"/>
        <v>5.8082524955651973</v>
      </c>
      <c r="BJ55" s="72">
        <f t="shared" ca="1" si="131"/>
        <v>0.54577703634941677</v>
      </c>
      <c r="BK55" s="72">
        <f t="shared" ca="1" si="132"/>
        <v>0.98922820274798118</v>
      </c>
      <c r="BL55" s="72">
        <f t="shared" ca="1" si="133"/>
        <v>0.37370843214923738</v>
      </c>
      <c r="BM55" s="72">
        <f t="shared" ca="1" si="134"/>
        <v>4.7261922324340793</v>
      </c>
      <c r="BN55" s="72">
        <f t="shared" ca="1" si="135"/>
        <v>8.4974859374105769</v>
      </c>
      <c r="BO55" s="72">
        <f t="shared" ca="1" si="136"/>
        <v>1.4169211520609861</v>
      </c>
      <c r="BP55" s="72">
        <f t="shared" ca="1" si="137"/>
        <v>1.5607822754468146</v>
      </c>
      <c r="BQ55" s="72">
        <f t="shared" ca="1" si="138"/>
        <v>1.3409537859472633</v>
      </c>
      <c r="BR55" s="72">
        <f t="shared" ca="1" si="139"/>
        <v>7.0505490680573972</v>
      </c>
      <c r="BS55" s="72">
        <f t="shared" ca="1" si="140"/>
        <v>7.3092491591375737</v>
      </c>
      <c r="BT55" s="72">
        <f t="shared" ca="1" si="141"/>
        <v>1.269981180736143</v>
      </c>
      <c r="BU55" s="72">
        <f t="shared" ca="1" si="142"/>
        <v>1.5607822754468146</v>
      </c>
      <c r="BV55" s="72">
        <f t="shared" ca="1" si="143"/>
        <v>1.3409537859472633</v>
      </c>
      <c r="BW55" s="72">
        <f t="shared" ca="1" si="144"/>
        <v>9.7777944218554236</v>
      </c>
      <c r="BX55" s="72">
        <f t="shared" ca="1" si="145"/>
        <v>5.8836624525524623</v>
      </c>
      <c r="BY55" s="72">
        <f t="shared" ca="1" si="146"/>
        <v>1.5533654111483401</v>
      </c>
      <c r="BZ55" s="72">
        <f t="shared" ca="1" si="147"/>
        <v>6.2912591684204475</v>
      </c>
      <c r="CA55" s="72">
        <f t="shared" ca="1" si="148"/>
        <v>4.6212660757316568</v>
      </c>
      <c r="CB55" s="72">
        <f t="shared" ca="1" si="149"/>
        <v>11.235171979412373</v>
      </c>
      <c r="CC55" s="72">
        <f t="shared" ca="1" si="150"/>
        <v>4.6212660757316568</v>
      </c>
      <c r="CD55" s="72">
        <f t="shared" ca="1" si="151"/>
        <v>5.3502922541991031</v>
      </c>
      <c r="CE55" s="72">
        <f t="shared" ca="1" si="152"/>
        <v>13.368630053122146</v>
      </c>
      <c r="CF55" s="72">
        <f t="shared" ca="1" si="153"/>
        <v>5.3502922541991031</v>
      </c>
      <c r="CG55" s="72">
        <f t="shared" ca="1" si="154"/>
        <v>3.8739280593721963</v>
      </c>
    </row>
    <row r="56" spans="1:85" x14ac:dyDescent="0.25">
      <c r="A56" t="str">
        <f t="shared" si="155"/>
        <v>S. Zobbe</v>
      </c>
      <c r="B56">
        <f t="shared" si="155"/>
        <v>36</v>
      </c>
      <c r="C56" s="50">
        <f t="shared" ca="1" si="155"/>
        <v>0</v>
      </c>
      <c r="D56" t="str">
        <f t="shared" si="155"/>
        <v>CAB</v>
      </c>
      <c r="E56" s="207" t="str">
        <f t="shared" si="155"/>
        <v>Cantera</v>
      </c>
      <c r="F56" s="153">
        <f t="shared" si="75"/>
        <v>1.5</v>
      </c>
      <c r="G56" s="154">
        <f t="shared" si="76"/>
        <v>15</v>
      </c>
      <c r="H56" s="49">
        <f t="shared" si="77"/>
        <v>0</v>
      </c>
      <c r="I56" s="49">
        <f t="shared" si="78"/>
        <v>7.95</v>
      </c>
      <c r="J56" s="49">
        <f t="shared" si="79"/>
        <v>11.95</v>
      </c>
      <c r="K56" s="49">
        <f t="shared" si="80"/>
        <v>11.95</v>
      </c>
      <c r="L56" s="49">
        <f t="shared" si="81"/>
        <v>9.9499999999999993</v>
      </c>
      <c r="M56" s="49">
        <f t="shared" si="82"/>
        <v>4.95</v>
      </c>
      <c r="N56" s="49">
        <f t="shared" si="83"/>
        <v>18</v>
      </c>
      <c r="O56" s="154">
        <f t="shared" si="84"/>
        <v>3.8562499999999997</v>
      </c>
      <c r="P56" s="154">
        <f t="shared" si="85"/>
        <v>17.297548910017404</v>
      </c>
      <c r="Q56" s="154">
        <f t="shared" si="86"/>
        <v>0.78749999999999998</v>
      </c>
      <c r="R56" s="154">
        <f t="shared" si="87"/>
        <v>0.85799999999999998</v>
      </c>
      <c r="S56" s="154" t="e">
        <f t="shared" ca="1" si="88"/>
        <v>#VALUE!</v>
      </c>
      <c r="T56" s="72">
        <f t="shared" si="89"/>
        <v>4.872670225540813</v>
      </c>
      <c r="U56" s="72">
        <f t="shared" si="90"/>
        <v>7.3396950872545128</v>
      </c>
      <c r="V56" s="72">
        <f t="shared" si="91"/>
        <v>4.872670225540813</v>
      </c>
      <c r="W56" s="72">
        <f t="shared" si="92"/>
        <v>5.685350786230309</v>
      </c>
      <c r="X56" s="72">
        <f t="shared" si="93"/>
        <v>11.018121678740908</v>
      </c>
      <c r="Y56" s="72">
        <f t="shared" si="94"/>
        <v>2.8426753931151545</v>
      </c>
      <c r="Z56" s="72">
        <f t="shared" si="95"/>
        <v>3.574312959540336</v>
      </c>
      <c r="AA56" s="72">
        <f t="shared" si="96"/>
        <v>4.1648499945640634</v>
      </c>
      <c r="AB56" s="72">
        <f t="shared" si="97"/>
        <v>7.9661019737296757</v>
      </c>
      <c r="AC56" s="72">
        <f t="shared" si="98"/>
        <v>2.0824249972820317</v>
      </c>
      <c r="AD56" s="72">
        <f t="shared" si="99"/>
        <v>5.7819768463152492</v>
      </c>
      <c r="AE56" s="245">
        <f t="shared" si="100"/>
        <v>10.136671944441636</v>
      </c>
      <c r="AF56" s="72">
        <f t="shared" si="101"/>
        <v>4.561502374998736</v>
      </c>
      <c r="AG56" s="72">
        <f t="shared" si="102"/>
        <v>2.5080263203497317</v>
      </c>
      <c r="AH56" s="245">
        <f t="shared" si="103"/>
        <v>8.8306555470996528</v>
      </c>
      <c r="AI56" s="72">
        <f t="shared" si="104"/>
        <v>8.307663745770645</v>
      </c>
      <c r="AJ56" s="72">
        <f t="shared" si="105"/>
        <v>7.8008301485485623</v>
      </c>
      <c r="AK56" s="72">
        <f t="shared" si="106"/>
        <v>3.518376320349732</v>
      </c>
      <c r="AL56" s="72">
        <f t="shared" si="107"/>
        <v>1.9942190434773812</v>
      </c>
      <c r="AM56" s="72">
        <f t="shared" si="108"/>
        <v>2.9748928532600454</v>
      </c>
      <c r="AN56" s="72">
        <f t="shared" si="109"/>
        <v>6.5447642771720993</v>
      </c>
      <c r="AO56" s="72">
        <f t="shared" si="110"/>
        <v>1.4874464266300227</v>
      </c>
      <c r="AP56" s="72">
        <f t="shared" si="111"/>
        <v>14.177106864731416</v>
      </c>
      <c r="AQ56" s="72">
        <f t="shared" si="112"/>
        <v>1.6923558182363181</v>
      </c>
      <c r="AR56" s="72">
        <f t="shared" si="113"/>
        <v>2.9493096518710855</v>
      </c>
      <c r="AS56" s="72">
        <f t="shared" si="114"/>
        <v>0.84617790911815904</v>
      </c>
      <c r="AT56" s="72">
        <f t="shared" si="115"/>
        <v>2.0824249972820317</v>
      </c>
      <c r="AU56" s="72">
        <f t="shared" si="116"/>
        <v>4.4072486714963635</v>
      </c>
      <c r="AV56" s="72">
        <f t="shared" si="117"/>
        <v>1.0412124986410158</v>
      </c>
      <c r="AW56" s="72">
        <f t="shared" si="118"/>
        <v>15.018121678740908</v>
      </c>
      <c r="AX56" s="72">
        <f t="shared" si="119"/>
        <v>3.2935847847214497</v>
      </c>
      <c r="AY56" s="72">
        <f t="shared" si="120"/>
        <v>6.1229850449862404</v>
      </c>
      <c r="AZ56" s="72">
        <f t="shared" si="121"/>
        <v>1.6467923923607248</v>
      </c>
      <c r="BA56" s="72">
        <f t="shared" si="122"/>
        <v>3.2062734085136038</v>
      </c>
      <c r="BB56" s="72">
        <f t="shared" si="123"/>
        <v>3.8343063442018357</v>
      </c>
      <c r="BC56" s="72">
        <f t="shared" si="124"/>
        <v>13.23096519897074</v>
      </c>
      <c r="BD56" s="72">
        <f t="shared" si="125"/>
        <v>12.721110172400667</v>
      </c>
      <c r="BE56" s="72">
        <f t="shared" si="126"/>
        <v>3.1373673245765588</v>
      </c>
      <c r="BF56" s="72">
        <f t="shared" si="127"/>
        <v>5.3437890141893405</v>
      </c>
      <c r="BG56" s="72">
        <f t="shared" si="128"/>
        <v>2.9087841231875999</v>
      </c>
      <c r="BH56" s="72">
        <f t="shared" si="129"/>
        <v>5.7219043596002859</v>
      </c>
      <c r="BI56" s="72">
        <f t="shared" si="130"/>
        <v>12.723838347219555</v>
      </c>
      <c r="BJ56" s="72">
        <f t="shared" si="131"/>
        <v>0.67694232729452719</v>
      </c>
      <c r="BK56" s="72">
        <f t="shared" si="132"/>
        <v>1.9832619021733633</v>
      </c>
      <c r="BL56" s="72">
        <f t="shared" si="133"/>
        <v>0.74923227415438176</v>
      </c>
      <c r="BM56" s="72">
        <f t="shared" si="134"/>
        <v>4.580527112015977</v>
      </c>
      <c r="BN56" s="72">
        <f t="shared" si="135"/>
        <v>18.741304478860808</v>
      </c>
      <c r="BO56" s="72">
        <f t="shared" si="136"/>
        <v>1.7574464266300227</v>
      </c>
      <c r="BP56" s="72">
        <f t="shared" si="137"/>
        <v>3.1291465567624175</v>
      </c>
      <c r="BQ56" s="72">
        <f t="shared" si="138"/>
        <v>2.6884216896127815</v>
      </c>
      <c r="BR56" s="72">
        <f t="shared" si="139"/>
        <v>6.8332453638271131</v>
      </c>
      <c r="BS56" s="72">
        <f t="shared" si="140"/>
        <v>16.152078820044924</v>
      </c>
      <c r="BT56" s="72">
        <f t="shared" si="141"/>
        <v>1.5751927231276497</v>
      </c>
      <c r="BU56" s="72">
        <f t="shared" si="142"/>
        <v>3.1291465567624175</v>
      </c>
      <c r="BV56" s="72">
        <f t="shared" si="143"/>
        <v>2.6884216896127815</v>
      </c>
      <c r="BW56" s="72">
        <f t="shared" si="144"/>
        <v>9.4764347792855137</v>
      </c>
      <c r="BX56" s="72">
        <f t="shared" si="145"/>
        <v>13.055218902473111</v>
      </c>
      <c r="BY56" s="72">
        <f t="shared" si="146"/>
        <v>1.9266820084536542</v>
      </c>
      <c r="BZ56" s="72">
        <f t="shared" si="147"/>
        <v>6.097357401568809</v>
      </c>
      <c r="CA56" s="72">
        <f t="shared" si="148"/>
        <v>6.4354413946240125</v>
      </c>
      <c r="CB56" s="72">
        <f t="shared" si="149"/>
        <v>11.743405010262261</v>
      </c>
      <c r="CC56" s="72">
        <f t="shared" si="150"/>
        <v>6.4354413946240125</v>
      </c>
      <c r="CD56" s="72">
        <f t="shared" si="151"/>
        <v>7.1222898058555852</v>
      </c>
      <c r="CE56" s="72">
        <f t="shared" si="152"/>
        <v>12.821808578196302</v>
      </c>
      <c r="CF56" s="72">
        <f t="shared" si="153"/>
        <v>7.1222898058555852</v>
      </c>
      <c r="CG56" s="72">
        <f t="shared" si="154"/>
        <v>3.7545304196852269</v>
      </c>
    </row>
    <row r="57" spans="1:85" x14ac:dyDescent="0.25">
      <c r="A57" t="str">
        <f t="shared" ref="A57:E66" si="156">A23</f>
        <v>P .Trivadi</v>
      </c>
      <c r="B57">
        <f t="shared" si="156"/>
        <v>35</v>
      </c>
      <c r="C57" s="50">
        <f t="shared" ca="1" si="156"/>
        <v>68</v>
      </c>
      <c r="D57">
        <f t="shared" si="156"/>
        <v>0</v>
      </c>
      <c r="E57" s="207" t="str">
        <f t="shared" si="156"/>
        <v>Cantera</v>
      </c>
      <c r="F57" s="153">
        <f t="shared" si="75"/>
        <v>1.5</v>
      </c>
      <c r="G57" s="154">
        <f t="shared" si="76"/>
        <v>6.3</v>
      </c>
      <c r="H57" s="49">
        <f t="shared" si="77"/>
        <v>0</v>
      </c>
      <c r="I57" s="49">
        <f t="shared" si="78"/>
        <v>3.95</v>
      </c>
      <c r="J57" s="49">
        <f t="shared" si="79"/>
        <v>5.95</v>
      </c>
      <c r="K57" s="49">
        <f t="shared" si="80"/>
        <v>4.95</v>
      </c>
      <c r="L57" s="49">
        <f t="shared" si="81"/>
        <v>9.9499999999999993</v>
      </c>
      <c r="M57" s="49">
        <f t="shared" si="82"/>
        <v>5.95</v>
      </c>
      <c r="N57" s="49">
        <f t="shared" si="83"/>
        <v>15</v>
      </c>
      <c r="O57" s="154">
        <f t="shared" si="84"/>
        <v>3.3562499999999997</v>
      </c>
      <c r="P57" s="154">
        <f t="shared" si="85"/>
        <v>16.197390152389886</v>
      </c>
      <c r="Q57" s="154">
        <f t="shared" si="86"/>
        <v>0.74749999999999994</v>
      </c>
      <c r="R57" s="154">
        <f t="shared" si="87"/>
        <v>0.60799999999999998</v>
      </c>
      <c r="S57" s="154" t="e">
        <f t="shared" ca="1" si="88"/>
        <v>#VALUE!</v>
      </c>
      <c r="T57" s="72">
        <f t="shared" si="89"/>
        <v>3.3301323995639689</v>
      </c>
      <c r="U57" s="72">
        <f t="shared" si="90"/>
        <v>4.9911815324594322</v>
      </c>
      <c r="V57" s="72">
        <f t="shared" si="91"/>
        <v>3.3301323995639689</v>
      </c>
      <c r="W57" s="72">
        <f t="shared" si="92"/>
        <v>3.3621462980240642</v>
      </c>
      <c r="X57" s="72">
        <f t="shared" si="93"/>
        <v>6.5157873992714421</v>
      </c>
      <c r="Y57" s="72">
        <f t="shared" si="94"/>
        <v>1.6810731490120321</v>
      </c>
      <c r="Z57" s="72">
        <f t="shared" si="95"/>
        <v>2.026757401026603</v>
      </c>
      <c r="AA57" s="72">
        <f t="shared" si="96"/>
        <v>2.462967636924605</v>
      </c>
      <c r="AB57" s="72">
        <f t="shared" si="97"/>
        <v>4.7109142896732523</v>
      </c>
      <c r="AC57" s="72">
        <f t="shared" si="98"/>
        <v>1.2314838184623025</v>
      </c>
      <c r="AD57" s="72">
        <f t="shared" si="99"/>
        <v>3.2785781487195051</v>
      </c>
      <c r="AE57" s="245">
        <f t="shared" si="100"/>
        <v>5.9945244073297266</v>
      </c>
      <c r="AF57" s="72">
        <f t="shared" si="101"/>
        <v>2.6975359832983767</v>
      </c>
      <c r="AG57" s="72">
        <f t="shared" si="102"/>
        <v>1.4221364956783309</v>
      </c>
      <c r="AH57" s="245">
        <f t="shared" si="103"/>
        <v>4.4192829907716078</v>
      </c>
      <c r="AI57" s="72">
        <f t="shared" si="104"/>
        <v>4.9129036990506672</v>
      </c>
      <c r="AJ57" s="72">
        <f t="shared" si="105"/>
        <v>4.6131774786841806</v>
      </c>
      <c r="AK57" s="72">
        <f t="shared" si="106"/>
        <v>2.9334864956783311</v>
      </c>
      <c r="AL57" s="72">
        <f t="shared" si="107"/>
        <v>1.705546770990175</v>
      </c>
      <c r="AM57" s="72">
        <f t="shared" si="108"/>
        <v>1.7592625978032894</v>
      </c>
      <c r="AN57" s="72">
        <f t="shared" si="109"/>
        <v>3.8703777151672365</v>
      </c>
      <c r="AO57" s="72">
        <f t="shared" si="110"/>
        <v>0.87963129890164471</v>
      </c>
      <c r="AP57" s="72">
        <f t="shared" si="111"/>
        <v>8.0389033049122407</v>
      </c>
      <c r="AQ57" s="72">
        <f t="shared" si="112"/>
        <v>1.6270523619052875</v>
      </c>
      <c r="AR57" s="72">
        <f t="shared" si="113"/>
        <v>2.9751257079865328</v>
      </c>
      <c r="AS57" s="72">
        <f t="shared" si="114"/>
        <v>0.81352618095264373</v>
      </c>
      <c r="AT57" s="72">
        <f t="shared" si="115"/>
        <v>1.2314838184623025</v>
      </c>
      <c r="AU57" s="72">
        <f t="shared" si="116"/>
        <v>2.6063149597085769</v>
      </c>
      <c r="AV57" s="72">
        <f t="shared" si="117"/>
        <v>0.61574190923115124</v>
      </c>
      <c r="AW57" s="72">
        <f t="shared" si="118"/>
        <v>8.5157873992714421</v>
      </c>
      <c r="AX57" s="72">
        <f t="shared" si="119"/>
        <v>3.1664942120156749</v>
      </c>
      <c r="AY57" s="72">
        <f t="shared" si="120"/>
        <v>6.0561988569985648</v>
      </c>
      <c r="AZ57" s="72">
        <f t="shared" si="121"/>
        <v>1.5832471060078375</v>
      </c>
      <c r="BA57" s="72">
        <f t="shared" si="122"/>
        <v>1.8960941331879895</v>
      </c>
      <c r="BB57" s="72">
        <f t="shared" si="123"/>
        <v>2.2674940149464615</v>
      </c>
      <c r="BC57" s="72">
        <f t="shared" si="124"/>
        <v>7.5024086987581402</v>
      </c>
      <c r="BD57" s="72">
        <f t="shared" si="125"/>
        <v>8.2565349979523113</v>
      </c>
      <c r="BE57" s="72">
        <f t="shared" si="126"/>
        <v>3.0163047632244173</v>
      </c>
      <c r="BF57" s="72">
        <f t="shared" si="127"/>
        <v>3.1601568886466493</v>
      </c>
      <c r="BG57" s="72">
        <f t="shared" si="128"/>
        <v>1.7201678734076609</v>
      </c>
      <c r="BH57" s="72">
        <f t="shared" si="129"/>
        <v>3.2445149991224196</v>
      </c>
      <c r="BI57" s="72">
        <f t="shared" si="130"/>
        <v>7.5737981869632414</v>
      </c>
      <c r="BJ57" s="72">
        <f t="shared" si="131"/>
        <v>0.65082094476211494</v>
      </c>
      <c r="BK57" s="72">
        <f t="shared" si="132"/>
        <v>1.1728417318688595</v>
      </c>
      <c r="BL57" s="72">
        <f t="shared" si="133"/>
        <v>0.4430735431504581</v>
      </c>
      <c r="BM57" s="72">
        <f t="shared" si="134"/>
        <v>2.5973151567777899</v>
      </c>
      <c r="BN57" s="72">
        <f t="shared" si="135"/>
        <v>11.095302595463075</v>
      </c>
      <c r="BO57" s="72">
        <f t="shared" si="136"/>
        <v>1.6896312989016449</v>
      </c>
      <c r="BP57" s="72">
        <f t="shared" si="137"/>
        <v>1.8504836213930893</v>
      </c>
      <c r="BQ57" s="72">
        <f t="shared" si="138"/>
        <v>1.5898521254222318</v>
      </c>
      <c r="BR57" s="72">
        <f t="shared" si="139"/>
        <v>3.8746832666685065</v>
      </c>
      <c r="BS57" s="72">
        <f t="shared" si="140"/>
        <v>9.5474924383927586</v>
      </c>
      <c r="BT57" s="72">
        <f t="shared" si="141"/>
        <v>1.5144102753118445</v>
      </c>
      <c r="BU57" s="72">
        <f t="shared" si="142"/>
        <v>1.8504836213930893</v>
      </c>
      <c r="BV57" s="72">
        <f t="shared" si="143"/>
        <v>1.5898521254222318</v>
      </c>
      <c r="BW57" s="72">
        <f t="shared" si="144"/>
        <v>5.3734618489402797</v>
      </c>
      <c r="BX57" s="72">
        <f t="shared" si="145"/>
        <v>7.6916297223479404</v>
      </c>
      <c r="BY57" s="72">
        <f t="shared" si="146"/>
        <v>1.8523365350921734</v>
      </c>
      <c r="BZ57" s="72">
        <f t="shared" si="147"/>
        <v>3.4574096841042059</v>
      </c>
      <c r="CA57" s="72">
        <f t="shared" si="148"/>
        <v>5.2927252350204217</v>
      </c>
      <c r="CB57" s="72">
        <f t="shared" si="149"/>
        <v>11.760776611579644</v>
      </c>
      <c r="CC57" s="72">
        <f t="shared" si="150"/>
        <v>5.2927252350204217</v>
      </c>
      <c r="CD57" s="72">
        <f t="shared" si="151"/>
        <v>5.5223355497461082</v>
      </c>
      <c r="CE57" s="72">
        <f t="shared" si="152"/>
        <v>13.134112949602605</v>
      </c>
      <c r="CF57" s="72">
        <f t="shared" si="153"/>
        <v>5.5223355497461082</v>
      </c>
      <c r="CG57" s="72">
        <f t="shared" si="154"/>
        <v>2.1289468498178605</v>
      </c>
    </row>
    <row r="58" spans="1:85" x14ac:dyDescent="0.25">
      <c r="C58" s="50"/>
      <c r="E58" s="207"/>
      <c r="F58" s="153"/>
      <c r="G58" s="154"/>
      <c r="H58" s="49"/>
      <c r="I58" s="49"/>
      <c r="J58" s="49"/>
      <c r="K58" s="49"/>
      <c r="L58" s="49"/>
      <c r="M58" s="49"/>
      <c r="N58" s="49"/>
      <c r="O58" s="154"/>
      <c r="P58" s="154"/>
      <c r="Q58" s="154"/>
      <c r="R58" s="154"/>
      <c r="S58" s="154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245"/>
      <c r="AF58" s="72"/>
      <c r="AG58" s="72"/>
      <c r="AH58" s="245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  <c r="CC58" s="72"/>
      <c r="CD58" s="72"/>
      <c r="CE58" s="72"/>
      <c r="CF58" s="72"/>
      <c r="CG58" s="72"/>
    </row>
    <row r="59" spans="1:85" x14ac:dyDescent="0.25">
      <c r="C59" s="50"/>
      <c r="E59" s="207"/>
      <c r="F59" s="153"/>
      <c r="G59" s="154"/>
      <c r="H59" s="49"/>
      <c r="I59" s="49"/>
      <c r="J59" s="49"/>
      <c r="K59" s="49"/>
      <c r="L59" s="49"/>
      <c r="M59" s="49"/>
      <c r="N59" s="49"/>
      <c r="O59" s="154"/>
      <c r="P59" s="154"/>
      <c r="Q59" s="154"/>
      <c r="R59" s="154"/>
      <c r="S59" s="154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245"/>
      <c r="AF59" s="72"/>
      <c r="AG59" s="72"/>
      <c r="AH59" s="245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2"/>
      <c r="CC59" s="72"/>
      <c r="CD59" s="72"/>
      <c r="CE59" s="72"/>
      <c r="CF59" s="72"/>
      <c r="CG59" s="72"/>
    </row>
    <row r="60" spans="1:85" x14ac:dyDescent="0.25">
      <c r="C60" s="50"/>
      <c r="E60" s="207"/>
      <c r="F60" s="153"/>
      <c r="G60" s="154"/>
      <c r="H60" s="49"/>
      <c r="I60" s="49"/>
      <c r="J60" s="49"/>
      <c r="K60" s="49"/>
      <c r="L60" s="49"/>
      <c r="M60" s="49"/>
      <c r="N60" s="49"/>
      <c r="O60" s="154"/>
      <c r="P60" s="154"/>
      <c r="Q60" s="154"/>
      <c r="R60" s="154"/>
      <c r="S60" s="154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245"/>
      <c r="AF60" s="72"/>
      <c r="AG60" s="72"/>
      <c r="AH60" s="245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2"/>
      <c r="CE60" s="72"/>
      <c r="CF60" s="72"/>
      <c r="CG60" s="72"/>
    </row>
  </sheetData>
  <mergeCells count="2">
    <mergeCell ref="A1:E1"/>
    <mergeCell ref="A35:E35"/>
  </mergeCells>
  <conditionalFormatting sqref="X37:X60 AE37:AE60 AP37:AP60 AW37:AW60 BC37:BC60 BH37:BH60">
    <cfRule type="cellIs" dxfId="40" priority="1" operator="greaterThan">
      <formula>12</formula>
    </cfRule>
  </conditionalFormatting>
  <conditionalFormatting sqref="G37:G60">
    <cfRule type="cellIs" dxfId="39" priority="2" operator="greaterThan">
      <formula>7</formula>
    </cfRule>
  </conditionalFormatting>
  <conditionalFormatting sqref="T37:W60 Y37:AD60 AF37:AF60 AH37:AJ60 AL37:AO60 AQ37:AV60 AX37:BA60 BD37:BG60 BI37:CG60">
    <cfRule type="cellIs" dxfId="38" priority="3" operator="greaterThan">
      <formula>12.5</formula>
    </cfRule>
  </conditionalFormatting>
  <conditionalFormatting sqref="Q37:R60">
    <cfRule type="cellIs" dxfId="37" priority="4" operator="greaterThan">
      <formula>0.6</formula>
    </cfRule>
  </conditionalFormatting>
  <conditionalFormatting sqref="O37:O60">
    <cfRule type="cellIs" dxfId="36" priority="5" operator="greaterThan">
      <formula>3.2</formula>
    </cfRule>
  </conditionalFormatting>
  <conditionalFormatting sqref="S37:S60">
    <cfRule type="cellIs" dxfId="35" priority="6" operator="greaterThan">
      <formula>15</formula>
    </cfRule>
  </conditionalFormatting>
  <conditionalFormatting sqref="P37:P60">
    <cfRule type="colorScale" priority="7">
      <colorScale>
        <cfvo type="min"/>
        <cfvo type="max"/>
        <color rgb="FFFFEF9C"/>
        <color rgb="FF63BE7B"/>
      </colorScale>
    </cfRule>
  </conditionalFormatting>
  <conditionalFormatting sqref="H37:N60">
    <cfRule type="colorScale" priority="8">
      <colorScale>
        <cfvo type="min"/>
        <cfvo type="max"/>
        <color rgb="FFFCFCFF"/>
        <color rgb="FFF8696B"/>
      </colorScale>
    </cfRule>
  </conditionalFormatting>
  <conditionalFormatting sqref="AB3:AB26 AI3:AI26 AT3:AT26 BA3:BA26 BG3:BG26 BL3:BL26">
    <cfRule type="cellIs" dxfId="34" priority="9" operator="greaterThan">
      <formula>12</formula>
    </cfRule>
  </conditionalFormatting>
  <conditionalFormatting sqref="J3:J26">
    <cfRule type="cellIs" dxfId="33" priority="10" operator="greaterThan">
      <formula>7</formula>
    </cfRule>
  </conditionalFormatting>
  <conditionalFormatting sqref="X3:AA26 AC3:AH26 AJ3:AJ26 AL3:AN26 AP3:AS26 AU3:AZ26 BB3:BE26 BH3:BK26 BM3:CK26">
    <cfRule type="cellIs" dxfId="32" priority="11" operator="greaterThan">
      <formula>12.5</formula>
    </cfRule>
  </conditionalFormatting>
  <conditionalFormatting sqref="T3:U26">
    <cfRule type="cellIs" dxfId="31" priority="12" operator="greaterThan">
      <formula>0.6</formula>
    </cfRule>
  </conditionalFormatting>
  <conditionalFormatting sqref="R3:R26">
    <cfRule type="cellIs" dxfId="30" priority="13" operator="greaterThan">
      <formula>3.2</formula>
    </cfRule>
  </conditionalFormatting>
  <conditionalFormatting sqref="V3:W26">
    <cfRule type="cellIs" dxfId="29" priority="14" operator="greaterThan">
      <formula>15</formula>
    </cfRule>
  </conditionalFormatting>
  <conditionalFormatting sqref="K3:Q26">
    <cfRule type="colorScale" priority="15">
      <colorScale>
        <cfvo type="min"/>
        <cfvo type="max"/>
        <color rgb="FFFCFCFF"/>
        <color rgb="FFF8696B"/>
      </colorScale>
    </cfRule>
  </conditionalFormatting>
  <conditionalFormatting sqref="S3:S26">
    <cfRule type="colorScale" priority="1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22"/>
  <sheetViews>
    <sheetView workbookViewId="0">
      <selection activeCell="A23" sqref="A23"/>
    </sheetView>
  </sheetViews>
  <sheetFormatPr baseColWidth="10" defaultColWidth="10.7109375" defaultRowHeight="15" x14ac:dyDescent="0.25"/>
  <sheetData>
    <row r="22" spans="1:1" x14ac:dyDescent="0.25">
      <c r="A22" s="74">
        <v>43720</v>
      </c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4DFEC"/>
  </sheetPr>
  <dimension ref="A1:AA34"/>
  <sheetViews>
    <sheetView workbookViewId="0">
      <selection activeCell="AB8" sqref="AB8"/>
    </sheetView>
  </sheetViews>
  <sheetFormatPr baseColWidth="10" defaultColWidth="11.42578125" defaultRowHeight="15" x14ac:dyDescent="0.25"/>
  <cols>
    <col min="1" max="1" width="15.140625" customWidth="1"/>
    <col min="2" max="3" width="6.5703125" customWidth="1"/>
    <col min="4" max="4" width="6.5703125" style="4" customWidth="1"/>
    <col min="5" max="6" width="6.5703125" customWidth="1"/>
    <col min="8" max="8" width="13.28515625" customWidth="1"/>
    <col min="9" max="9" width="5.85546875" customWidth="1"/>
    <col min="10" max="11" width="5.5703125" customWidth="1"/>
    <col min="13" max="13" width="15.140625" customWidth="1"/>
    <col min="14" max="14" width="4.5703125" customWidth="1"/>
    <col min="15" max="15" width="3.5703125" customWidth="1"/>
    <col min="16" max="16" width="4.5703125" customWidth="1"/>
    <col min="17" max="18" width="5.5703125" customWidth="1"/>
    <col min="19" max="20" width="5.140625" customWidth="1"/>
    <col min="23" max="23" width="15.140625" customWidth="1"/>
    <col min="24" max="25" width="5.5703125" customWidth="1"/>
    <col min="26" max="26" width="6.5703125" customWidth="1"/>
    <col min="27" max="27" width="5.5703125" customWidth="1"/>
  </cols>
  <sheetData>
    <row r="1" spans="1:27" ht="18.75" x14ac:dyDescent="0.3">
      <c r="A1" s="116" t="s">
        <v>87</v>
      </c>
      <c r="B1" s="116" t="s">
        <v>37</v>
      </c>
      <c r="C1" s="116" t="s">
        <v>198</v>
      </c>
      <c r="D1" s="96" t="s">
        <v>496</v>
      </c>
      <c r="E1" s="96" t="s">
        <v>497</v>
      </c>
      <c r="F1" s="96" t="s">
        <v>498</v>
      </c>
      <c r="M1" s="189" t="str">
        <f>Plantilla!D3</f>
        <v>Jugador</v>
      </c>
      <c r="N1" s="189" t="s">
        <v>93</v>
      </c>
      <c r="O1" s="189" t="str">
        <f>Plantilla!AC3</f>
        <v>An</v>
      </c>
      <c r="P1" s="189" t="str">
        <f>Plantilla!AD3</f>
        <v>PA</v>
      </c>
      <c r="Q1" s="189" t="str">
        <f>Plantilla!AI3</f>
        <v>TL</v>
      </c>
      <c r="R1" s="189" t="str">
        <f>Plantilla!AJ3</f>
        <v>PEN</v>
      </c>
      <c r="S1" s="189" t="str">
        <f>Plantilla!AK3</f>
        <v>BPiA</v>
      </c>
      <c r="T1" s="189" t="str">
        <f>Plantilla!AL3</f>
        <v>BPiD</v>
      </c>
      <c r="W1" s="506" t="s">
        <v>499</v>
      </c>
      <c r="X1" s="506"/>
      <c r="Y1" s="506"/>
      <c r="Z1" s="506"/>
      <c r="AA1" s="506"/>
    </row>
    <row r="2" spans="1:27" x14ac:dyDescent="0.25">
      <c r="A2" t="str">
        <f>Plantilla!D4</f>
        <v>D. Gehmacher</v>
      </c>
      <c r="B2" s="72">
        <f ca="1">Plantilla!Y4++Plantilla!J4+Plantilla!P4</f>
        <v>11.847661165249077</v>
      </c>
      <c r="C2" s="72">
        <f ca="1">Plantilla!AB4+Plantilla!J4+Plantilla!P4</f>
        <v>2.8976611652490769</v>
      </c>
      <c r="D2" s="109">
        <f t="shared" ref="D2:D25" ca="1" si="0">(C2*2+B2)/8</f>
        <v>2.2053729369684039</v>
      </c>
      <c r="E2" s="72">
        <f ca="1">D2*Plantilla!R4</f>
        <v>2.2053729369684039</v>
      </c>
      <c r="F2" s="72">
        <f ca="1">D2*Plantilla!S4</f>
        <v>2.2053729369684039</v>
      </c>
      <c r="M2" t="str">
        <f>Plantilla!D4</f>
        <v>D. Gehmacher</v>
      </c>
      <c r="N2" s="48">
        <f>Plantilla!J4</f>
        <v>1.8976611652490771</v>
      </c>
      <c r="O2" s="72">
        <f>Plantilla!AC4</f>
        <v>0</v>
      </c>
      <c r="P2" s="72">
        <f>Plantilla!AD4</f>
        <v>17.95</v>
      </c>
      <c r="Q2" s="48">
        <f ca="1">Plantilla!AI4</f>
        <v>8.6763311752004615</v>
      </c>
      <c r="R2" s="48">
        <f ca="1">Plantilla!AJ4</f>
        <v>15.462661165249076</v>
      </c>
      <c r="S2" s="48">
        <f ca="1">Plantilla!AK4</f>
        <v>0.77031289321992613</v>
      </c>
      <c r="T2" s="48">
        <f ca="1">Plantilla!AL4</f>
        <v>1.0993362815674352</v>
      </c>
      <c r="W2" t="str">
        <f>M8</f>
        <v>L. Tutorić</v>
      </c>
      <c r="X2" s="117">
        <f>N8</f>
        <v>1.110011883608315</v>
      </c>
      <c r="Y2" s="117">
        <f>O8</f>
        <v>7</v>
      </c>
      <c r="Z2" s="117">
        <f>P8</f>
        <v>15.333333333333334</v>
      </c>
      <c r="AA2" s="117"/>
    </row>
    <row r="3" spans="1:27" x14ac:dyDescent="0.25">
      <c r="A3" t="str">
        <f>Plantilla!D5</f>
        <v>林 (Lin) 光维 (Guangwei)</v>
      </c>
      <c r="B3" s="72">
        <f ca="1">Plantilla!Y5++Plantilla!J5+Plantilla!P5</f>
        <v>6.4954197936920632</v>
      </c>
      <c r="C3" s="72">
        <f ca="1">Plantilla!AB5+Plantilla!J5+Plantilla!P5</f>
        <v>6.4954197936920632</v>
      </c>
      <c r="D3" s="109">
        <f t="shared" ca="1" si="0"/>
        <v>2.4357824226345235</v>
      </c>
      <c r="E3" s="72">
        <f ca="1">D3*Plantilla!R5</f>
        <v>2.2550963255477217</v>
      </c>
      <c r="F3" s="72">
        <f ca="1">D3*Plantilla!S5</f>
        <v>2.4340419562296258</v>
      </c>
      <c r="M3" t="str">
        <f>Plantilla!D5</f>
        <v>林 (Lin) 光维 (Guangwei)</v>
      </c>
      <c r="N3" s="48">
        <f>Plantilla!J5</f>
        <v>0.87095001836712493</v>
      </c>
      <c r="O3" s="72">
        <f>Plantilla!AC5</f>
        <v>3</v>
      </c>
      <c r="P3" s="72">
        <f>Plantilla!AD5</f>
        <v>19.25</v>
      </c>
      <c r="Q3" s="48">
        <f ca="1">Plantilla!AI5</f>
        <v>10.436193887679014</v>
      </c>
      <c r="R3" s="48">
        <f ca="1">Plantilla!AJ5</f>
        <v>14.693153636828258</v>
      </c>
      <c r="S3" s="48">
        <f ca="1">Plantilla!AK5</f>
        <v>0.84713358349536494</v>
      </c>
      <c r="T3" s="48">
        <f ca="1">Plantilla!AL5</f>
        <v>0.88217938555844433</v>
      </c>
      <c r="W3" t="str">
        <f>M12</f>
        <v>S. Embe</v>
      </c>
      <c r="X3" s="117">
        <f>N12</f>
        <v>0.72542405913370089</v>
      </c>
      <c r="Y3" s="117">
        <f>O12</f>
        <v>6</v>
      </c>
      <c r="Z3" s="117">
        <f>P12</f>
        <v>17.333333333333332</v>
      </c>
      <c r="AA3" s="117"/>
    </row>
    <row r="4" spans="1:27" x14ac:dyDescent="0.25">
      <c r="A4" t="str">
        <f>Plantilla!D6</f>
        <v>E. Toney</v>
      </c>
      <c r="B4" s="72">
        <f>Plantilla!Y6++Plantilla!J6+Plantilla!P6</f>
        <v>12.187594743227315</v>
      </c>
      <c r="C4" s="72">
        <f>Plantilla!AB6+Plantilla!J6+Plantilla!P6</f>
        <v>7.1875947432273186</v>
      </c>
      <c r="D4" s="109">
        <f t="shared" si="0"/>
        <v>3.320348028710244</v>
      </c>
      <c r="E4" s="72">
        <f>D4*Plantilla!R6</f>
        <v>1.7748006754691399</v>
      </c>
      <c r="F4" s="72">
        <f>D4*Plantilla!S6</f>
        <v>2.1700522042753589</v>
      </c>
      <c r="M4" t="str">
        <f>Plantilla!D6</f>
        <v>E. Toney</v>
      </c>
      <c r="N4" s="48">
        <f>Plantilla!J6</f>
        <v>1.7375947432273184</v>
      </c>
      <c r="O4" s="72">
        <f>Plantilla!AC6</f>
        <v>0</v>
      </c>
      <c r="P4" s="72">
        <f>Plantilla!AD6</f>
        <v>15</v>
      </c>
      <c r="Q4" s="48">
        <f>Plantilla!AI6</f>
        <v>4.1719930906137419</v>
      </c>
      <c r="R4" s="48">
        <f>Plantilla!AJ6</f>
        <v>7.3430532639290513</v>
      </c>
      <c r="S4" s="48">
        <f>Plantilla!AK6</f>
        <v>0.70900757945818549</v>
      </c>
      <c r="T4" s="48">
        <f>Plantilla!AL6</f>
        <v>1.0346316320259121</v>
      </c>
      <c r="W4" t="str">
        <f t="shared" ref="W4:Z5" si="1">M10</f>
        <v>A. Grimaud</v>
      </c>
      <c r="X4" s="117">
        <f t="shared" si="1"/>
        <v>1.0078331408966552</v>
      </c>
      <c r="Y4" s="117">
        <f t="shared" si="1"/>
        <v>5</v>
      </c>
      <c r="Z4" s="117">
        <f t="shared" si="1"/>
        <v>14.333333333333334</v>
      </c>
      <c r="AA4" s="117"/>
    </row>
    <row r="5" spans="1:27" x14ac:dyDescent="0.25">
      <c r="A5" t="str">
        <f>Plantilla!D7</f>
        <v>F. Lasprilla</v>
      </c>
      <c r="B5" s="72">
        <f>Plantilla!Y7++Plantilla!J7+Plantilla!P7</f>
        <v>11.661313358504863</v>
      </c>
      <c r="C5" s="72">
        <f>Plantilla!AB7+Plantilla!J7+Plantilla!P7</f>
        <v>10.661313358504866</v>
      </c>
      <c r="D5" s="109">
        <f t="shared" si="0"/>
        <v>4.1229925094393245</v>
      </c>
      <c r="E5" s="72">
        <f>D5*Plantilla!R7</f>
        <v>1.5583446910512255</v>
      </c>
      <c r="F5" s="72">
        <f>D5*Plantilla!S7</f>
        <v>2.1983157121973642</v>
      </c>
      <c r="M5" t="str">
        <f>Plantilla!D7</f>
        <v>F. Lasprilla</v>
      </c>
      <c r="N5" s="48">
        <f>Plantilla!J7</f>
        <v>1.2113133585048663</v>
      </c>
      <c r="O5" s="72">
        <f>Plantilla!AC7</f>
        <v>0.95</v>
      </c>
      <c r="P5" s="72">
        <f>Plantilla!AD7</f>
        <v>14</v>
      </c>
      <c r="Q5" s="48">
        <f>Plantilla!AI7</f>
        <v>2.8986104968459503</v>
      </c>
      <c r="R5" s="48">
        <f>Plantilla!AJ7</f>
        <v>4.8365518350082262</v>
      </c>
      <c r="S5" s="48">
        <f>Plantilla!AK7</f>
        <v>0.68440506868038931</v>
      </c>
      <c r="T5" s="48">
        <f>Plantilla!AL7</f>
        <v>0.96779193509534056</v>
      </c>
      <c r="W5" t="str">
        <f t="shared" si="1"/>
        <v>V. Gardner</v>
      </c>
      <c r="X5" s="117">
        <f t="shared" si="1"/>
        <v>0.8961304772476234</v>
      </c>
      <c r="Y5" s="117">
        <f t="shared" si="1"/>
        <v>6</v>
      </c>
      <c r="Z5" s="117">
        <f t="shared" si="1"/>
        <v>16</v>
      </c>
      <c r="AA5" s="117"/>
    </row>
    <row r="6" spans="1:27" x14ac:dyDescent="0.25">
      <c r="A6" t="str">
        <f>Plantilla!D8</f>
        <v>E. Romweber</v>
      </c>
      <c r="B6" s="72">
        <f>Plantilla!Y8++Plantilla!J8+Plantilla!P8</f>
        <v>12.187594743227315</v>
      </c>
      <c r="C6" s="72">
        <f>Plantilla!AB8+Plantilla!J8+Plantilla!P8</f>
        <v>10.187594743227319</v>
      </c>
      <c r="D6" s="109">
        <f t="shared" si="0"/>
        <v>4.070348028710244</v>
      </c>
      <c r="E6" s="72">
        <f>D6*Plantilla!R8</f>
        <v>3.0768938952712284</v>
      </c>
      <c r="F6" s="72">
        <f>D6*Plantilla!S8</f>
        <v>3.4366301609774363</v>
      </c>
      <c r="M6" t="str">
        <f>Plantilla!D8</f>
        <v>E. Romweber</v>
      </c>
      <c r="N6" s="48">
        <f>Plantilla!J8</f>
        <v>1.7375947432273184</v>
      </c>
      <c r="O6" s="72">
        <f>Plantilla!AC8</f>
        <v>0.95</v>
      </c>
      <c r="P6" s="72">
        <f>Plantilla!AD8</f>
        <v>16</v>
      </c>
      <c r="Q6" s="48">
        <f>Plantilla!AI8</f>
        <v>7.5079500790540497</v>
      </c>
      <c r="R6" s="48">
        <f>Plantilla!AJ8</f>
        <v>11.129235526904663</v>
      </c>
      <c r="S6" s="48">
        <f>Plantilla!AK8</f>
        <v>0.7865075794581855</v>
      </c>
      <c r="T6" s="48">
        <f>Plantilla!AL8</f>
        <v>1.0646316320259122</v>
      </c>
      <c r="W6" t="str">
        <f>M17</f>
        <v>M. Bondarewski</v>
      </c>
      <c r="X6" s="117">
        <f>N17</f>
        <v>0.92026144003801835</v>
      </c>
      <c r="Y6" s="117">
        <f>O17</f>
        <v>8</v>
      </c>
      <c r="Z6" s="117">
        <f>P17</f>
        <v>17</v>
      </c>
      <c r="AA6" s="117"/>
    </row>
    <row r="7" spans="1:27" x14ac:dyDescent="0.25">
      <c r="A7" t="str">
        <f>Plantilla!D21</f>
        <v>S. Buschelman</v>
      </c>
      <c r="B7" s="72">
        <f>Plantilla!Y21++Plantilla!J21+Plantilla!P21</f>
        <v>11.069791797396931</v>
      </c>
      <c r="C7" s="72">
        <f>Plantilla!AB21+Plantilla!J21+Plantilla!P21</f>
        <v>10.069791797396931</v>
      </c>
      <c r="D7" s="109">
        <f t="shared" si="0"/>
        <v>3.9011719240238492</v>
      </c>
      <c r="E7" s="72">
        <f>D7*Plantilla!R21</f>
        <v>3.9011719240238492</v>
      </c>
      <c r="F7" s="72">
        <f>D7*Plantilla!S21</f>
        <v>3.9011719240238492</v>
      </c>
      <c r="M7" t="str">
        <f>Plantilla!D21</f>
        <v>S. Buschelman</v>
      </c>
      <c r="N7" s="48">
        <f>Plantilla!J21</f>
        <v>1.6197917973969302</v>
      </c>
      <c r="O7" s="72">
        <f>Plantilla!AC21</f>
        <v>0.95</v>
      </c>
      <c r="P7" s="72">
        <f>Plantilla!AD21</f>
        <v>16</v>
      </c>
      <c r="Q7" s="48">
        <f>Plantilla!AI21</f>
        <v>9.6717398722472172</v>
      </c>
      <c r="R7" s="48">
        <f>Plantilla!AJ21</f>
        <v>14.604791797396931</v>
      </c>
      <c r="S7" s="48">
        <f>Plantilla!AK21</f>
        <v>0.77708334379175437</v>
      </c>
      <c r="T7" s="48">
        <f>Plantilla!AL21</f>
        <v>1.0163854258177851</v>
      </c>
      <c r="W7" t="str">
        <f>M14</f>
        <v>I. Vanags</v>
      </c>
      <c r="X7" s="117">
        <f>N14</f>
        <v>0.74173666768971636</v>
      </c>
      <c r="Y7" s="117">
        <f>O14</f>
        <v>7</v>
      </c>
      <c r="Z7" s="117">
        <f>P14</f>
        <v>16.333333333333332</v>
      </c>
      <c r="AA7" s="117"/>
    </row>
    <row r="8" spans="1:27" x14ac:dyDescent="0.25">
      <c r="A8" t="str">
        <f>Plantilla!D9</f>
        <v>L. Tutorić</v>
      </c>
      <c r="B8" s="72">
        <f ca="1">Plantilla!Y9++Plantilla!J9+Plantilla!P9</f>
        <v>14.431305998056045</v>
      </c>
      <c r="C8" s="72">
        <f ca="1">Plantilla!AB9+Plantilla!J9+Plantilla!P9</f>
        <v>2.4313059980560441</v>
      </c>
      <c r="D8" s="109">
        <f t="shared" ca="1" si="0"/>
        <v>2.4117397492710166</v>
      </c>
      <c r="E8" s="72">
        <f ca="1">D8*Plantilla!R9</f>
        <v>2.0382921103942855</v>
      </c>
      <c r="F8" s="72">
        <f ca="1">D8*Plantilla!S9</f>
        <v>2.2309756617453531</v>
      </c>
      <c r="M8" t="str">
        <f>Plantilla!D9</f>
        <v>L. Tutorić</v>
      </c>
      <c r="N8" s="48">
        <f>Plantilla!J9</f>
        <v>1.110011883608315</v>
      </c>
      <c r="O8" s="72">
        <f>Plantilla!AC9</f>
        <v>7</v>
      </c>
      <c r="P8" s="72">
        <f>Plantilla!AD9</f>
        <v>15.333333333333334</v>
      </c>
      <c r="Q8" s="48">
        <f ca="1">Plantilla!AI9</f>
        <v>13.198367974726008</v>
      </c>
      <c r="R8" s="48">
        <f ca="1">Plantilla!AJ9</f>
        <v>12.055820623091472</v>
      </c>
      <c r="S8" s="48">
        <f ca="1">Plantilla!AK9</f>
        <v>0.92450447984448358</v>
      </c>
      <c r="T8" s="48">
        <f ca="1">Plantilla!AL9</f>
        <v>1.0801914198639231</v>
      </c>
      <c r="W8" t="str">
        <f>M18</f>
        <v>P. Tuderek</v>
      </c>
      <c r="X8" s="117">
        <f>N18</f>
        <v>0.78808614270199895</v>
      </c>
      <c r="Y8" s="117">
        <f>O18</f>
        <v>6</v>
      </c>
      <c r="Z8" s="117">
        <f>P18</f>
        <v>17.25</v>
      </c>
      <c r="AA8" s="117"/>
    </row>
    <row r="9" spans="1:27" x14ac:dyDescent="0.25">
      <c r="A9" t="str">
        <f>Plantilla!D10</f>
        <v>S. Swärdborn</v>
      </c>
      <c r="B9" s="72">
        <f ca="1">Plantilla!Y10++Plantilla!J10+Plantilla!P10</f>
        <v>13.61730709295475</v>
      </c>
      <c r="C9" s="72">
        <f ca="1">Plantilla!AB10+Plantilla!J10+Plantilla!P10</f>
        <v>4.6173070929547482</v>
      </c>
      <c r="D9" s="109">
        <f t="shared" ca="1" si="0"/>
        <v>2.8564901598580308</v>
      </c>
      <c r="E9" s="72">
        <f ca="1">D9*Plantilla!R10</f>
        <v>2.4141748121941551</v>
      </c>
      <c r="F9" s="72">
        <f ca="1">D9*Plantilla!S10</f>
        <v>2.6423912557665559</v>
      </c>
      <c r="H9" s="48"/>
      <c r="M9" t="str">
        <f>Plantilla!D10</f>
        <v>S. Swärdborn</v>
      </c>
      <c r="N9" s="48">
        <f>Plantilla!J10</f>
        <v>1.0078331408966552</v>
      </c>
      <c r="O9" s="72">
        <f>Plantilla!AC10</f>
        <v>6</v>
      </c>
      <c r="P9" s="72">
        <f>Plantilla!AD10</f>
        <v>15.333333333333334</v>
      </c>
      <c r="Q9" s="48">
        <f ca="1">Plantilla!AI10</f>
        <v>12.142823064867216</v>
      </c>
      <c r="R9" s="48">
        <f ca="1">Plantilla!AJ10</f>
        <v>11.959473963410721</v>
      </c>
      <c r="S9" s="48">
        <f ca="1">Plantilla!AK10</f>
        <v>0.88938456743637995</v>
      </c>
      <c r="T9" s="48">
        <f ca="1">Plantilla!AL10</f>
        <v>1.0532114965068324</v>
      </c>
      <c r="W9" t="str">
        <f>M20</f>
        <v>J-P. Kechele</v>
      </c>
      <c r="X9" s="117">
        <f>N20</f>
        <v>1.2459979349914234</v>
      </c>
      <c r="Y9" s="117">
        <f>O20</f>
        <v>8</v>
      </c>
      <c r="Z9" s="117">
        <f>P20</f>
        <v>19.25</v>
      </c>
      <c r="AA9" s="117"/>
    </row>
    <row r="10" spans="1:27" x14ac:dyDescent="0.25">
      <c r="A10" t="str">
        <f>Plantilla!D11</f>
        <v>A. Grimaud</v>
      </c>
      <c r="B10" s="72">
        <f ca="1">Plantilla!Y11++Plantilla!J11+Plantilla!P11</f>
        <v>13.937870652494819</v>
      </c>
      <c r="C10" s="72">
        <f ca="1">Plantilla!AB11+Plantilla!J11+Plantilla!P11</f>
        <v>4.9378706524948193</v>
      </c>
      <c r="D10" s="109">
        <f t="shared" ca="1" si="0"/>
        <v>2.9767014946855572</v>
      </c>
      <c r="E10" s="72">
        <f ca="1">D10*Plantilla!R11</f>
        <v>2.7558900748028856</v>
      </c>
      <c r="F10" s="72">
        <f ca="1">D10*Plantilla!S11</f>
        <v>2.9745745194266973</v>
      </c>
      <c r="M10" t="str">
        <f>Plantilla!D11</f>
        <v>A. Grimaud</v>
      </c>
      <c r="N10" s="48">
        <f>Plantilla!J11</f>
        <v>1.0078331408966552</v>
      </c>
      <c r="O10" s="72">
        <f>Plantilla!AC11</f>
        <v>5</v>
      </c>
      <c r="P10" s="72">
        <f>Plantilla!AD11</f>
        <v>14.333333333333334</v>
      </c>
      <c r="Q10" s="48">
        <f ca="1">Plantilla!AI11</f>
        <v>11.91162684090204</v>
      </c>
      <c r="R10" s="48">
        <f ca="1">Plantilla!AJ11</f>
        <v>12.471911418215814</v>
      </c>
      <c r="S10" s="48">
        <f ca="1">Plantilla!AK11</f>
        <v>0.83502965219958547</v>
      </c>
      <c r="T10" s="48">
        <f ca="1">Plantilla!AL11</f>
        <v>1.0456509456746372</v>
      </c>
      <c r="W10" t="str">
        <f>M19</f>
        <v>R. Forsyth</v>
      </c>
      <c r="X10" s="117">
        <f>N19</f>
        <v>0.92026144003801835</v>
      </c>
      <c r="Y10" s="117">
        <f>O19</f>
        <v>6</v>
      </c>
      <c r="Z10" s="117">
        <f>P19</f>
        <v>15</v>
      </c>
      <c r="AA10" s="117"/>
    </row>
    <row r="11" spans="1:27" x14ac:dyDescent="0.25">
      <c r="A11" t="str">
        <f>Plantilla!D12</f>
        <v>V. Gardner</v>
      </c>
      <c r="B11" s="72">
        <f ca="1">Plantilla!Y12++Plantilla!J12+Plantilla!P12</f>
        <v>13.792085443737063</v>
      </c>
      <c r="C11" s="72">
        <f ca="1">Plantilla!AB12+Plantilla!J12+Plantilla!P12</f>
        <v>6.7920854437370624</v>
      </c>
      <c r="D11" s="109">
        <f t="shared" ca="1" si="0"/>
        <v>3.4220320414013985</v>
      </c>
      <c r="E11" s="72">
        <f ca="1">D11*Plantilla!R12</f>
        <v>3.4220320414013985</v>
      </c>
      <c r="F11" s="72">
        <f ca="1">D11*Plantilla!S12</f>
        <v>3.4220320414013985</v>
      </c>
      <c r="M11" t="str">
        <f>Plantilla!D12</f>
        <v>V. Gardner</v>
      </c>
      <c r="N11" s="48">
        <f>Plantilla!J12</f>
        <v>0.8961304772476234</v>
      </c>
      <c r="O11" s="72">
        <f>Plantilla!AC12</f>
        <v>6</v>
      </c>
      <c r="P11" s="72">
        <f>Plantilla!AD12</f>
        <v>16</v>
      </c>
      <c r="Q11" s="48">
        <f ca="1">Plantilla!AI12</f>
        <v>15.120508830658908</v>
      </c>
      <c r="R11" s="48">
        <f ca="1">Plantilla!AJ12</f>
        <v>14.792085443737063</v>
      </c>
      <c r="S11" s="48">
        <f ca="1">Plantilla!AK12</f>
        <v>0.92336683549896503</v>
      </c>
      <c r="T11" s="48">
        <f ca="1">Plantilla!AL12</f>
        <v>1.0854459810615944</v>
      </c>
      <c r="W11" t="str">
        <f>M15</f>
        <v>I. Stone</v>
      </c>
      <c r="X11" s="117">
        <f>N15</f>
        <v>0.90832164983411623</v>
      </c>
      <c r="Y11" s="117">
        <f>O15</f>
        <v>9</v>
      </c>
      <c r="Z11" s="117">
        <f>P15</f>
        <v>15.333333333333334</v>
      </c>
      <c r="AA11" s="117"/>
    </row>
    <row r="12" spans="1:27" x14ac:dyDescent="0.25">
      <c r="A12" t="str">
        <f>Plantilla!D13</f>
        <v>S. Embe</v>
      </c>
      <c r="B12" s="72">
        <f ca="1">Plantilla!Y13++Plantilla!J13+Plantilla!P13</f>
        <v>12.24005147381493</v>
      </c>
      <c r="C12" s="72">
        <f ca="1">Plantilla!AB13+Plantilla!J13+Plantilla!P13</f>
        <v>6.2400514738149289</v>
      </c>
      <c r="D12" s="109">
        <f t="shared" ca="1" si="0"/>
        <v>3.0900193026805987</v>
      </c>
      <c r="E12" s="72">
        <f ca="1">D12*Plantilla!R13</f>
        <v>2.8608019791068617</v>
      </c>
      <c r="F12" s="72">
        <f ca="1">D12*Plantilla!S13</f>
        <v>3.0878113572020429</v>
      </c>
      <c r="M12" t="str">
        <f>Plantilla!D13</f>
        <v>S. Embe</v>
      </c>
      <c r="N12" s="48">
        <f>Plantilla!J13</f>
        <v>0.72542405913370089</v>
      </c>
      <c r="O12" s="72">
        <f>Plantilla!AC13</f>
        <v>6</v>
      </c>
      <c r="P12" s="72">
        <f>Plantilla!AD13</f>
        <v>17.333333333333332</v>
      </c>
      <c r="Q12" s="48">
        <f ca="1">Plantilla!AI13</f>
        <v>13.548309773349942</v>
      </c>
      <c r="R12" s="48">
        <f ca="1">Plantilla!AJ13</f>
        <v>14.047824636041318</v>
      </c>
      <c r="S12" s="48">
        <f ca="1">Plantilla!AK13</f>
        <v>0.9192041179051943</v>
      </c>
      <c r="T12" s="48">
        <f ca="1">Plantilla!AL13</f>
        <v>1.0468036031670451</v>
      </c>
      <c r="Y12" s="190">
        <f>AVERAGE(Y2:Y11)</f>
        <v>6.8</v>
      </c>
      <c r="Z12" s="190">
        <f>AVERAGE(Z2:Z11)</f>
        <v>16.316666666666666</v>
      </c>
      <c r="AA12" s="191">
        <f>1.66*(Y12+1.5)+0.55*(Z12+1.5)-7.6</f>
        <v>15.977166666666671</v>
      </c>
    </row>
    <row r="13" spans="1:27" x14ac:dyDescent="0.25">
      <c r="A13" t="str">
        <f>Plantilla!D14</f>
        <v>E. Deus</v>
      </c>
      <c r="B13" s="72">
        <f ca="1">Plantilla!Y14++Plantilla!J14+Plantilla!P14</f>
        <v>12.493906284211189</v>
      </c>
      <c r="C13" s="72">
        <f ca="1">Plantilla!AB14+Plantilla!J14+Plantilla!P14</f>
        <v>7.4939062842111879</v>
      </c>
      <c r="D13" s="109">
        <f t="shared" ca="1" si="0"/>
        <v>3.4352148565791953</v>
      </c>
      <c r="E13" s="72">
        <f ca="1">D13*Plantilla!R14</f>
        <v>3.1803909612583015</v>
      </c>
      <c r="F13" s="72">
        <f ca="1">D13*Plantilla!S14</f>
        <v>3.4327602547248084</v>
      </c>
      <c r="M13" t="str">
        <f>Plantilla!D14</f>
        <v>E. Deus</v>
      </c>
      <c r="N13" s="48">
        <f>Plantilla!J14</f>
        <v>0.92026144003801835</v>
      </c>
      <c r="O13" s="72">
        <f>Plantilla!AC14</f>
        <v>5</v>
      </c>
      <c r="P13" s="72">
        <f>Plantilla!AD14</f>
        <v>15.333333333333334</v>
      </c>
      <c r="Q13" s="48">
        <f ca="1">Plantilla!AI14</f>
        <v>11.512449085791967</v>
      </c>
      <c r="R13" s="48">
        <f ca="1">Plantilla!AJ14</f>
        <v>12.708954352316788</v>
      </c>
      <c r="S13" s="48">
        <f ca="1">Plantilla!AK14</f>
        <v>0.82951250273689503</v>
      </c>
      <c r="T13" s="48">
        <f ca="1">Plantilla!AL14</f>
        <v>1.0045734398947832</v>
      </c>
    </row>
    <row r="14" spans="1:27" x14ac:dyDescent="0.25">
      <c r="A14" t="str">
        <f>Plantilla!D15</f>
        <v>I. Vanags</v>
      </c>
      <c r="B14" s="72">
        <f ca="1">Plantilla!Y15++Plantilla!J15+Plantilla!P15</f>
        <v>5.7417366676897164</v>
      </c>
      <c r="C14" s="72">
        <f ca="1">Plantilla!AB15+Plantilla!J15+Plantilla!P15</f>
        <v>5.7417366676897164</v>
      </c>
      <c r="D14" s="109">
        <f t="shared" ca="1" si="0"/>
        <v>2.1531512503836439</v>
      </c>
      <c r="E14" s="72">
        <f ca="1">D14*Plantilla!R15</f>
        <v>2.1531512503836439</v>
      </c>
      <c r="F14" s="72">
        <f ca="1">D14*Plantilla!S15</f>
        <v>2.1531512503836439</v>
      </c>
      <c r="M14" t="str">
        <f>Plantilla!D15</f>
        <v>I. Vanags</v>
      </c>
      <c r="N14" s="48">
        <f>Plantilla!J15</f>
        <v>0.74173666768971636</v>
      </c>
      <c r="O14" s="72">
        <f>Plantilla!AC15</f>
        <v>7</v>
      </c>
      <c r="P14" s="72">
        <f>Plantilla!AD15</f>
        <v>16.333333333333332</v>
      </c>
      <c r="Q14" s="48">
        <f ca="1">Plantilla!AI15</f>
        <v>16.852571368927606</v>
      </c>
      <c r="R14" s="48">
        <f ca="1">Plantilla!AJ15</f>
        <v>15.27507000102305</v>
      </c>
      <c r="S14" s="48">
        <f ca="1">Plantilla!AK15</f>
        <v>0.97933893341517719</v>
      </c>
      <c r="T14" s="48">
        <f ca="1">Plantilla!AL15</f>
        <v>0.77192156673828016</v>
      </c>
    </row>
    <row r="15" spans="1:27" x14ac:dyDescent="0.25">
      <c r="A15" t="str">
        <f>Plantilla!D16</f>
        <v>I. Stone</v>
      </c>
      <c r="B15" s="72">
        <f ca="1">Plantilla!Y16++Plantilla!J16+Plantilla!P16</f>
        <v>4.9083216498341162</v>
      </c>
      <c r="C15" s="72">
        <f ca="1">Plantilla!AB16+Plantilla!J16+Plantilla!P16</f>
        <v>7.9083216498341162</v>
      </c>
      <c r="D15" s="109">
        <f t="shared" ca="1" si="0"/>
        <v>2.5906206186877938</v>
      </c>
      <c r="E15" s="72">
        <f ca="1">D15*Plantilla!R16</f>
        <v>2.1894740382714111</v>
      </c>
      <c r="F15" s="72">
        <f ca="1">D15*Plantilla!S16</f>
        <v>2.3964490989772544</v>
      </c>
      <c r="M15" t="str">
        <f>Plantilla!D16</f>
        <v>I. Stone</v>
      </c>
      <c r="N15" s="48">
        <f>Plantilla!J16</f>
        <v>0.90832164983411623</v>
      </c>
      <c r="O15" s="72">
        <f>Plantilla!AC16</f>
        <v>9</v>
      </c>
      <c r="P15" s="72">
        <f>Plantilla!AD16</f>
        <v>15.333333333333334</v>
      </c>
      <c r="Q15" s="48">
        <f ca="1">Plantilla!AI16</f>
        <v>16.89524559538054</v>
      </c>
      <c r="R15" s="48">
        <f ca="1">Plantilla!AJ16</f>
        <v>12.966064983600917</v>
      </c>
      <c r="S15" s="48">
        <f ca="1">Plantilla!AK16</f>
        <v>1.0626657319867294</v>
      </c>
      <c r="T15" s="48">
        <f ca="1">Plantilla!AL16</f>
        <v>0.71358251548838825</v>
      </c>
    </row>
    <row r="16" spans="1:27" x14ac:dyDescent="0.25">
      <c r="A16" t="str">
        <f>Plantilla!D17</f>
        <v>G. Piscaer</v>
      </c>
      <c r="B16" s="72">
        <f ca="1">Plantilla!Y17++Plantilla!J17+Plantilla!P17</f>
        <v>5.8961304772476231</v>
      </c>
      <c r="C16" s="72">
        <f ca="1">Plantilla!AB17+Plantilla!J17+Plantilla!P17</f>
        <v>3.8961304772476235</v>
      </c>
      <c r="D16" s="109">
        <f t="shared" ca="1" si="0"/>
        <v>1.7110489289678588</v>
      </c>
      <c r="E16" s="72">
        <f ca="1">D16*Plantilla!R17</f>
        <v>1.2934314134606788</v>
      </c>
      <c r="F16" s="72">
        <f ca="1">D16*Plantilla!S17</f>
        <v>1.4446534583093951</v>
      </c>
      <c r="M16" t="str">
        <f>Plantilla!D17</f>
        <v>G. Piscaer</v>
      </c>
      <c r="N16" s="48">
        <f>Plantilla!J17</f>
        <v>0.8961304772476234</v>
      </c>
      <c r="O16" s="72">
        <f>Plantilla!AC17</f>
        <v>8</v>
      </c>
      <c r="P16" s="72">
        <f>Plantilla!AD17</f>
        <v>14.333333333333334</v>
      </c>
      <c r="Q16" s="48">
        <f ca="1">Plantilla!AI17</f>
        <v>13.42059747928981</v>
      </c>
      <c r="R16" s="48">
        <f ca="1">Plantilla!AJ17</f>
        <v>10.83205647534205</v>
      </c>
      <c r="S16" s="48">
        <f ca="1">Plantilla!AK17</f>
        <v>0.98169043817980994</v>
      </c>
      <c r="T16" s="48">
        <f ca="1">Plantilla!AL17</f>
        <v>0.72272913340733358</v>
      </c>
    </row>
    <row r="17" spans="1:20" x14ac:dyDescent="0.25">
      <c r="A17" t="str">
        <f>Plantilla!D18</f>
        <v>M. Bondarewski</v>
      </c>
      <c r="B17" s="72">
        <f ca="1">Plantilla!Y18++Plantilla!J18+Plantilla!P18</f>
        <v>3.9202614400380185</v>
      </c>
      <c r="C17" s="72">
        <f ca="1">Plantilla!AB18+Plantilla!J18+Plantilla!P18</f>
        <v>5.9202614400380185</v>
      </c>
      <c r="D17" s="109">
        <f t="shared" ca="1" si="0"/>
        <v>1.9700980400142569</v>
      </c>
      <c r="E17" s="72">
        <f ca="1">D17*Plantilla!R18</f>
        <v>1.8239563639677074</v>
      </c>
      <c r="F17" s="72">
        <f ca="1">D17*Plantilla!S18</f>
        <v>1.9686903241931981</v>
      </c>
      <c r="M17" t="str">
        <f>Plantilla!D18</f>
        <v>M. Bondarewski</v>
      </c>
      <c r="N17" s="48">
        <f>Plantilla!J18</f>
        <v>0.92026144003801835</v>
      </c>
      <c r="O17" s="72">
        <f>Plantilla!AC18</f>
        <v>8</v>
      </c>
      <c r="P17" s="72">
        <f>Plantilla!AD18</f>
        <v>17</v>
      </c>
      <c r="Q17" s="48">
        <f ca="1">Plantilla!AI18</f>
        <v>17.844050869573337</v>
      </c>
      <c r="R17" s="48">
        <f ca="1">Plantilla!AJ18</f>
        <v>15.017044064752865</v>
      </c>
      <c r="S17" s="48">
        <f ca="1">Plantilla!AK18</f>
        <v>1.0636209152030414</v>
      </c>
      <c r="T17" s="48">
        <f ca="1">Plantilla!AL18</f>
        <v>0.72441830080266134</v>
      </c>
    </row>
    <row r="18" spans="1:20" x14ac:dyDescent="0.25">
      <c r="A18" t="str">
        <f>Plantilla!D19</f>
        <v>P. Tuderek</v>
      </c>
      <c r="B18" s="72">
        <f ca="1">Plantilla!Y19++Plantilla!J19+Plantilla!P19</f>
        <v>7.7880861427019994</v>
      </c>
      <c r="C18" s="72">
        <f ca="1">Plantilla!AB19+Plantilla!J19+Plantilla!P19</f>
        <v>4.7880861427019994</v>
      </c>
      <c r="D18" s="109">
        <f t="shared" ca="1" si="0"/>
        <v>2.1705323035132498</v>
      </c>
      <c r="E18" s="72">
        <f ca="1">D18*Plantilla!R19</f>
        <v>1.834434611339911</v>
      </c>
      <c r="F18" s="72">
        <f ca="1">D18*Plantilla!S19</f>
        <v>2.0078471334371071</v>
      </c>
      <c r="M18" t="str">
        <f>Plantilla!D19</f>
        <v>P. Tuderek</v>
      </c>
      <c r="N18" s="48">
        <f>Plantilla!J19</f>
        <v>0.78808614270199895</v>
      </c>
      <c r="O18" s="72">
        <f>Plantilla!AC19</f>
        <v>6</v>
      </c>
      <c r="P18" s="72">
        <f>Plantilla!AD19</f>
        <v>17.25</v>
      </c>
      <c r="Q18" s="48">
        <f ca="1">Plantilla!AI19</f>
        <v>13.352736063925889</v>
      </c>
      <c r="R18" s="48">
        <f ca="1">Plantilla!AJ19</f>
        <v>13.237723895683864</v>
      </c>
      <c r="S18" s="48">
        <f ca="1">Plantilla!AK19</f>
        <v>0.96054689141615979</v>
      </c>
      <c r="T18" s="48">
        <f ca="1">Plantilla!AL19</f>
        <v>0.8826660299891399</v>
      </c>
    </row>
    <row r="19" spans="1:20" x14ac:dyDescent="0.25">
      <c r="A19" t="str">
        <f>Plantilla!D20</f>
        <v>R. Forsyth</v>
      </c>
      <c r="B19" s="72">
        <f ca="1">Plantilla!Y20++Plantilla!J20+Plantilla!P20</f>
        <v>8.9202614400380185</v>
      </c>
      <c r="C19" s="72">
        <f ca="1">Plantilla!AB20+Plantilla!J20+Plantilla!P20</f>
        <v>5.9202614400380185</v>
      </c>
      <c r="D19" s="109">
        <f t="shared" ca="1" si="0"/>
        <v>2.5950980400142569</v>
      </c>
      <c r="E19" s="72">
        <f ca="1">D19*Plantilla!R20</f>
        <v>2.5950980400142569</v>
      </c>
      <c r="F19" s="72">
        <f ca="1">D19*Plantilla!S20</f>
        <v>2.5950980400142569</v>
      </c>
      <c r="M19" t="str">
        <f>Plantilla!D20</f>
        <v>R. Forsyth</v>
      </c>
      <c r="N19" s="48">
        <f>Plantilla!J20</f>
        <v>0.92026144003801835</v>
      </c>
      <c r="O19" s="72">
        <f>Plantilla!AC20</f>
        <v>6</v>
      </c>
      <c r="P19" s="72">
        <f>Plantilla!AD20</f>
        <v>15</v>
      </c>
      <c r="Q19" s="48">
        <f ca="1">Plantilla!AI20</f>
        <v>14.853777782484022</v>
      </c>
      <c r="R19" s="48">
        <f ca="1">Plantilla!AJ20</f>
        <v>14.220261440038017</v>
      </c>
      <c r="S19" s="48">
        <f ca="1">Plantilla!AK20</f>
        <v>0.90362091520304144</v>
      </c>
      <c r="T19" s="48">
        <f ca="1">Plantilla!AL20</f>
        <v>0.86441830080266124</v>
      </c>
    </row>
    <row r="20" spans="1:20" x14ac:dyDescent="0.25">
      <c r="A20" t="str">
        <f>Plantilla!D22</f>
        <v>J-P. Kechele</v>
      </c>
      <c r="B20" s="72">
        <f ca="1">Plantilla!Y22++Plantilla!J22+Plantilla!P22</f>
        <v>5.5672920494391533</v>
      </c>
      <c r="C20" s="72">
        <f ca="1">Plantilla!AB22+Plantilla!J22+Plantilla!P22</f>
        <v>10.567292049439153</v>
      </c>
      <c r="D20" s="109">
        <f t="shared" ca="1" si="0"/>
        <v>3.3377345185396825</v>
      </c>
      <c r="E20" s="72">
        <f ca="1">D20*Plantilla!R22</f>
        <v>3.0901417049686977</v>
      </c>
      <c r="F20" s="72">
        <f ca="1">D20*Plantilla!S22</f>
        <v>3.3353495703833924</v>
      </c>
      <c r="M20" t="str">
        <f>Plantilla!D22</f>
        <v>J-P. Kechele</v>
      </c>
      <c r="N20" s="48">
        <f>Plantilla!J22</f>
        <v>1.2459979349914234</v>
      </c>
      <c r="O20" s="72">
        <f>Plantilla!AC22</f>
        <v>8</v>
      </c>
      <c r="P20" s="72">
        <f>Plantilla!AD22</f>
        <v>19.25</v>
      </c>
      <c r="Q20" s="48">
        <f ca="1">Plantilla!AI22</f>
        <v>18.267555837351683</v>
      </c>
      <c r="R20" s="48">
        <f ca="1">Plantilla!AJ22</f>
        <v>16.148424565473736</v>
      </c>
      <c r="S20" s="48">
        <f ca="1">Plantilla!AK22</f>
        <v>1.1028833639551323</v>
      </c>
      <c r="T20" s="48">
        <f ca="1">Plantilla!AL22</f>
        <v>0.84721044346074059</v>
      </c>
    </row>
    <row r="21" spans="1:20" x14ac:dyDescent="0.25">
      <c r="A21" t="str">
        <f>Plantilla!D23</f>
        <v>S. Zobbe</v>
      </c>
      <c r="B21" s="72">
        <f>Plantilla!Y23++Plantilla!J23+Plantilla!P23</f>
        <v>11.0554933102079</v>
      </c>
      <c r="C21" s="72">
        <f>Plantilla!AB23+Plantilla!J23+Plantilla!P23</f>
        <v>13.055493310207899</v>
      </c>
      <c r="D21" s="109">
        <f t="shared" si="0"/>
        <v>4.6458099913279618</v>
      </c>
      <c r="E21" s="72">
        <f>D21*Plantilla!R23</f>
        <v>3.9264260808310798</v>
      </c>
      <c r="F21" s="72">
        <f>D21*Plantilla!S23</f>
        <v>4.2975984547582096</v>
      </c>
      <c r="M21" t="str">
        <f>Plantilla!D23</f>
        <v>S. Zobbe</v>
      </c>
      <c r="N21" s="48">
        <f>Plantilla!J23</f>
        <v>1.6054933102078996</v>
      </c>
      <c r="O21" s="72">
        <f>Plantilla!AC23</f>
        <v>4.95</v>
      </c>
      <c r="P21" s="72">
        <f>Plantilla!AD23</f>
        <v>18</v>
      </c>
      <c r="Q21" s="48">
        <f>Plantilla!AI23</f>
        <v>14.688899450958273</v>
      </c>
      <c r="R21" s="48">
        <f>Plantilla!AJ23</f>
        <v>14.528618562004306</v>
      </c>
      <c r="S21" s="48">
        <f>Plantilla!AK23</f>
        <v>1.035939464816632</v>
      </c>
      <c r="T21" s="48">
        <f>Plantilla!AL23</f>
        <v>1.0753845317145529</v>
      </c>
    </row>
    <row r="22" spans="1:20" x14ac:dyDescent="0.25">
      <c r="A22" t="str">
        <f>Plantilla!D24</f>
        <v>P .Trivadi</v>
      </c>
      <c r="B22" s="72">
        <f>Plantilla!Y24++Plantilla!J24+Plantilla!P24</f>
        <v>6.601097146827275</v>
      </c>
      <c r="C22" s="72">
        <f>Plantilla!AB24+Plantilla!J24+Plantilla!P24</f>
        <v>12.601097146827273</v>
      </c>
      <c r="D22" s="109">
        <f t="shared" si="0"/>
        <v>3.9754114300602277</v>
      </c>
      <c r="E22" s="72">
        <f>D22*Plantilla!R24</f>
        <v>2.6025176852633765</v>
      </c>
      <c r="F22" s="72">
        <f>D22*Plantilla!S24</f>
        <v>3.0013698109037645</v>
      </c>
      <c r="M22" t="str">
        <f>Plantilla!D24</f>
        <v>P .Trivadi</v>
      </c>
      <c r="N22" s="48">
        <f>Plantilla!J24</f>
        <v>1.1510971468272746</v>
      </c>
      <c r="O22" s="72">
        <f>Plantilla!AC24</f>
        <v>5.95</v>
      </c>
      <c r="P22" s="72">
        <f>Plantilla!AD24</f>
        <v>15</v>
      </c>
      <c r="Q22" s="48">
        <f>Plantilla!AI24</f>
        <v>10.72710574919124</v>
      </c>
      <c r="R22" s="48">
        <f>Plantilla!AJ24</f>
        <v>9.777970823221418</v>
      </c>
      <c r="S22" s="48">
        <f>Plantilla!AK24</f>
        <v>0.95958777174618215</v>
      </c>
      <c r="T22" s="48">
        <f>Plantilla!AL24</f>
        <v>0.79357680027790933</v>
      </c>
    </row>
    <row r="23" spans="1:20" x14ac:dyDescent="0.25">
      <c r="A23">
        <f>Plantilla!D25</f>
        <v>0</v>
      </c>
      <c r="B23" s="72">
        <f>Plantilla!Y25++Plantilla!J25+Plantilla!P25</f>
        <v>0</v>
      </c>
      <c r="C23" s="72">
        <f>Plantilla!AB25+Plantilla!J25+Plantilla!P25</f>
        <v>0</v>
      </c>
      <c r="D23" s="109">
        <f t="shared" si="0"/>
        <v>0</v>
      </c>
      <c r="E23" s="72">
        <f>D23*Plantilla!R25</f>
        <v>0</v>
      </c>
      <c r="F23" s="72">
        <f>D23*Plantilla!S25</f>
        <v>0</v>
      </c>
      <c r="M23">
        <f>Plantilla!D25</f>
        <v>0</v>
      </c>
      <c r="N23" s="48">
        <f>Plantilla!J25</f>
        <v>0</v>
      </c>
      <c r="O23" s="72">
        <f>Plantilla!AC25</f>
        <v>0</v>
      </c>
      <c r="P23" s="72">
        <f>Plantilla!AD25</f>
        <v>0</v>
      </c>
      <c r="Q23" s="48">
        <f>Plantilla!AI25</f>
        <v>0</v>
      </c>
      <c r="R23" s="48">
        <f>Plantilla!AJ25</f>
        <v>0</v>
      </c>
      <c r="S23" s="48">
        <f>Plantilla!AK25</f>
        <v>0</v>
      </c>
      <c r="T23" s="48">
        <f>Plantilla!AL25</f>
        <v>0</v>
      </c>
    </row>
    <row r="24" spans="1:20" x14ac:dyDescent="0.25">
      <c r="A24">
        <f>Plantilla!D26</f>
        <v>0</v>
      </c>
      <c r="B24" s="72">
        <f>Plantilla!Y26++Plantilla!J26+Plantilla!P26</f>
        <v>0</v>
      </c>
      <c r="C24" s="72">
        <f>Plantilla!AB26+Plantilla!J26+Plantilla!P26</f>
        <v>0</v>
      </c>
      <c r="D24" s="109">
        <f t="shared" si="0"/>
        <v>0</v>
      </c>
      <c r="E24" s="72">
        <f>D24*Plantilla!R26</f>
        <v>0</v>
      </c>
      <c r="F24" s="72">
        <f>D24*Plantilla!S26</f>
        <v>0</v>
      </c>
      <c r="M24">
        <f>Plantilla!D26</f>
        <v>0</v>
      </c>
      <c r="N24" s="48">
        <f>Plantilla!J26</f>
        <v>0</v>
      </c>
      <c r="O24" s="72">
        <f>Plantilla!AC26</f>
        <v>0</v>
      </c>
      <c r="P24" s="72">
        <f>Plantilla!AD26</f>
        <v>0</v>
      </c>
      <c r="Q24" s="48">
        <f>Plantilla!AI26</f>
        <v>0</v>
      </c>
      <c r="R24" s="48">
        <f>Plantilla!AJ26</f>
        <v>0</v>
      </c>
      <c r="S24" s="48">
        <f>Plantilla!AK26</f>
        <v>0</v>
      </c>
      <c r="T24" s="48">
        <f>Plantilla!AL26</f>
        <v>0</v>
      </c>
    </row>
    <row r="25" spans="1:20" x14ac:dyDescent="0.25">
      <c r="A25">
        <f>Plantilla!D27</f>
        <v>0</v>
      </c>
      <c r="B25" s="72">
        <f>Plantilla!Y27++Plantilla!J27+Plantilla!P27</f>
        <v>0</v>
      </c>
      <c r="C25" s="72">
        <f>Plantilla!AB27+Plantilla!J27+Plantilla!P27</f>
        <v>0</v>
      </c>
      <c r="D25" s="109">
        <f t="shared" si="0"/>
        <v>0</v>
      </c>
      <c r="E25" s="72">
        <f>D25*Plantilla!R27</f>
        <v>0</v>
      </c>
      <c r="F25" s="72">
        <f>D25*Plantilla!S27</f>
        <v>0</v>
      </c>
      <c r="M25">
        <f>Plantilla!D27</f>
        <v>0</v>
      </c>
      <c r="N25" s="48">
        <f>Plantilla!J27</f>
        <v>0</v>
      </c>
      <c r="O25" s="72">
        <f>Plantilla!AC27</f>
        <v>0</v>
      </c>
      <c r="P25" s="72">
        <f>Plantilla!AD27</f>
        <v>0</v>
      </c>
      <c r="Q25" s="48">
        <f>Plantilla!AI27</f>
        <v>0</v>
      </c>
      <c r="R25" s="48">
        <f>Plantilla!AJ27</f>
        <v>0</v>
      </c>
      <c r="S25" s="48">
        <f>Plantilla!AK27</f>
        <v>0</v>
      </c>
      <c r="T25" s="48">
        <f>Plantilla!AL27</f>
        <v>0</v>
      </c>
    </row>
    <row r="26" spans="1:20" x14ac:dyDescent="0.25">
      <c r="B26" s="72"/>
      <c r="C26" s="72"/>
      <c r="D26" s="109"/>
      <c r="E26" s="72"/>
      <c r="F26" s="72"/>
    </row>
    <row r="27" spans="1:20" ht="18.75" x14ac:dyDescent="0.3">
      <c r="A27" s="506" t="s">
        <v>500</v>
      </c>
      <c r="B27" s="506"/>
      <c r="C27" s="506"/>
      <c r="D27" s="506"/>
      <c r="E27" s="506"/>
      <c r="F27" s="506"/>
      <c r="G27" s="506"/>
      <c r="H27" s="506"/>
      <c r="I27" s="506"/>
      <c r="J27" s="506"/>
    </row>
    <row r="28" spans="1:20" x14ac:dyDescent="0.25">
      <c r="A28" s="116" t="s">
        <v>501</v>
      </c>
      <c r="B28" s="116" t="str">
        <f>D1</f>
        <v>N_CA</v>
      </c>
      <c r="C28" s="96" t="s">
        <v>497</v>
      </c>
      <c r="D28" s="96" t="s">
        <v>498</v>
      </c>
      <c r="G28" s="116" t="s">
        <v>501</v>
      </c>
      <c r="H28" s="116" t="str">
        <f>B28</f>
        <v>N_CA</v>
      </c>
      <c r="I28" s="96" t="s">
        <v>497</v>
      </c>
      <c r="J28" s="96" t="s">
        <v>498</v>
      </c>
    </row>
    <row r="29" spans="1:20" x14ac:dyDescent="0.25">
      <c r="A29" s="48" t="str">
        <f>A7</f>
        <v>S. Buschelman</v>
      </c>
      <c r="B29" s="48">
        <f>D7</f>
        <v>3.9011719240238492</v>
      </c>
      <c r="C29" s="48">
        <f>E7</f>
        <v>3.9011719240238492</v>
      </c>
      <c r="D29" s="48">
        <f>F7</f>
        <v>3.9011719240238492</v>
      </c>
      <c r="G29" s="48" t="str">
        <f>A29</f>
        <v>S. Buschelman</v>
      </c>
      <c r="H29" s="48">
        <f>B29</f>
        <v>3.9011719240238492</v>
      </c>
      <c r="I29" s="48">
        <f t="shared" ref="I29:J32" si="2">C29</f>
        <v>3.9011719240238492</v>
      </c>
      <c r="J29" s="48">
        <f t="shared" si="2"/>
        <v>3.9011719240238492</v>
      </c>
    </row>
    <row r="30" spans="1:20" x14ac:dyDescent="0.25">
      <c r="A30" s="48" t="str">
        <f>A4</f>
        <v>E. Toney</v>
      </c>
      <c r="B30" s="48">
        <f>D4</f>
        <v>3.320348028710244</v>
      </c>
      <c r="C30" s="48">
        <f>E4</f>
        <v>1.7748006754691399</v>
      </c>
      <c r="D30" s="48">
        <f>F4</f>
        <v>2.1700522042753589</v>
      </c>
      <c r="G30" s="48" t="str">
        <f>A30</f>
        <v>E. Toney</v>
      </c>
      <c r="H30" s="48">
        <f>B30</f>
        <v>3.320348028710244</v>
      </c>
      <c r="I30" s="48">
        <f t="shared" si="2"/>
        <v>1.7748006754691399</v>
      </c>
      <c r="J30" s="48">
        <f t="shared" si="2"/>
        <v>2.1700522042753589</v>
      </c>
    </row>
    <row r="31" spans="1:20" x14ac:dyDescent="0.25">
      <c r="A31" t="str">
        <f>A8</f>
        <v>L. Tutorić</v>
      </c>
      <c r="B31" s="48">
        <f t="shared" ref="B31:D32" ca="1" si="3">D8</f>
        <v>2.4117397492710166</v>
      </c>
      <c r="C31" s="48">
        <f t="shared" ca="1" si="3"/>
        <v>2.0382921103942855</v>
      </c>
      <c r="D31" s="48">
        <f t="shared" ca="1" si="3"/>
        <v>2.2309756617453531</v>
      </c>
      <c r="G31" s="48" t="str">
        <f>A31</f>
        <v>L. Tutorić</v>
      </c>
      <c r="H31" s="48">
        <f ca="1">B31</f>
        <v>2.4117397492710166</v>
      </c>
      <c r="I31" s="48">
        <f t="shared" ca="1" si="2"/>
        <v>2.0382921103942855</v>
      </c>
      <c r="J31" s="48">
        <f t="shared" ca="1" si="2"/>
        <v>2.2309756617453531</v>
      </c>
    </row>
    <row r="32" spans="1:20" x14ac:dyDescent="0.25">
      <c r="A32" s="48" t="str">
        <f>A9</f>
        <v>S. Swärdborn</v>
      </c>
      <c r="B32" s="48">
        <f t="shared" ca="1" si="3"/>
        <v>2.8564901598580308</v>
      </c>
      <c r="C32" s="48">
        <f t="shared" ca="1" si="3"/>
        <v>2.4141748121941551</v>
      </c>
      <c r="D32" s="48">
        <f t="shared" ca="1" si="3"/>
        <v>2.6423912557665559</v>
      </c>
      <c r="G32" s="48" t="str">
        <f>A32</f>
        <v>S. Swärdborn</v>
      </c>
      <c r="H32" s="48">
        <f ca="1">B32</f>
        <v>2.8564901598580308</v>
      </c>
      <c r="I32" s="48">
        <f t="shared" ca="1" si="2"/>
        <v>2.4141748121941551</v>
      </c>
      <c r="J32" s="48">
        <f t="shared" ca="1" si="2"/>
        <v>2.6423912557665559</v>
      </c>
    </row>
    <row r="33" spans="1:10" x14ac:dyDescent="0.25">
      <c r="A33" t="str">
        <f>A5</f>
        <v>F. Lasprilla</v>
      </c>
      <c r="B33" s="48">
        <f>D5</f>
        <v>4.1229925094393245</v>
      </c>
      <c r="C33" s="48">
        <f>E5</f>
        <v>1.5583446910512255</v>
      </c>
      <c r="D33" s="48">
        <f>F5</f>
        <v>2.1983157121973642</v>
      </c>
      <c r="H33" s="48"/>
      <c r="I33" s="72"/>
      <c r="J33" s="72"/>
    </row>
    <row r="34" spans="1:10" x14ac:dyDescent="0.25">
      <c r="B34" s="126">
        <f ca="1">SUM(B29:B33)</f>
        <v>16.612742371302463</v>
      </c>
      <c r="C34" s="239">
        <f ca="1">SUM(C29:C33)</f>
        <v>11.686784213132654</v>
      </c>
      <c r="D34" s="239">
        <f ca="1">SUM(D29:D33)</f>
        <v>13.142906758008483</v>
      </c>
      <c r="E34" s="126"/>
      <c r="G34" s="126"/>
      <c r="H34" s="126">
        <f ca="1">SUM(H29:H33)</f>
        <v>12.489749861863139</v>
      </c>
      <c r="I34" s="239">
        <f ca="1">SUM(I29:I33)</f>
        <v>10.128439522081429</v>
      </c>
      <c r="J34" s="239">
        <f ca="1">SUM(J29:J33)</f>
        <v>10.944591045811118</v>
      </c>
    </row>
  </sheetData>
  <mergeCells count="2">
    <mergeCell ref="W1:AA1"/>
    <mergeCell ref="A27:J27"/>
  </mergeCells>
  <conditionalFormatting sqref="Q2:Q25">
    <cfRule type="cellIs" dxfId="28" priority="1" operator="lessThan">
      <formula>11</formula>
    </cfRule>
  </conditionalFormatting>
  <conditionalFormatting sqref="Q2:Q25">
    <cfRule type="cellIs" dxfId="27" priority="2" operator="between">
      <formula>11</formula>
      <formula>15</formula>
    </cfRule>
  </conditionalFormatting>
  <conditionalFormatting sqref="Q2:Q25">
    <cfRule type="cellIs" dxfId="26" priority="3" operator="greaterThan">
      <formula>15</formula>
    </cfRule>
  </conditionalFormatting>
  <conditionalFormatting sqref="D2:D2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Hall_of_Fame</vt:lpstr>
      <vt:lpstr>Plantilla</vt:lpstr>
      <vt:lpstr>Juveniles</vt:lpstr>
      <vt:lpstr>Planning</vt:lpstr>
      <vt:lpstr>Planning_v2</vt:lpstr>
      <vt:lpstr>Economia</vt:lpstr>
      <vt:lpstr>Evaluacion</vt:lpstr>
      <vt:lpstr>Banderas</vt:lpstr>
      <vt:lpstr>Calculadora_Tactica</vt:lpstr>
      <vt:lpstr>Capitan</vt:lpstr>
      <vt:lpstr>Entrenador</vt:lpstr>
      <vt:lpstr>Entrenamiento</vt:lpstr>
      <vt:lpstr>Resumen_Rend</vt:lpstr>
      <vt:lpstr>352</vt:lpstr>
      <vt:lpstr>541</vt:lpstr>
      <vt:lpstr>DEF</vt:lpstr>
      <vt:lpstr>JUG</vt:lpstr>
      <vt:lpstr>ANO</vt:lpstr>
      <vt:lpstr>XUTS</vt:lpstr>
      <vt:lpstr>BP</vt:lpstr>
      <vt:lpstr>El Desierto de Tattoine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2006-09-12T14:46:56Z</dcterms:created>
  <dcterms:modified xsi:type="dcterms:W3CDTF">2020-07-27T09:39:52Z</dcterms:modified>
</cp:coreProperties>
</file>