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3"/>
  </bookViews>
  <sheets>
    <sheet name="Resistencia" sheetId="6" r:id="rId1"/>
    <sheet name="Amortización" sheetId="5" r:id="rId2"/>
    <sheet name="IDEAL" sheetId="7" r:id="rId3"/>
    <sheet name="PLANTILLA" sheetId="1" r:id="rId4"/>
    <sheet name="Evaluacion Jugadores" sheetId="3" r:id="rId5"/>
    <sheet name="CambioENTRENADOR" sheetId="9" r:id="rId6"/>
    <sheet name="Rendimiento_ENTRENAMIENTO" sheetId="10" r:id="rId7"/>
    <sheet name="Calculador de Sueldo" sheetId="2" r:id="rId8"/>
    <sheet name="Empleados" sheetId="4" r:id="rId9"/>
    <sheet name="Planning_v3" sheetId="11" r:id="rId10"/>
  </sheets>
  <calcPr calcId="152511"/>
</workbook>
</file>

<file path=xl/calcChain.xml><?xml version="1.0" encoding="utf-8"?>
<calcChain xmlns="http://schemas.openxmlformats.org/spreadsheetml/2006/main">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V13" i="7"/>
  <c r="S16" i="7"/>
  <c r="T16" i="7"/>
  <c r="V16" i="7"/>
  <c r="W16" i="7"/>
  <c r="Y16" i="7"/>
  <c r="Z16" i="7"/>
  <c r="AA16" i="7"/>
  <c r="AB16" i="7"/>
  <c r="AC16" i="7"/>
  <c r="AD16" i="7"/>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X16" i="7" s="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D11" i="7"/>
  <c r="AC11" i="7"/>
  <c r="AB11" i="7"/>
  <c r="AA11" i="7"/>
  <c r="Z11" i="7"/>
  <c r="Y11" i="7"/>
  <c r="X11" i="7"/>
  <c r="W11" i="7"/>
  <c r="T11" i="7"/>
  <c r="S11" i="7"/>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S15" i="7"/>
  <c r="T15" i="7"/>
  <c r="W15" i="7"/>
  <c r="X15" i="7"/>
  <c r="Y15" i="7"/>
  <c r="Z15" i="7"/>
  <c r="AA15" i="7"/>
  <c r="AB15" i="7"/>
  <c r="AC15" i="7"/>
  <c r="AD15" i="7"/>
  <c r="AD14" i="7"/>
  <c r="AC14" i="7"/>
  <c r="AB14" i="7"/>
  <c r="AA14" i="7"/>
  <c r="Z14" i="7"/>
  <c r="Y14" i="7"/>
  <c r="X14" i="7"/>
  <c r="W14" i="7"/>
  <c r="T14" i="7"/>
  <c r="S14" i="7"/>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D12" i="7" l="1"/>
  <c r="AC12" i="7"/>
  <c r="AB12" i="7"/>
  <c r="AA12" i="7"/>
  <c r="Z12" i="7"/>
  <c r="Y12" i="7"/>
  <c r="X12" i="7"/>
  <c r="W12" i="7"/>
  <c r="V12" i="7"/>
  <c r="T12" i="7"/>
  <c r="S12" i="7"/>
  <c r="AR10" i="1"/>
  <c r="W10" i="1"/>
  <c r="S10" i="1"/>
  <c r="R10" i="1"/>
  <c r="P10" i="1"/>
  <c r="K10" i="1"/>
  <c r="L10" i="1"/>
  <c r="J10" i="1"/>
  <c r="S13" i="7" l="1"/>
  <c r="T13" i="7"/>
  <c r="W13" i="7"/>
  <c r="X13" i="7"/>
  <c r="Z13" i="7"/>
  <c r="AC13" i="7"/>
  <c r="AD13" i="7"/>
  <c r="S18" i="7" l="1"/>
  <c r="T18" i="7"/>
  <c r="V18" i="7"/>
  <c r="W18" i="7"/>
  <c r="X18" i="7"/>
  <c r="Y18" i="7"/>
  <c r="Z18" i="7"/>
  <c r="AA18" i="7"/>
  <c r="AB18" i="7"/>
  <c r="AC18" i="7"/>
  <c r="AD18" i="7"/>
  <c r="V16" i="5" l="1"/>
  <c r="V15" i="5"/>
  <c r="V14" i="5"/>
  <c r="V13" i="5"/>
  <c r="V9" i="5"/>
  <c r="V4" i="5"/>
  <c r="V3" i="5"/>
  <c r="V2" i="5"/>
  <c r="AA16" i="5" l="1"/>
  <c r="AP16" i="5"/>
  <c r="AA4" i="5"/>
  <c r="AP4" i="5"/>
  <c r="V7" i="5"/>
  <c r="AA13" i="7"/>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AB13" i="7"/>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19" i="7" l="1"/>
  <c r="Z19" i="7"/>
  <c r="AB19" i="7"/>
  <c r="AC19" i="7"/>
  <c r="X19" i="7"/>
  <c r="W19" i="7"/>
  <c r="V19" i="7"/>
  <c r="T19" i="7"/>
  <c r="S19" i="7"/>
  <c r="S21" i="7"/>
  <c r="T21" i="7"/>
  <c r="V21" i="7"/>
  <c r="W21" i="7"/>
  <c r="X21" i="7"/>
  <c r="Z21" i="7"/>
  <c r="AB21" i="7"/>
  <c r="AC21" i="7"/>
  <c r="AD21" i="7"/>
  <c r="S22" i="7"/>
  <c r="T22" i="7"/>
  <c r="V22" i="7"/>
  <c r="W22" i="7"/>
  <c r="X22" i="7"/>
  <c r="Z22" i="7"/>
  <c r="AB22" i="7"/>
  <c r="AC22" i="7"/>
  <c r="AD22" i="7"/>
  <c r="S20" i="7"/>
  <c r="T20" i="7"/>
  <c r="V20" i="7"/>
  <c r="W20" i="7"/>
  <c r="X20" i="7"/>
  <c r="Z20" i="7"/>
  <c r="AB20" i="7"/>
  <c r="AC20" i="7"/>
  <c r="AD20" i="7"/>
  <c r="AD17" i="7"/>
  <c r="X17" i="7"/>
  <c r="Y17" i="7"/>
  <c r="Z17" i="7"/>
  <c r="AB17" i="7"/>
  <c r="AC17" i="7"/>
  <c r="W17" i="7"/>
  <c r="V17" i="7"/>
  <c r="T17" i="7"/>
  <c r="S17" i="7"/>
  <c r="S9" i="7"/>
  <c r="T9" i="7"/>
  <c r="V9" i="7"/>
  <c r="W9" i="7"/>
  <c r="X9" i="7"/>
  <c r="Z9" i="7"/>
  <c r="AB9" i="7"/>
  <c r="AC9" i="7"/>
  <c r="AD9" i="7"/>
  <c r="S10" i="7"/>
  <c r="T10" i="7"/>
  <c r="W10" i="7"/>
  <c r="X10" i="7"/>
  <c r="Z10" i="7"/>
  <c r="AB10" i="7"/>
  <c r="AC10" i="7"/>
  <c r="AD10" i="7"/>
  <c r="AD8" i="7"/>
  <c r="X8" i="7"/>
  <c r="Z8" i="7"/>
  <c r="AB8" i="7"/>
  <c r="AC8" i="7"/>
  <c r="W8" i="7"/>
  <c r="T8" i="7"/>
  <c r="S8" i="7"/>
  <c r="N20" i="7"/>
  <c r="O20" i="7" s="1"/>
  <c r="N21" i="7"/>
  <c r="O21" i="7" s="1"/>
  <c r="N22" i="7"/>
  <c r="O22" i="7" s="1"/>
  <c r="N19" i="7"/>
  <c r="O19" i="7" s="1"/>
  <c r="N18" i="7"/>
  <c r="O18" i="7" s="1"/>
  <c r="N17" i="7"/>
  <c r="O17" i="7" s="1"/>
  <c r="N16" i="7"/>
  <c r="O16" i="7" s="1"/>
  <c r="N15" i="7"/>
  <c r="O15" i="7" s="1"/>
  <c r="N14" i="7" l="1"/>
  <c r="O14" i="7" s="1"/>
  <c r="N13" i="7"/>
  <c r="O13" i="7" s="1"/>
  <c r="N12" i="7"/>
  <c r="O12" i="7" s="1"/>
  <c r="N10" i="7"/>
  <c r="O10" i="7" s="1"/>
  <c r="N11" i="7"/>
  <c r="N9" i="7"/>
  <c r="N8" i="7"/>
  <c r="O8" i="7" s="1"/>
  <c r="O11" i="7"/>
  <c r="AD6" i="7"/>
  <c r="H5" i="7"/>
  <c r="G5" i="7"/>
  <c r="F5" i="7"/>
  <c r="E5" i="7"/>
  <c r="D5" i="7"/>
  <c r="C5" i="7"/>
  <c r="I4" i="7"/>
  <c r="I3" i="7"/>
  <c r="N6" i="7" l="1"/>
  <c r="I5" i="7"/>
  <c r="O9" i="7"/>
  <c r="O6" i="7" s="1"/>
  <c r="AD2" i="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2" i="3"/>
  <c r="K12" i="3"/>
  <c r="L12" i="3"/>
  <c r="N12" i="3"/>
  <c r="P12" i="3"/>
  <c r="Q12" i="3"/>
  <c r="J13" i="3"/>
  <c r="K13" i="3"/>
  <c r="L13" i="3"/>
  <c r="N13" i="3"/>
  <c r="P13" i="3"/>
  <c r="Q13" i="3"/>
  <c r="J14" i="3"/>
  <c r="K14" i="3"/>
  <c r="L14" i="3"/>
  <c r="N14" i="3"/>
  <c r="P14" i="3"/>
  <c r="Q14" i="3"/>
  <c r="J15" i="3"/>
  <c r="K15" i="3"/>
  <c r="L15" i="3"/>
  <c r="N15" i="3"/>
  <c r="P15" i="3"/>
  <c r="Q15" i="3"/>
  <c r="J16" i="3"/>
  <c r="K16" i="3"/>
  <c r="L16" i="3"/>
  <c r="N16" i="3"/>
  <c r="P16" i="3"/>
  <c r="Q16" i="3"/>
  <c r="I8" i="3"/>
  <c r="I9" i="3"/>
  <c r="I10" i="3"/>
  <c r="I11" i="3"/>
  <c r="I12" i="3"/>
  <c r="I13" i="3"/>
  <c r="I14" i="3"/>
  <c r="I15" i="3"/>
  <c r="I16" i="3"/>
  <c r="B8" i="3"/>
  <c r="D8" i="3"/>
  <c r="F8" i="3"/>
  <c r="B9" i="3"/>
  <c r="D9" i="3"/>
  <c r="F9" i="3"/>
  <c r="B10" i="3"/>
  <c r="D10" i="3"/>
  <c r="F10" i="3"/>
  <c r="G10" i="3" s="1"/>
  <c r="B11" i="3"/>
  <c r="D11" i="3"/>
  <c r="F11" i="3"/>
  <c r="B12" i="3"/>
  <c r="D12" i="3"/>
  <c r="F12" i="3"/>
  <c r="G12" i="3" s="1"/>
  <c r="B13" i="3"/>
  <c r="D13" i="3"/>
  <c r="F13" i="3"/>
  <c r="G13" i="3" s="1"/>
  <c r="B14" i="3"/>
  <c r="D14" i="3"/>
  <c r="F14" i="3"/>
  <c r="G14" i="3" s="1"/>
  <c r="B15" i="3"/>
  <c r="D15" i="3"/>
  <c r="F15" i="3"/>
  <c r="G15" i="3" s="1"/>
  <c r="B16" i="3"/>
  <c r="D16" i="3"/>
  <c r="F16" i="3"/>
  <c r="G16" i="3" s="1"/>
  <c r="A8" i="3"/>
  <c r="A9" i="3"/>
  <c r="A10" i="3"/>
  <c r="A11" i="3"/>
  <c r="A12" i="3"/>
  <c r="A13" i="3"/>
  <c r="A14" i="3"/>
  <c r="A15" i="3"/>
  <c r="A16" i="3"/>
  <c r="AK16" i="3" l="1"/>
  <c r="AX16" i="3"/>
  <c r="AK15" i="3"/>
  <c r="U16" i="3"/>
  <c r="V16" i="3" s="1"/>
  <c r="AN15" i="3"/>
  <c r="AN12" i="3"/>
  <c r="U11" i="3"/>
  <c r="V11" i="3" s="1"/>
  <c r="AN10" i="3"/>
  <c r="BU10" i="3"/>
  <c r="AN16" i="3"/>
  <c r="CE10" i="3"/>
  <c r="U8" i="3"/>
  <c r="V8" i="3" s="1"/>
  <c r="U15" i="3"/>
  <c r="S13" i="3"/>
  <c r="S16" i="3"/>
  <c r="AA16" i="3"/>
  <c r="BE16" i="3"/>
  <c r="BI16" i="3"/>
  <c r="AH16" i="3"/>
  <c r="AL16" i="3"/>
  <c r="AP16" i="3"/>
  <c r="AR16" i="3" s="1"/>
  <c r="BJ16" i="3"/>
  <c r="BN16" i="3"/>
  <c r="T16" i="3"/>
  <c r="Z16" i="3"/>
  <c r="AB16" i="3" s="1"/>
  <c r="AD16" i="3"/>
  <c r="AF16" i="3" s="1"/>
  <c r="AI16" i="3"/>
  <c r="AM16" i="3"/>
  <c r="AQ16" i="3"/>
  <c r="AW16" i="3"/>
  <c r="AY16" i="3" s="1"/>
  <c r="BO16" i="3"/>
  <c r="BS16" i="3"/>
  <c r="AE16" i="3"/>
  <c r="S15" i="3"/>
  <c r="AA15" i="3"/>
  <c r="BE15" i="3"/>
  <c r="BI15" i="3"/>
  <c r="Z15" i="3"/>
  <c r="AB15" i="3" s="1"/>
  <c r="BD15" i="3"/>
  <c r="AH15" i="3"/>
  <c r="AL15" i="3"/>
  <c r="AP15" i="3"/>
  <c r="AR15" i="3" s="1"/>
  <c r="BJ15" i="3"/>
  <c r="BN15" i="3"/>
  <c r="AX15" i="3"/>
  <c r="T15" i="3"/>
  <c r="AD15" i="3"/>
  <c r="AF15" i="3" s="1"/>
  <c r="AI15" i="3"/>
  <c r="AM15" i="3"/>
  <c r="AQ15" i="3"/>
  <c r="AW15" i="3"/>
  <c r="AY15" i="3" s="1"/>
  <c r="BO15" i="3"/>
  <c r="BS15" i="3"/>
  <c r="AE15" i="3"/>
  <c r="BT15" i="3"/>
  <c r="S14" i="3"/>
  <c r="AH14" i="3"/>
  <c r="AL14" i="3"/>
  <c r="AP14" i="3"/>
  <c r="AR14" i="3" s="1"/>
  <c r="BJ14" i="3"/>
  <c r="BN14" i="3"/>
  <c r="T14" i="3"/>
  <c r="AD14" i="3"/>
  <c r="AF14" i="3" s="1"/>
  <c r="AI14" i="3"/>
  <c r="AM14" i="3"/>
  <c r="AQ14" i="3"/>
  <c r="AW14" i="3"/>
  <c r="AY14" i="3" s="1"/>
  <c r="BO14" i="3"/>
  <c r="BS14" i="3"/>
  <c r="Z14" i="3"/>
  <c r="AB14" i="3" s="1"/>
  <c r="AE14" i="3"/>
  <c r="AX14" i="3"/>
  <c r="BD14" i="3"/>
  <c r="BE14" i="3"/>
  <c r="AA14" i="3"/>
  <c r="BI14" i="3"/>
  <c r="BT14" i="3"/>
  <c r="AM13" i="3"/>
  <c r="T13" i="3"/>
  <c r="S12" i="3"/>
  <c r="AA12" i="3"/>
  <c r="BE12" i="3"/>
  <c r="BI12" i="3"/>
  <c r="AH12" i="3"/>
  <c r="AL12" i="3"/>
  <c r="AP12" i="3"/>
  <c r="AR12" i="3" s="1"/>
  <c r="BJ12" i="3"/>
  <c r="BN12" i="3"/>
  <c r="AD12" i="3"/>
  <c r="AF12" i="3" s="1"/>
  <c r="AI12" i="3"/>
  <c r="AM12" i="3"/>
  <c r="AQ12" i="3"/>
  <c r="AW12" i="3"/>
  <c r="AY12" i="3" s="1"/>
  <c r="BO12" i="3"/>
  <c r="BS12" i="3"/>
  <c r="AE12" i="3"/>
  <c r="AX12" i="3"/>
  <c r="BD12" i="3"/>
  <c r="BT12" i="3"/>
  <c r="T12" i="3"/>
  <c r="Z12" i="3"/>
  <c r="AB12"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6" i="3"/>
  <c r="Y16" i="3" s="1"/>
  <c r="W15" i="3"/>
  <c r="Y15" i="3" s="1"/>
  <c r="BT16" i="3"/>
  <c r="BD16" i="3"/>
  <c r="H16" i="3"/>
  <c r="H13" i="3"/>
  <c r="H11" i="3"/>
  <c r="H9" i="3"/>
  <c r="W14" i="3"/>
  <c r="Y14" i="3" s="1"/>
  <c r="X14" i="3"/>
  <c r="W12" i="3"/>
  <c r="Y12" i="3" s="1"/>
  <c r="X12" i="3"/>
  <c r="W11" i="3"/>
  <c r="Y11" i="3" s="1"/>
  <c r="X11" i="3"/>
  <c r="W10" i="3"/>
  <c r="Y10" i="3" s="1"/>
  <c r="X10" i="3"/>
  <c r="W9" i="3"/>
  <c r="Y9" i="3" s="1"/>
  <c r="W8" i="3"/>
  <c r="Y8" i="3" s="1"/>
  <c r="X8" i="3"/>
  <c r="X16" i="3"/>
  <c r="X15" i="3"/>
  <c r="U10" i="3"/>
  <c r="V10" i="3" s="1"/>
  <c r="G11" i="3"/>
  <c r="G9" i="3"/>
  <c r="G8" i="3"/>
  <c r="U13" i="3"/>
  <c r="V13" i="3" s="1"/>
  <c r="AK12" i="3"/>
  <c r="AK11" i="3"/>
  <c r="AK9" i="3"/>
  <c r="AK8" i="3"/>
  <c r="AK14" i="3"/>
  <c r="AK10" i="3"/>
  <c r="U14" i="3"/>
  <c r="V14" i="3" s="1"/>
  <c r="AN14" i="3"/>
  <c r="U12" i="3"/>
  <c r="V12" i="3" s="1"/>
  <c r="AC10" i="3"/>
  <c r="BF10" i="3"/>
  <c r="BK10" i="3"/>
  <c r="AJ10" i="3"/>
  <c r="AS10" i="3"/>
  <c r="BP10" i="3"/>
  <c r="BX10" i="3"/>
  <c r="U9" i="3"/>
  <c r="V9" i="3" s="1"/>
  <c r="AN9" i="3"/>
  <c r="AJ9" i="3"/>
  <c r="BK9" i="3"/>
  <c r="V15" i="3"/>
  <c r="AN11" i="3"/>
  <c r="AZ10" i="3"/>
  <c r="AG10" i="3"/>
  <c r="AN8" i="3"/>
  <c r="BS13" i="3"/>
  <c r="AI13" i="3"/>
  <c r="BO13" i="3"/>
  <c r="AW13" i="3"/>
  <c r="AY13" i="3" s="1"/>
  <c r="AD13" i="3"/>
  <c r="AF13" i="3" s="1"/>
  <c r="AQ13" i="3"/>
  <c r="X13" i="3"/>
  <c r="BN13" i="3"/>
  <c r="BJ13" i="3"/>
  <c r="AP13" i="3"/>
  <c r="AR13" i="3" s="1"/>
  <c r="AL13" i="3"/>
  <c r="AH13" i="3"/>
  <c r="W13" i="3"/>
  <c r="Y13" i="3" s="1"/>
  <c r="BI13" i="3"/>
  <c r="BE13" i="3"/>
  <c r="AK13" i="3"/>
  <c r="AA13" i="3"/>
  <c r="BT13" i="3"/>
  <c r="BD13" i="3"/>
  <c r="AX13" i="3"/>
  <c r="AN13" i="3"/>
  <c r="AE13" i="3"/>
  <c r="Z13" i="3"/>
  <c r="AB13" i="3" s="1"/>
  <c r="BF9" i="3"/>
  <c r="AC9" i="3"/>
  <c r="CE9" i="3"/>
  <c r="BU9" i="3"/>
  <c r="AZ9" i="3"/>
  <c r="AG9" i="3"/>
  <c r="BX9" i="3"/>
  <c r="BP9" i="3"/>
  <c r="AS9" i="3"/>
  <c r="H15" i="3"/>
  <c r="H14" i="3"/>
  <c r="H12" i="3"/>
  <c r="H10" i="3"/>
  <c r="H8" i="3"/>
  <c r="AA10" i="7"/>
  <c r="AA9" i="7"/>
  <c r="AA8" i="7"/>
  <c r="O8" i="3" l="1"/>
  <c r="CB8" i="3" s="1"/>
  <c r="CD8" i="3" s="1"/>
  <c r="AA19" i="7"/>
  <c r="O15" i="3"/>
  <c r="CB15" i="3" s="1"/>
  <c r="CD15" i="3" s="1"/>
  <c r="O16" i="3"/>
  <c r="CB16" i="3" s="1"/>
  <c r="CD16" i="3" s="1"/>
  <c r="AA20" i="7"/>
  <c r="O12" i="3"/>
  <c r="CB12" i="3" s="1"/>
  <c r="CD12" i="3" s="1"/>
  <c r="O11" i="3"/>
  <c r="CB11" i="3" s="1"/>
  <c r="CD11" i="3" s="1"/>
  <c r="AA21" i="7"/>
  <c r="O13" i="3"/>
  <c r="CB13" i="3" s="1"/>
  <c r="CD13" i="3" s="1"/>
  <c r="O10" i="3"/>
  <c r="CB10" i="3" s="1"/>
  <c r="CD10" i="3" s="1"/>
  <c r="AA17" i="7"/>
  <c r="O9" i="3"/>
  <c r="CB9" i="3" s="1"/>
  <c r="CD9" i="3" s="1"/>
  <c r="AA22" i="7"/>
  <c r="O14" i="3"/>
  <c r="CB14" i="3" s="1"/>
  <c r="CD14"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3" i="3"/>
  <c r="BZ13" i="3"/>
  <c r="BQ13" i="3"/>
  <c r="BH13" i="3"/>
  <c r="BY13" i="3"/>
  <c r="CA13" i="3" s="1"/>
  <c r="R13" i="3"/>
  <c r="AO13" i="3" s="1"/>
  <c r="BB13" i="3"/>
  <c r="CC13" i="3"/>
  <c r="BV13" i="3"/>
  <c r="BM13" i="3"/>
  <c r="AT13" i="3"/>
  <c r="AV13" i="3" s="1"/>
  <c r="BG13" i="3"/>
  <c r="BR13" i="3"/>
  <c r="BA13" i="3"/>
  <c r="BC13" i="3" s="1"/>
  <c r="AU13" i="3"/>
  <c r="BL13" i="3"/>
  <c r="BL12" i="3"/>
  <c r="BA12" i="3"/>
  <c r="BC12" i="3" s="1"/>
  <c r="BZ12" i="3"/>
  <c r="AU12" i="3"/>
  <c r="BB12" i="3"/>
  <c r="AT12" i="3"/>
  <c r="AV12" i="3" s="1"/>
  <c r="BR12" i="3"/>
  <c r="BQ12" i="3"/>
  <c r="BV12" i="3"/>
  <c r="BM12" i="3"/>
  <c r="BW12" i="3"/>
  <c r="BH12" i="3"/>
  <c r="CC12" i="3"/>
  <c r="R12" i="3"/>
  <c r="AO12" i="3" s="1"/>
  <c r="BG12" i="3"/>
  <c r="BY12" i="3"/>
  <c r="CA12" i="3" s="1"/>
  <c r="BH15" i="3"/>
  <c r="AU15" i="3"/>
  <c r="BR15" i="3"/>
  <c r="BM15" i="3"/>
  <c r="AT15" i="3"/>
  <c r="AV15" i="3" s="1"/>
  <c r="BB15" i="3"/>
  <c r="R15" i="3"/>
  <c r="AO15" i="3" s="1"/>
  <c r="BW15" i="3"/>
  <c r="BZ15" i="3"/>
  <c r="BQ15" i="3"/>
  <c r="BL15" i="3"/>
  <c r="BA15" i="3"/>
  <c r="BC15" i="3" s="1"/>
  <c r="BY15" i="3"/>
  <c r="CA15" i="3" s="1"/>
  <c r="CC15" i="3"/>
  <c r="BG15" i="3"/>
  <c r="BV15" i="3"/>
  <c r="CC8" i="3"/>
  <c r="BA8" i="3"/>
  <c r="BC8" i="3" s="1"/>
  <c r="BH8" i="3"/>
  <c r="BG8" i="3"/>
  <c r="AU8" i="3"/>
  <c r="R8" i="3"/>
  <c r="AO8" i="3" s="1"/>
  <c r="BR8" i="3"/>
  <c r="BQ8" i="3"/>
  <c r="BL8" i="3"/>
  <c r="BV8" i="3"/>
  <c r="BY8" i="3"/>
  <c r="CA8" i="3" s="1"/>
  <c r="BM8" i="3"/>
  <c r="BZ8" i="3"/>
  <c r="BB8" i="3"/>
  <c r="AT8" i="3"/>
  <c r="AV8" i="3" s="1"/>
  <c r="BW8" i="3"/>
  <c r="AT14" i="3"/>
  <c r="AV14" i="3" s="1"/>
  <c r="BM14" i="3"/>
  <c r="AU14" i="3"/>
  <c r="BH14" i="3"/>
  <c r="BG14" i="3"/>
  <c r="BQ14" i="3"/>
  <c r="BZ14" i="3"/>
  <c r="BB14" i="3"/>
  <c r="BA14" i="3"/>
  <c r="BC14" i="3" s="1"/>
  <c r="BL14" i="3"/>
  <c r="R14" i="3"/>
  <c r="AO14" i="3" s="1"/>
  <c r="BW14" i="3"/>
  <c r="BV14" i="3"/>
  <c r="BY14" i="3"/>
  <c r="CA14" i="3" s="1"/>
  <c r="BR14" i="3"/>
  <c r="CC14" i="3"/>
  <c r="AT16" i="3"/>
  <c r="AV16" i="3" s="1"/>
  <c r="BH16" i="3"/>
  <c r="CC16" i="3"/>
  <c r="BL16" i="3"/>
  <c r="BV16" i="3"/>
  <c r="BB16" i="3"/>
  <c r="BY16" i="3"/>
  <c r="CA16" i="3" s="1"/>
  <c r="AU16" i="3"/>
  <c r="BW16" i="3"/>
  <c r="BR16" i="3"/>
  <c r="R16" i="3"/>
  <c r="AO16" i="3" s="1"/>
  <c r="BQ16" i="3"/>
  <c r="BG16" i="3"/>
  <c r="BA16" i="3"/>
  <c r="BC16" i="3" s="1"/>
  <c r="BZ16" i="3"/>
  <c r="BM16"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Y9" i="7"/>
  <c r="T3" i="5"/>
  <c r="Y10" i="7"/>
  <c r="T4" i="5"/>
  <c r="T7" i="5"/>
  <c r="Y13" i="7"/>
  <c r="Y8" i="7"/>
  <c r="T2" i="5"/>
  <c r="Y21" i="7"/>
  <c r="M13" i="3"/>
  <c r="M8" i="3"/>
  <c r="Y22" i="7"/>
  <c r="M14" i="3"/>
  <c r="M11" i="3"/>
  <c r="Y19" i="7"/>
  <c r="M15" i="3"/>
  <c r="Y20" i="7"/>
  <c r="M12" i="3"/>
  <c r="M16"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6" i="3"/>
  <c r="AS16" i="3"/>
  <c r="BP16" i="3"/>
  <c r="AJ16" i="3"/>
  <c r="BX16" i="3"/>
  <c r="AC16" i="3"/>
  <c r="CE16" i="3"/>
  <c r="AZ16" i="3"/>
  <c r="BU16" i="3"/>
  <c r="BK16" i="3"/>
  <c r="BF16" i="3"/>
  <c r="AG15" i="3"/>
  <c r="BX15" i="3"/>
  <c r="BF15" i="3"/>
  <c r="CE15" i="3"/>
  <c r="AZ15" i="3"/>
  <c r="AC15" i="3"/>
  <c r="AJ15" i="3"/>
  <c r="AS15" i="3"/>
  <c r="BK15" i="3"/>
  <c r="BU15" i="3"/>
  <c r="BP15" i="3"/>
  <c r="BU14" i="3"/>
  <c r="CE14" i="3"/>
  <c r="BK14" i="3"/>
  <c r="BP14" i="3"/>
  <c r="BF14" i="3"/>
  <c r="AJ14" i="3"/>
  <c r="AZ14" i="3"/>
  <c r="AC14" i="3"/>
  <c r="AS14" i="3"/>
  <c r="AG14" i="3"/>
  <c r="BX14" i="3"/>
  <c r="AZ13" i="3"/>
  <c r="AG13" i="3"/>
  <c r="BX13" i="3"/>
  <c r="AC13" i="3"/>
  <c r="BU13" i="3"/>
  <c r="BK13" i="3"/>
  <c r="BF13" i="3"/>
  <c r="CE13" i="3"/>
  <c r="AJ13" i="3"/>
  <c r="BP13" i="3"/>
  <c r="AS13" i="3"/>
  <c r="AJ12" i="3"/>
  <c r="AS12" i="3"/>
  <c r="AG12" i="3"/>
  <c r="AC12" i="3"/>
  <c r="BU12" i="3"/>
  <c r="CE12" i="3"/>
  <c r="BX12" i="3"/>
  <c r="AZ12" i="3"/>
  <c r="BF12" i="3"/>
  <c r="BK12" i="3"/>
  <c r="BP12" i="3"/>
  <c r="AS8" i="3"/>
  <c r="AJ8" i="3"/>
  <c r="CE8" i="3"/>
  <c r="BF8" i="3"/>
  <c r="BK8" i="3"/>
  <c r="AG8" i="3"/>
  <c r="AC8" i="3"/>
  <c r="BU8" i="3"/>
  <c r="BP8" i="3"/>
  <c r="AZ8" i="3"/>
  <c r="BX8" i="3"/>
  <c r="AX28" i="10" l="1"/>
  <c r="AX11" i="10"/>
  <c r="AX39" i="10"/>
  <c r="AX13" i="10"/>
  <c r="AX26" i="10" s="1"/>
  <c r="AX41" i="10" s="1"/>
  <c r="AH21" i="3"/>
  <c r="AI21" i="3"/>
  <c r="AX16" i="10" l="1"/>
  <c r="AX30" i="10"/>
  <c r="AX2" i="10"/>
  <c r="W9" i="1" l="1"/>
  <c r="S9" i="1"/>
  <c r="R9" i="1"/>
  <c r="P9" i="1"/>
  <c r="L9" i="1"/>
  <c r="K9" i="1"/>
  <c r="J9" i="1"/>
  <c r="C14" i="2" l="1"/>
  <c r="C15" i="2"/>
  <c r="C16" i="2" s="1"/>
  <c r="I6" i="3" l="1"/>
  <c r="I7" i="3"/>
  <c r="I4" i="3"/>
  <c r="I5" i="3"/>
  <c r="I3" i="3"/>
  <c r="C4" i="2" l="1"/>
  <c r="C7" i="2"/>
  <c r="C1" i="2"/>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19" i="3" l="1"/>
  <c r="AI23" i="3" s="1"/>
  <c r="AI19" i="3"/>
  <c r="AH23"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C21" i="1" s="1"/>
  <c r="F17" i="1"/>
  <c r="F15" i="1"/>
  <c r="F20" i="1"/>
  <c r="C20" i="1" s="1"/>
  <c r="F30" i="1"/>
  <c r="C30" i="1" s="1"/>
  <c r="F8" i="1"/>
  <c r="H6" i="5" s="1"/>
  <c r="F26" i="1"/>
  <c r="F29" i="1"/>
  <c r="C29" i="1" s="1"/>
  <c r="F25" i="1"/>
  <c r="C25" i="1" s="1"/>
  <c r="F31" i="1"/>
  <c r="C31" i="1" s="1"/>
  <c r="F11" i="1"/>
  <c r="C11" i="1" s="1"/>
  <c r="F28" i="1"/>
  <c r="C28" i="1" s="1"/>
  <c r="F27" i="1"/>
  <c r="C27" i="1" s="1"/>
  <c r="F23" i="1"/>
  <c r="C23" i="1" s="1"/>
  <c r="F24" i="1"/>
  <c r="C24" i="1" s="1"/>
  <c r="F19" i="1"/>
  <c r="C19" i="1" s="1"/>
  <c r="F22" i="1"/>
  <c r="C22" i="1" s="1"/>
  <c r="F4" i="1"/>
  <c r="F7" i="1"/>
  <c r="F9" i="1"/>
  <c r="F18" i="1"/>
  <c r="F5" i="1"/>
  <c r="F13" i="1"/>
  <c r="F16" i="1"/>
  <c r="F10" i="1"/>
  <c r="F12" i="1"/>
  <c r="F14" i="1"/>
  <c r="F6" i="1"/>
  <c r="C26" i="1" l="1"/>
  <c r="H12" i="5"/>
  <c r="N12" i="5" s="1"/>
  <c r="U16" i="7"/>
  <c r="I6" i="5"/>
  <c r="K6" i="5" s="1"/>
  <c r="N6" i="5"/>
  <c r="C9" i="1"/>
  <c r="U11" i="7"/>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U9" i="7"/>
  <c r="H3" i="5"/>
  <c r="U14" i="7"/>
  <c r="H5" i="5"/>
  <c r="C7" i="1"/>
  <c r="C7" i="10" s="1"/>
  <c r="C13" i="1"/>
  <c r="C13" i="10" s="1"/>
  <c r="U15" i="7"/>
  <c r="U18" i="7"/>
  <c r="C10" i="1"/>
  <c r="C10" i="10" s="1"/>
  <c r="U12" i="7"/>
  <c r="U13" i="7"/>
  <c r="C11" i="10"/>
  <c r="C12" i="1"/>
  <c r="C15" i="1"/>
  <c r="C15" i="10" s="1"/>
  <c r="C14" i="1"/>
  <c r="C14" i="10" s="1"/>
  <c r="C5" i="1"/>
  <c r="C5" i="10" s="1"/>
  <c r="U10" i="7"/>
  <c r="C6" i="1"/>
  <c r="C6" i="10" s="1"/>
  <c r="U8" i="7"/>
  <c r="C4" i="1"/>
  <c r="C4" i="10" s="1"/>
  <c r="C16" i="3"/>
  <c r="U20" i="7"/>
  <c r="U17" i="7"/>
  <c r="C15" i="3"/>
  <c r="U19" i="7"/>
  <c r="C14" i="3"/>
  <c r="U22" i="7"/>
  <c r="C13" i="3"/>
  <c r="U21" i="7"/>
  <c r="C12"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0" authorId="0" shapeId="0">
      <text>
        <r>
          <rPr>
            <b/>
            <sz val="8"/>
            <color indexed="81"/>
            <rFont val="Tahoma"/>
            <family val="2"/>
          </rPr>
          <t>Sacado del manual no escrito, no se sabe que son estos valores</t>
        </r>
      </text>
    </comment>
    <comment ref="D20"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<sst xmlns="http://schemas.openxmlformats.org/spreadsheetml/2006/main" count="859" uniqueCount="444">
  <si>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</si>
  <si>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</si>
  <si>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</si>
  <si>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</si>
  <si>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</si>
  <si>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</si>
  <si>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</si>
  <si>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</si>
  <si>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</si>
  <si>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</si>
  <si>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</si>
  <si>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</si>
  <si>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</si>
  <si>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</si>
  <si>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</si>
  <si>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</si>
  <si>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</si>
  <si>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</si>
  <si>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</si>
  <si>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</si>
  <si>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</si>
  <si>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</si>
  <si>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</si>
  <si>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</si>
  <si>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</si>
  <si>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</si>
  <si>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</si>
  <si>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</si>
  <si>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</si>
  <si>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</si>
  <si>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</si>
  <si>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</si>
  <si>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</si>
  <si>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</si>
  <si>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</si>
  <si>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</si>
  <si>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</si>
  <si>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</si>
  <si>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</si>
  <si>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</si>
  <si>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</si>
  <si>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</si>
  <si>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</si>
  <si>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</si>
  <si>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</si>
  <si>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</si>
  <si>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</si>
  <si>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</si>
  <si>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</si>
  <si>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</si>
  <si>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</si>
  <si>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</si>
  <si>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</si>
  <si>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</si>
  <si>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</si>
  <si>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</si>
  <si>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</si>
  <si>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</si>
  <si>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</si>
  <si>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</si>
  <si>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</si>
  <si>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</si>
  <si>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</si>
  <si>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</si>
  <si>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</si>
  <si>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</si>
  <si>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</si>
  <si>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</si>
  <si>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</si>
  <si>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</si>
  <si>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</si>
  <si>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</si>
  <si>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</si>
  <si>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</si>
  <si>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</si>
  <si>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</si>
  <si>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</si>
  <si>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</si>
  <si>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</si>
  <si>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</si>
  <si>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</si>
  <si>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</si>
  <si>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</si>
  <si>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</si>
  <si>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</si>
  <si>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</si>
  <si>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</si>
  <si>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</si>
  <si>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</si>
  <si>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</si>
  <si>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</si>
  <si>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</si>
  <si>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</si>
  <si>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</si>
  <si>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</si>
  <si>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</si>
  <si>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</si>
  <si>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</si>
  <si>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</si>
  <si>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</si>
  <si>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</si>
  <si>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</si>
  <si>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</si>
  <si>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</si>
  <si>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</si>
  <si>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</si>
  <si>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</si>
  <si>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</si>
  <si>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</si>
  <si>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</si>
  <si>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</si>
  <si>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</si>
  <si>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</si>
  <si>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</si>
  <si>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</si>
  <si>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</si>
  <si>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</si>
  <si>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</si>
  <si>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</si>
  <si>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</si>
  <si>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</si>
  <si>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</si>
  <si>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</si>
  <si>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</si>
  <si>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</si>
  <si>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</si>
  <si>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</si>
  <si>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</si>
  <si>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</si>
  <si>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</si>
  <si>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</si>
  <si>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</si>
  <si>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</si>
  <si>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</si>
  <si>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</si>
  <si>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</si>
  <si>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</si>
  <si>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</si>
  <si>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</si>
  <si>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</si>
  <si>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</si>
  <si>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</si>
  <si>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</si>
  <si>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</si>
  <si>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</si>
  <si>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</si>
  <si>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</si>
  <si>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</si>
  <si>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</si>
  <si>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</si>
  <si>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</si>
  <si>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</si>
  <si>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</si>
  <si>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</si>
  <si>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</si>
  <si>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</si>
  <si>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</si>
  <si>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</si>
  <si>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</si>
  <si>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</si>
  <si>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</si>
  <si>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</si>
  <si>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</si>
  <si>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</si>
  <si>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</si>
  <si>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</si>
  <si>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</si>
  <si>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</si>
  <si>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</si>
  <si>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</si>
  <si>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</si>
  <si>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</si>
  <si>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</si>
  <si>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</si>
  <si>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</si>
  <si>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</si>
  <si>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</si>
  <si>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</si>
  <si>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</si>
  <si>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</si>
  <si>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Tactica</t>
  </si>
  <si>
    <t>Total</t>
  </si>
  <si>
    <t>Max</t>
  </si>
  <si>
    <t>Num</t>
  </si>
  <si>
    <t>Nombre</t>
  </si>
  <si>
    <t>CAB/RAP</t>
  </si>
  <si>
    <t>MOF/DAV</t>
  </si>
  <si>
    <t>Sueldo+20%</t>
  </si>
  <si>
    <t>DL-BP</t>
  </si>
  <si>
    <t>DC/IDEF</t>
  </si>
  <si>
    <t>DL</t>
  </si>
  <si>
    <t>EHM/IHL/EOF</t>
  </si>
  <si>
    <t>IOF/DD</t>
  </si>
  <si>
    <t>Medico</t>
  </si>
  <si>
    <t>CosteTotal</t>
  </si>
  <si>
    <t>HXP</t>
  </si>
  <si>
    <t>JUGMin</t>
  </si>
  <si>
    <t>JUGMax</t>
  </si>
  <si>
    <t>Gianfranco Rezza</t>
  </si>
  <si>
    <t>LID</t>
  </si>
  <si>
    <t>POT</t>
  </si>
  <si>
    <t>Ag</t>
  </si>
  <si>
    <t>Ho</t>
  </si>
  <si>
    <t>%_T</t>
  </si>
  <si>
    <t>Fcompra</t>
  </si>
  <si>
    <t>Ca</t>
  </si>
  <si>
    <t>A. Ilisie</t>
  </si>
  <si>
    <t>Logros:  0,25 y 3,75 (ambos no inclusive)</t>
  </si>
  <si>
    <t>352-253</t>
  </si>
  <si>
    <t>IHL/EXT</t>
  </si>
  <si>
    <t>CAB/POT/IMP</t>
  </si>
  <si>
    <t>CAB/POT</t>
  </si>
  <si>
    <t>CAB/RAP/TEC</t>
  </si>
  <si>
    <t>h33</t>
  </si>
  <si>
    <t>DCNo</t>
  </si>
  <si>
    <t>DLNo</t>
  </si>
  <si>
    <t>COMPRA</t>
  </si>
  <si>
    <t>CosteTRA_BUENO</t>
  </si>
  <si>
    <t>COSTETOTAL_BUENO</t>
  </si>
  <si>
    <t>CosteTRA_EX</t>
  </si>
  <si>
    <t>COSTETOTAL_EX</t>
  </si>
  <si>
    <t>451-532</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</si>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</sst>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color rgb="FFFF0000"/>
      <name val="Calibri"/>
      <family val="2"/>
      <scheme val="minor"/>
    </font>
    <font>
      <b/>
      <sz val="11"/>
      <color rgb="FFFFC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6">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0" fontId="0" fillId="0" borderId="1" xfId="0" applyBorder="1" applyAlignment="1">
      <alignment horizontal="right"/>
    </xf>
    <xf numFmtId="0" fontId="10"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34" fillId="28" borderId="1" xfId="0" applyFont="1" applyFill="1" applyBorder="1" applyAlignment="1">
      <alignment horizontal="center"/>
    </xf>
    <xf numFmtId="0" fontId="17" fillId="0" borderId="1" xfId="0" applyFont="1" applyFill="1" applyBorder="1" applyAlignment="1">
      <alignment horizontal="center"/>
    </xf>
    <xf numFmtId="0" fontId="0" fillId="0" borderId="1" xfId="0" applyFill="1" applyBorder="1" applyAlignment="1">
      <alignment horizontal="center"/>
    </xf>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6" fillId="0" borderId="1" xfId="0" applyFont="1" applyFill="1" applyBorder="1" applyAlignment="1">
      <alignment horizontal="left" vertical="center"/>
    </xf>
    <xf numFmtId="0" fontId="37" fillId="0" borderId="0" xfId="0" applyFont="1"/>
    <xf numFmtId="168" fontId="37" fillId="0" borderId="0" xfId="4" applyNumberFormat="1" applyFont="1"/>
    <xf numFmtId="0" fontId="19" fillId="16" borderId="0" xfId="0" applyFont="1" applyFill="1" applyAlignment="1">
      <alignment horizontal="center"/>
    </xf>
    <xf numFmtId="0" fontId="0" fillId="30" borderId="0" xfId="0" applyFill="1" applyAlignment="1">
      <alignment horizontal="center"/>
    </xf>
    <xf numFmtId="165" fontId="0" fillId="0" borderId="0" xfId="1" applyNumberFormat="1" applyFont="1"/>
    <xf numFmtId="171" fontId="0" fillId="0" borderId="0" xfId="1" applyNumberFormat="1" applyFont="1"/>
    <xf numFmtId="0" fontId="10" fillId="29" borderId="1" xfId="0" applyFont="1" applyFill="1" applyBorder="1" applyAlignment="1">
      <alignment horizontal="center"/>
    </xf>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33" fillId="0" borderId="0" xfId="0" applyFont="1" applyAlignment="1">
      <alignment horizontal="center"/>
    </xf>
    <xf numFmtId="0" fontId="35" fillId="0" borderId="1" xfId="0" applyFont="1" applyFill="1" applyBorder="1" applyAlignment="1">
      <alignment horizontal="center"/>
    </xf>
    <xf numFmtId="0" fontId="10" fillId="0" borderId="1" xfId="0" applyFont="1" applyFill="1" applyBorder="1" applyAlignment="1">
      <alignment horizontal="center"/>
    </xf>
    <xf numFmtId="14" fontId="1" fillId="0" borderId="0" xfId="4" applyNumberFormat="1" applyFont="1"/>
    <xf numFmtId="0" fontId="8" fillId="14" borderId="2" xfId="0" applyFont="1" applyFill="1" applyBorder="1" applyAlignment="1">
      <alignment horizontal="center" vertical="center"/>
    </xf>
    <xf numFmtId="0" fontId="8" fillId="32"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3" borderId="0" xfId="0" applyFill="1"/>
    <xf numFmtId="168" fontId="0" fillId="31" borderId="0" xfId="4" applyNumberFormat="1" applyFont="1" applyFill="1"/>
    <xf numFmtId="1" fontId="37" fillId="0" borderId="0" xfId="0" applyNumberFormat="1" applyFont="1"/>
    <xf numFmtId="0" fontId="38" fillId="0" borderId="0" xfId="0" applyFont="1"/>
    <xf numFmtId="0" fontId="39"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40" fillId="0" borderId="0" xfId="3" applyFont="1" applyFill="1" applyBorder="1" applyAlignment="1">
      <alignment horizontal="left"/>
    </xf>
    <xf numFmtId="0" fontId="40" fillId="0" borderId="0" xfId="3" applyFont="1" applyFill="1" applyBorder="1" applyAlignment="1">
      <alignment horizontal="center"/>
    </xf>
    <xf numFmtId="0" fontId="41"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2" fillId="0" borderId="0" xfId="3" applyNumberFormat="1" applyFont="1" applyFill="1" applyAlignment="1">
      <alignment horizontal="center"/>
    </xf>
    <xf numFmtId="1" fontId="43"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4" fillId="0" borderId="0" xfId="3" applyNumberFormat="1" applyFont="1"/>
    <xf numFmtId="0" fontId="44"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5"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6" fillId="0" borderId="0" xfId="3" applyFont="1" applyFill="1"/>
    <xf numFmtId="0" fontId="10" fillId="0" borderId="0" xfId="0" applyFont="1"/>
    <xf numFmtId="0" fontId="46"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5" fillId="19" borderId="0" xfId="0" applyFont="1" applyFill="1"/>
    <xf numFmtId="2" fontId="17" fillId="0" borderId="0" xfId="0" applyNumberFormat="1" applyFont="1"/>
    <xf numFmtId="0" fontId="49" fillId="34" borderId="1" xfId="0" applyFont="1" applyFill="1" applyBorder="1" applyAlignment="1">
      <alignment horizontal="center" vertical="top" wrapText="1"/>
    </xf>
    <xf numFmtId="0" fontId="50" fillId="34"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50" fillId="35"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0" fontId="50" fillId="34" borderId="7" xfId="0" applyFont="1" applyFill="1" applyBorder="1" applyAlignment="1">
      <alignment horizontal="center" vertical="top" wrapText="1"/>
    </xf>
    <xf numFmtId="0" fontId="0" fillId="0" borderId="0" xfId="0" applyAlignment="1">
      <alignment horizontal="center"/>
    </xf>
    <xf numFmtId="0" fontId="50" fillId="35"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30" borderId="0" xfId="0" applyNumberFormat="1" applyFill="1" applyAlignment="1">
      <alignment horizontal="center"/>
    </xf>
    <xf numFmtId="170" fontId="0" fillId="30" borderId="0" xfId="0" applyNumberFormat="1" applyFill="1" applyAlignment="1">
      <alignment horizontal="center"/>
    </xf>
    <xf numFmtId="168" fontId="0" fillId="30" borderId="0" xfId="0" applyNumberFormat="1" applyFill="1"/>
    <xf numFmtId="170" fontId="0" fillId="30" borderId="0" xfId="0" applyNumberFormat="1" applyFill="1"/>
    <xf numFmtId="2" fontId="0" fillId="30" borderId="0" xfId="0" applyNumberFormat="1" applyFill="1"/>
    <xf numFmtId="164" fontId="0" fillId="30" borderId="0" xfId="0" applyNumberFormat="1" applyFill="1"/>
    <xf numFmtId="9" fontId="17" fillId="36" borderId="0" xfId="0" applyNumberFormat="1" applyFont="1" applyFill="1" applyAlignment="1">
      <alignment horizontal="center"/>
    </xf>
    <xf numFmtId="10" fontId="17" fillId="36" borderId="0" xfId="0" applyNumberFormat="1" applyFont="1" applyFill="1" applyAlignment="1">
      <alignment horizontal="center"/>
    </xf>
    <xf numFmtId="170" fontId="17" fillId="36" borderId="0" xfId="0" applyNumberFormat="1" applyFont="1" applyFill="1" applyAlignment="1">
      <alignment horizontal="center"/>
    </xf>
    <xf numFmtId="0" fontId="17" fillId="36" borderId="0" xfId="0" applyFont="1" applyFill="1" applyAlignment="1">
      <alignment horizontal="center"/>
    </xf>
    <xf numFmtId="168" fontId="17" fillId="36" borderId="0" xfId="0" applyNumberFormat="1" applyFont="1" applyFill="1"/>
    <xf numFmtId="170" fontId="17" fillId="36" borderId="0" xfId="0" applyNumberFormat="1" applyFont="1" applyFill="1"/>
    <xf numFmtId="2" fontId="17" fillId="36" borderId="0" xfId="0" applyNumberFormat="1" applyFont="1" applyFill="1"/>
    <xf numFmtId="164" fontId="17" fillId="36" borderId="0" xfId="0" applyNumberFormat="1" applyFont="1" applyFill="1"/>
    <xf numFmtId="0" fontId="0" fillId="0" borderId="0" xfId="0" applyAlignment="1">
      <alignment horizontal="center"/>
    </xf>
    <xf numFmtId="0" fontId="51"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33" fillId="0" borderId="0" xfId="0" applyFont="1" applyAlignment="1">
      <alignment horizontal="center"/>
    </xf>
    <xf numFmtId="0" fontId="47" fillId="34" borderId="1" xfId="0" applyFont="1" applyFill="1" applyBorder="1" applyAlignment="1">
      <alignment horizontal="center" vertical="top" wrapText="1"/>
    </xf>
    <xf numFmtId="0" fontId="48" fillId="35"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35" fillId="9" borderId="5" xfId="0" applyFont="1" applyFill="1" applyBorder="1" applyAlignment="1">
      <alignment horizontal="center"/>
    </xf>
    <xf numFmtId="0" fontId="35"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41">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42">
        <v>4.5999999999999996</v>
      </c>
      <c r="G3" s="143">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42">
        <v>4.97</v>
      </c>
      <c r="G4" s="143">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42">
        <v>5.32</v>
      </c>
      <c r="G5" s="143">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42">
        <v>5.64</v>
      </c>
      <c r="G6" s="143">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42">
        <v>5.93</v>
      </c>
      <c r="G7" s="143">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9">
        <v>0.1</v>
      </c>
      <c r="B8" s="140">
        <v>4.8099999999999996</v>
      </c>
      <c r="C8" s="140">
        <v>5.31</v>
      </c>
      <c r="D8" s="140">
        <v>5.71</v>
      </c>
      <c r="E8" s="140">
        <v>6.01</v>
      </c>
      <c r="F8" s="140">
        <v>6.21</v>
      </c>
      <c r="G8" s="140">
        <v>6.31</v>
      </c>
      <c r="H8" s="140">
        <v>6.16</v>
      </c>
      <c r="I8" s="140">
        <v>6.01</v>
      </c>
      <c r="J8" s="140">
        <v>5.86</v>
      </c>
      <c r="K8" s="140">
        <v>5.71</v>
      </c>
      <c r="L8" s="140">
        <v>5.56</v>
      </c>
      <c r="M8" s="140">
        <v>5.41</v>
      </c>
      <c r="N8" s="140">
        <v>5.26</v>
      </c>
      <c r="O8" s="140">
        <v>5.1100000000000003</v>
      </c>
      <c r="P8" s="140">
        <v>4.96</v>
      </c>
      <c r="Q8" s="140">
        <v>4.76</v>
      </c>
      <c r="R8" s="140">
        <v>4.5599999999999996</v>
      </c>
      <c r="S8" s="140">
        <v>4.26</v>
      </c>
      <c r="T8" s="140">
        <v>3.91</v>
      </c>
      <c r="U8" s="140">
        <v>3.51</v>
      </c>
      <c r="V8" s="140">
        <v>3.0599999999999996</v>
      </c>
      <c r="W8" s="140">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9">
        <v>0.11</v>
      </c>
      <c r="B9" s="91">
        <v>5.0599999999999996</v>
      </c>
      <c r="C9" s="91">
        <v>5.56</v>
      </c>
      <c r="D9" s="91">
        <v>5.96</v>
      </c>
      <c r="E9" s="91">
        <v>6.26</v>
      </c>
      <c r="F9" s="91">
        <v>6.46</v>
      </c>
      <c r="G9" s="140">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9">
        <v>0.12</v>
      </c>
      <c r="B10" s="140">
        <v>5.3</v>
      </c>
      <c r="C10" s="140">
        <v>5.8</v>
      </c>
      <c r="D10" s="140">
        <v>6.2</v>
      </c>
      <c r="E10" s="140">
        <v>6.5</v>
      </c>
      <c r="F10" s="140">
        <v>6.7</v>
      </c>
      <c r="G10" s="140">
        <v>6.8</v>
      </c>
      <c r="H10" s="140">
        <v>6.65</v>
      </c>
      <c r="I10" s="140">
        <v>6.5</v>
      </c>
      <c r="J10" s="140">
        <v>6.35</v>
      </c>
      <c r="K10" s="140">
        <v>6.2</v>
      </c>
      <c r="L10" s="140">
        <v>6.05</v>
      </c>
      <c r="M10" s="140">
        <v>5.9</v>
      </c>
      <c r="N10" s="140">
        <v>5.75</v>
      </c>
      <c r="O10" s="140">
        <v>5.6</v>
      </c>
      <c r="P10" s="140">
        <v>5.45</v>
      </c>
      <c r="Q10" s="140">
        <v>5.25</v>
      </c>
      <c r="R10" s="140">
        <v>5.05</v>
      </c>
      <c r="S10" s="140">
        <v>4.75</v>
      </c>
      <c r="T10" s="140">
        <v>4.4000000000000004</v>
      </c>
      <c r="U10" s="140">
        <v>4</v>
      </c>
      <c r="V10" s="140">
        <v>3.55</v>
      </c>
      <c r="W10" s="140">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9">
        <v>0.13</v>
      </c>
      <c r="B11" s="91">
        <v>5.52</v>
      </c>
      <c r="C11" s="91">
        <v>6.02</v>
      </c>
      <c r="D11" s="91">
        <v>6.42</v>
      </c>
      <c r="E11" s="91">
        <v>6.72</v>
      </c>
      <c r="F11" s="91">
        <v>6.92</v>
      </c>
      <c r="G11" s="140">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9">
        <v>0.14000000000000001</v>
      </c>
      <c r="B12" s="91">
        <v>5.72</v>
      </c>
      <c r="C12" s="91">
        <v>6.22</v>
      </c>
      <c r="D12" s="91">
        <v>6.62</v>
      </c>
      <c r="E12" s="91">
        <v>6.92</v>
      </c>
      <c r="F12" s="91">
        <v>7.1199999999999992</v>
      </c>
      <c r="G12" s="140">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9">
        <v>0.15</v>
      </c>
      <c r="B13" s="91">
        <v>5.91</v>
      </c>
      <c r="C13" s="91">
        <v>6.41</v>
      </c>
      <c r="D13" s="91">
        <v>6.81</v>
      </c>
      <c r="E13" s="91">
        <v>7.1099999999999994</v>
      </c>
      <c r="F13" s="91">
        <v>7.3100000000000005</v>
      </c>
      <c r="G13" s="140">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9">
        <v>0.16</v>
      </c>
      <c r="B14" s="91">
        <v>6.09</v>
      </c>
      <c r="C14" s="91">
        <v>6.59</v>
      </c>
      <c r="D14" s="91">
        <v>6.99</v>
      </c>
      <c r="E14" s="91">
        <v>7.2899999999999991</v>
      </c>
      <c r="F14" s="91">
        <v>7.49</v>
      </c>
      <c r="G14" s="140">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9">
        <v>0.17</v>
      </c>
      <c r="B15" s="140">
        <v>6.25</v>
      </c>
      <c r="C15" s="140">
        <v>6.75</v>
      </c>
      <c r="D15" s="140">
        <v>7.15</v>
      </c>
      <c r="E15" s="140">
        <v>7.4499999999999993</v>
      </c>
      <c r="F15" s="140">
        <v>7.65</v>
      </c>
      <c r="G15" s="140">
        <v>7.75</v>
      </c>
      <c r="H15" s="140">
        <v>7.6</v>
      </c>
      <c r="I15" s="140">
        <v>7.4499999999999993</v>
      </c>
      <c r="J15" s="140">
        <v>7.3000000000000007</v>
      </c>
      <c r="K15" s="140">
        <v>7.15</v>
      </c>
      <c r="L15" s="140">
        <v>7</v>
      </c>
      <c r="M15" s="140">
        <v>6.85</v>
      </c>
      <c r="N15" s="140">
        <v>6.7</v>
      </c>
      <c r="O15" s="140">
        <v>6.55</v>
      </c>
      <c r="P15" s="140">
        <v>6.4</v>
      </c>
      <c r="Q15" s="140">
        <v>6.2</v>
      </c>
      <c r="R15" s="140">
        <v>6</v>
      </c>
      <c r="S15" s="140">
        <v>5.7</v>
      </c>
      <c r="T15" s="140">
        <v>5.35</v>
      </c>
      <c r="U15" s="140">
        <v>4.95</v>
      </c>
      <c r="V15" s="140">
        <v>4.5</v>
      </c>
      <c r="W15" s="140">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9">
        <v>0.18</v>
      </c>
      <c r="B16" s="91">
        <v>6.4</v>
      </c>
      <c r="C16" s="91">
        <v>6.9</v>
      </c>
      <c r="D16" s="91">
        <v>7.3000000000000007</v>
      </c>
      <c r="E16" s="91">
        <v>7.6</v>
      </c>
      <c r="F16" s="91">
        <v>7.8000000000000007</v>
      </c>
      <c r="G16" s="140">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9">
        <v>0.19</v>
      </c>
      <c r="B17" s="91">
        <v>6.54</v>
      </c>
      <c r="C17" s="91">
        <v>7.0399999999999991</v>
      </c>
      <c r="D17" s="91">
        <v>7.4399999999999995</v>
      </c>
      <c r="E17" s="91">
        <v>7.74</v>
      </c>
      <c r="F17" s="91">
        <v>7.9399999999999995</v>
      </c>
      <c r="G17" s="140">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42">
        <v>8.1999999999999993</v>
      </c>
      <c r="G19" s="143">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42">
        <v>8.31</v>
      </c>
      <c r="G20" s="143">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42">
        <v>8.33</v>
      </c>
      <c r="G21" s="143">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42">
        <v>8.33</v>
      </c>
      <c r="G22" s="143">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42">
        <v>8.33</v>
      </c>
      <c r="G24" s="143">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42">
        <v>8.33</v>
      </c>
      <c r="G25" s="143">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42">
        <v>8.33</v>
      </c>
      <c r="G26" s="143">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42">
        <v>8.33</v>
      </c>
      <c r="G27" s="143">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42">
        <v>8.33</v>
      </c>
      <c r="G28" s="143">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42">
        <v>8.33</v>
      </c>
      <c r="G29" s="143">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42">
        <v>8.33</v>
      </c>
      <c r="G30" s="143">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42">
        <v>8.33</v>
      </c>
      <c r="G31" s="143">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42">
        <v>8.33</v>
      </c>
      <c r="G32" s="143">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42">
        <v>8.33</v>
      </c>
      <c r="G33" s="143">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42">
        <v>8.33</v>
      </c>
      <c r="G34" s="143">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42">
        <v>8.33</v>
      </c>
      <c r="G35" s="143">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42">
        <v>8.33</v>
      </c>
      <c r="G36" s="143">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42">
        <v>8.33</v>
      </c>
      <c r="G37" s="143">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42">
        <v>8.33</v>
      </c>
      <c r="G38" s="143">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42">
        <v>8.33</v>
      </c>
      <c r="G39" s="143">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42">
        <v>8.33</v>
      </c>
      <c r="G40" s="143">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42">
        <v>8.33</v>
      </c>
      <c r="G41" s="143">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42">
        <v>8.33</v>
      </c>
      <c r="G42" s="143">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42">
        <v>8.33</v>
      </c>
      <c r="G43" s="143">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42">
        <v>8.33</v>
      </c>
      <c r="G44" s="143">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42">
        <v>8.33</v>
      </c>
      <c r="G45" s="143">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42">
        <v>8.33</v>
      </c>
      <c r="G46" s="143">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42">
        <v>8.33</v>
      </c>
      <c r="G47" s="143">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42">
        <v>8.33</v>
      </c>
      <c r="G48" s="143">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53" t="s">
        <v>110</v>
      </c>
      <c r="C59" s="105" t="s">
        <v>109</v>
      </c>
      <c r="D59" s="257" t="s">
        <v>148</v>
      </c>
      <c r="E59" s="257" t="s">
        <v>148</v>
      </c>
      <c r="F59" s="106" t="s">
        <v>107</v>
      </c>
      <c r="H59" s="107" t="s">
        <v>149</v>
      </c>
      <c r="X59" s="98"/>
    </row>
    <row r="60" spans="1:24" ht="15.75" x14ac:dyDescent="0.25">
      <c r="A60" s="108">
        <v>18</v>
      </c>
      <c r="B60" s="253"/>
      <c r="C60" s="105" t="s">
        <v>150</v>
      </c>
      <c r="D60" s="257"/>
      <c r="E60" s="257"/>
      <c r="F60" s="106" t="s">
        <v>151</v>
      </c>
      <c r="H60" s="101" t="s">
        <v>152</v>
      </c>
      <c r="X60" s="98"/>
    </row>
    <row r="61" spans="1:24" ht="15.75" x14ac:dyDescent="0.25">
      <c r="A61" s="104">
        <v>19</v>
      </c>
      <c r="B61" s="253"/>
      <c r="C61" s="109"/>
      <c r="D61" s="257"/>
      <c r="E61" s="257"/>
      <c r="F61" s="110"/>
      <c r="H61" s="101" t="s">
        <v>153</v>
      </c>
      <c r="I61" s="100"/>
      <c r="X61" s="98"/>
    </row>
    <row r="62" spans="1:24" ht="15.75" x14ac:dyDescent="0.25">
      <c r="A62" s="108">
        <v>20</v>
      </c>
      <c r="B62" s="253"/>
      <c r="C62" s="106" t="s">
        <v>148</v>
      </c>
      <c r="D62" s="258" t="s">
        <v>107</v>
      </c>
      <c r="E62" s="106" t="s">
        <v>107</v>
      </c>
      <c r="F62" s="110"/>
      <c r="H62" s="101" t="s">
        <v>154</v>
      </c>
      <c r="X62" s="98"/>
    </row>
    <row r="63" spans="1:24" ht="15.75" x14ac:dyDescent="0.25">
      <c r="A63" s="104">
        <v>21</v>
      </c>
      <c r="B63" s="255" t="s">
        <v>109</v>
      </c>
      <c r="C63" s="106" t="s">
        <v>155</v>
      </c>
      <c r="D63" s="258"/>
      <c r="E63" s="106" t="s">
        <v>151</v>
      </c>
      <c r="F63" s="110"/>
      <c r="H63" s="101" t="s">
        <v>156</v>
      </c>
      <c r="X63" s="98"/>
    </row>
    <row r="64" spans="1:24" ht="15.75" x14ac:dyDescent="0.25">
      <c r="A64" s="108">
        <v>22</v>
      </c>
      <c r="B64" s="255"/>
      <c r="C64" s="110"/>
      <c r="D64" s="258"/>
      <c r="E64" s="110"/>
      <c r="F64" s="110"/>
      <c r="H64" s="101" t="s">
        <v>157</v>
      </c>
      <c r="X64" s="98"/>
    </row>
    <row r="65" spans="1:24" ht="15.75" x14ac:dyDescent="0.25">
      <c r="A65" s="104">
        <v>23</v>
      </c>
      <c r="B65" s="255"/>
      <c r="C65" s="110"/>
      <c r="D65" s="258"/>
      <c r="E65" s="110"/>
      <c r="F65" s="110"/>
      <c r="H65" s="101"/>
      <c r="X65" s="98"/>
    </row>
    <row r="66" spans="1:24" ht="15.75" x14ac:dyDescent="0.25">
      <c r="A66" s="108">
        <v>24</v>
      </c>
      <c r="B66" s="255"/>
      <c r="C66" s="110"/>
      <c r="D66" s="258"/>
      <c r="E66" s="110"/>
      <c r="F66" s="110"/>
      <c r="H66" s="101" t="s">
        <v>158</v>
      </c>
      <c r="X66" s="98"/>
    </row>
    <row r="67" spans="1:24" ht="15.75" x14ac:dyDescent="0.25">
      <c r="A67" s="104">
        <v>25</v>
      </c>
      <c r="B67" s="255"/>
      <c r="C67" s="110"/>
      <c r="D67" s="257" t="s">
        <v>148</v>
      </c>
      <c r="E67" s="110"/>
      <c r="F67" s="110"/>
      <c r="H67" s="101" t="s">
        <v>159</v>
      </c>
      <c r="X67" s="98"/>
    </row>
    <row r="68" spans="1:24" ht="15.75" x14ac:dyDescent="0.25">
      <c r="A68" s="108">
        <v>26</v>
      </c>
      <c r="B68" s="255"/>
      <c r="C68" s="257" t="s">
        <v>148</v>
      </c>
      <c r="D68" s="257"/>
      <c r="E68" s="110"/>
      <c r="F68" s="110"/>
      <c r="H68" s="101"/>
      <c r="X68" s="98"/>
    </row>
    <row r="69" spans="1:24" ht="15.75" x14ac:dyDescent="0.25">
      <c r="A69" s="104">
        <v>27</v>
      </c>
      <c r="B69" s="253" t="s">
        <v>110</v>
      </c>
      <c r="C69" s="257"/>
      <c r="D69" s="257"/>
      <c r="E69" s="110"/>
      <c r="F69" s="110"/>
      <c r="H69" s="101"/>
      <c r="X69" s="98"/>
    </row>
    <row r="70" spans="1:24" ht="15.75" x14ac:dyDescent="0.25">
      <c r="A70" s="108">
        <v>28</v>
      </c>
      <c r="B70" s="253"/>
      <c r="C70" s="255" t="s">
        <v>109</v>
      </c>
      <c r="D70" s="257"/>
      <c r="E70" s="110"/>
      <c r="F70" s="110"/>
      <c r="H70" s="101" t="s">
        <v>160</v>
      </c>
      <c r="X70" s="98"/>
    </row>
    <row r="71" spans="1:24" ht="15.75" x14ac:dyDescent="0.25">
      <c r="A71" s="104">
        <v>29</v>
      </c>
      <c r="B71" s="253"/>
      <c r="C71" s="255"/>
      <c r="D71" s="257"/>
      <c r="E71" s="110"/>
      <c r="F71" s="110"/>
      <c r="H71" s="101"/>
      <c r="X71" s="98"/>
    </row>
    <row r="72" spans="1:24" ht="15.75" x14ac:dyDescent="0.25">
      <c r="A72" s="108">
        <v>30</v>
      </c>
      <c r="B72" s="253"/>
      <c r="C72" s="255"/>
      <c r="D72" s="255" t="s">
        <v>109</v>
      </c>
      <c r="E72" s="110"/>
      <c r="F72" s="110"/>
      <c r="H72" s="101" t="s">
        <v>161</v>
      </c>
      <c r="X72" s="98"/>
    </row>
    <row r="73" spans="1:24" ht="15.75" x14ac:dyDescent="0.25">
      <c r="A73" s="104">
        <v>31</v>
      </c>
      <c r="B73" s="253"/>
      <c r="C73" s="255"/>
      <c r="D73" s="255"/>
      <c r="E73" s="106" t="s">
        <v>148</v>
      </c>
      <c r="F73" s="110"/>
      <c r="H73" s="101"/>
      <c r="X73" s="98"/>
    </row>
    <row r="74" spans="1:24" ht="15.75" x14ac:dyDescent="0.25">
      <c r="A74" s="108">
        <v>32</v>
      </c>
      <c r="B74" s="253"/>
      <c r="C74" s="255"/>
      <c r="D74" s="255"/>
      <c r="E74" s="106" t="s">
        <v>155</v>
      </c>
      <c r="F74" s="110"/>
      <c r="H74" s="101" t="s">
        <v>162</v>
      </c>
      <c r="X74" s="98"/>
    </row>
    <row r="75" spans="1:24" ht="15.75" x14ac:dyDescent="0.25">
      <c r="A75" s="104">
        <v>33</v>
      </c>
      <c r="B75" s="253"/>
      <c r="C75" s="253" t="s">
        <v>110</v>
      </c>
      <c r="D75" s="255"/>
      <c r="E75" s="105" t="s">
        <v>109</v>
      </c>
      <c r="F75" s="105" t="s">
        <v>109</v>
      </c>
      <c r="H75" s="101"/>
      <c r="X75" s="98"/>
    </row>
    <row r="76" spans="1:24" ht="15.75" x14ac:dyDescent="0.25">
      <c r="A76" s="108">
        <v>34</v>
      </c>
      <c r="B76" s="256" t="s">
        <v>163</v>
      </c>
      <c r="C76" s="253"/>
      <c r="D76" s="255"/>
      <c r="E76" s="105" t="s">
        <v>150</v>
      </c>
      <c r="F76" s="105" t="s">
        <v>150</v>
      </c>
      <c r="H76" s="101" t="s">
        <v>164</v>
      </c>
      <c r="X76" s="98"/>
    </row>
    <row r="77" spans="1:24" ht="15.75" x14ac:dyDescent="0.25">
      <c r="A77" s="104">
        <v>35</v>
      </c>
      <c r="B77" s="256"/>
      <c r="C77" s="256" t="s">
        <v>163</v>
      </c>
      <c r="D77" s="253" t="s">
        <v>110</v>
      </c>
      <c r="E77" s="253" t="s">
        <v>110</v>
      </c>
      <c r="F77" s="109"/>
      <c r="H77" s="101"/>
      <c r="X77" s="98"/>
    </row>
    <row r="78" spans="1:24" ht="15.75" x14ac:dyDescent="0.25">
      <c r="A78" s="108">
        <v>36</v>
      </c>
      <c r="B78" s="256"/>
      <c r="C78" s="256"/>
      <c r="D78" s="253"/>
      <c r="E78" s="253"/>
      <c r="F78" s="111" t="s">
        <v>110</v>
      </c>
      <c r="H78" s="101" t="s">
        <v>165</v>
      </c>
      <c r="X78" s="98"/>
    </row>
    <row r="79" spans="1:24" ht="15.75" x14ac:dyDescent="0.25">
      <c r="A79" s="254" t="s">
        <v>166</v>
      </c>
      <c r="B79" s="254"/>
      <c r="C79" s="254"/>
      <c r="D79" s="254"/>
      <c r="E79" s="254"/>
      <c r="F79" s="254"/>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4"/>
  <sheetViews>
    <sheetView workbookViewId="0">
      <selection activeCell="E12" sqref="E12"/>
    </sheetView>
  </sheetViews>
  <sheetFormatPr baseColWidth="10" defaultRowHeight="15" x14ac:dyDescent="0.25"/>
  <cols>
    <col min="1" max="1" width="7.7109375" style="248" bestFit="1" customWidth="1"/>
    <col min="2" max="2" width="7.7109375" style="248" customWidth="1"/>
    <col min="3" max="3" width="17.85546875" style="248" bestFit="1" customWidth="1"/>
    <col min="4" max="4" width="18.28515625" style="248" bestFit="1" customWidth="1"/>
    <col min="5" max="5" width="11.42578125" style="248"/>
    <col min="6" max="6" width="13" style="248" bestFit="1" customWidth="1"/>
    <col min="7" max="8" width="10.28515625" style="248" bestFit="1" customWidth="1"/>
  </cols>
  <sheetData>
    <row r="1" spans="1:11" ht="15.75" x14ac:dyDescent="0.25">
      <c r="A1" s="249" t="s">
        <v>357</v>
      </c>
      <c r="B1" s="249" t="s">
        <v>363</v>
      </c>
      <c r="C1" s="249" t="s">
        <v>358</v>
      </c>
      <c r="D1" s="249" t="s">
        <v>362</v>
      </c>
      <c r="E1" s="249" t="s">
        <v>359</v>
      </c>
      <c r="F1" s="249" t="s">
        <v>354</v>
      </c>
      <c r="G1" s="249" t="s">
        <v>355</v>
      </c>
      <c r="H1" s="249" t="s">
        <v>356</v>
      </c>
    </row>
    <row r="2" spans="1:11" x14ac:dyDescent="0.25">
      <c r="A2" s="248">
        <v>54</v>
      </c>
      <c r="B2" s="248" t="s">
        <v>364</v>
      </c>
      <c r="C2" s="248" t="s">
        <v>360</v>
      </c>
      <c r="D2" s="250">
        <v>0.17499999999999999</v>
      </c>
      <c r="E2" s="71">
        <v>0.3</v>
      </c>
      <c r="F2" s="248">
        <f>Empleados!L5</f>
        <v>-0.31299999999999994</v>
      </c>
      <c r="G2" s="50">
        <f>Empleados!M5</f>
        <v>-5.0079999999999991</v>
      </c>
      <c r="H2" s="50">
        <f>Empleados!N5</f>
        <v>-35.055999999999997</v>
      </c>
    </row>
    <row r="3" spans="1:11" x14ac:dyDescent="0.25">
      <c r="A3" s="248">
        <v>55</v>
      </c>
      <c r="B3" s="248" t="s">
        <v>365</v>
      </c>
      <c r="C3" s="248" t="s">
        <v>360</v>
      </c>
      <c r="D3" s="71">
        <v>0.35</v>
      </c>
      <c r="E3" s="71">
        <v>0.05</v>
      </c>
      <c r="F3" s="248">
        <f>Empleados!L9</f>
        <v>0.1120000000000001</v>
      </c>
      <c r="G3" s="50">
        <f>Empleados!M9</f>
        <v>1.7920000000000016</v>
      </c>
      <c r="H3" s="50">
        <f>Empleados!N9</f>
        <v>12.544000000000011</v>
      </c>
      <c r="K3" s="40">
        <f>SUM(H3:H13)</f>
        <v>163.744</v>
      </c>
    </row>
    <row r="4" spans="1:11" x14ac:dyDescent="0.25">
      <c r="A4" s="248">
        <v>56</v>
      </c>
      <c r="B4" s="248" t="s">
        <v>366</v>
      </c>
      <c r="C4" s="248" t="s">
        <v>361</v>
      </c>
      <c r="D4" s="71">
        <v>0.35</v>
      </c>
      <c r="E4" s="71">
        <v>0.05</v>
      </c>
      <c r="F4" s="248">
        <f>Empleados!L6</f>
        <v>0.16500000000000004</v>
      </c>
      <c r="G4" s="50">
        <f>Empleados!M6</f>
        <v>2.6400000000000006</v>
      </c>
      <c r="H4" s="50">
        <f>Empleados!N6</f>
        <v>18.480000000000004</v>
      </c>
      <c r="J4" s="40">
        <f>SUM(H4:H13)</f>
        <v>151.19999999999999</v>
      </c>
    </row>
    <row r="5" spans="1:11" x14ac:dyDescent="0.25">
      <c r="A5" s="248">
        <v>57</v>
      </c>
      <c r="B5" s="248" t="s">
        <v>367</v>
      </c>
      <c r="C5" s="248" t="s">
        <v>361</v>
      </c>
      <c r="D5" s="71">
        <v>0.35</v>
      </c>
      <c r="E5" s="71">
        <v>0.05</v>
      </c>
      <c r="F5" s="248">
        <f>F4</f>
        <v>0.16500000000000004</v>
      </c>
      <c r="G5" s="50">
        <f t="shared" ref="G5:H5" si="0">G4</f>
        <v>2.6400000000000006</v>
      </c>
      <c r="H5" s="50">
        <f t="shared" si="0"/>
        <v>18.480000000000004</v>
      </c>
      <c r="I5" s="40">
        <f>SUM(H5:H13)</f>
        <v>132.72</v>
      </c>
    </row>
    <row r="6" spans="1:11" x14ac:dyDescent="0.25">
      <c r="A6" s="248">
        <v>58</v>
      </c>
      <c r="B6" s="248" t="s">
        <v>368</v>
      </c>
      <c r="C6" s="248" t="s">
        <v>361</v>
      </c>
      <c r="D6" s="71">
        <v>0.35</v>
      </c>
      <c r="E6" s="71">
        <v>0.05</v>
      </c>
      <c r="F6" s="248">
        <f t="shared" ref="F6:F7" si="1">F5</f>
        <v>0.16500000000000004</v>
      </c>
      <c r="G6" s="50">
        <f t="shared" ref="G6:G7" si="2">G5</f>
        <v>2.6400000000000006</v>
      </c>
      <c r="H6" s="50">
        <f t="shared" ref="H6:H7" si="3">H5</f>
        <v>18.480000000000004</v>
      </c>
    </row>
    <row r="7" spans="1:11" x14ac:dyDescent="0.25">
      <c r="A7" s="248">
        <v>59</v>
      </c>
      <c r="B7" s="248" t="s">
        <v>369</v>
      </c>
      <c r="C7" s="248" t="s">
        <v>361</v>
      </c>
      <c r="D7" s="71">
        <v>0.35</v>
      </c>
      <c r="E7" s="71">
        <v>0.05</v>
      </c>
      <c r="F7" s="248">
        <f t="shared" si="1"/>
        <v>0.16500000000000004</v>
      </c>
      <c r="G7" s="50">
        <f t="shared" si="2"/>
        <v>2.6400000000000006</v>
      </c>
      <c r="H7" s="50">
        <f t="shared" si="3"/>
        <v>18.480000000000004</v>
      </c>
    </row>
    <row r="8" spans="1:11" x14ac:dyDescent="0.25">
      <c r="A8" s="248">
        <v>60</v>
      </c>
      <c r="B8" s="248" t="s">
        <v>370</v>
      </c>
      <c r="C8" s="248" t="s">
        <v>361</v>
      </c>
      <c r="D8" s="71">
        <v>0.35</v>
      </c>
      <c r="E8" s="71">
        <v>0.1</v>
      </c>
      <c r="F8" s="248">
        <f>Empleados!L8</f>
        <v>0.11499999999999999</v>
      </c>
      <c r="G8" s="248">
        <f>Empleados!M8</f>
        <v>1.8399999999999999</v>
      </c>
      <c r="H8" s="248">
        <f>Empleados!N8</f>
        <v>12.879999999999999</v>
      </c>
    </row>
    <row r="9" spans="1:11" x14ac:dyDescent="0.25">
      <c r="A9" s="248">
        <v>61</v>
      </c>
      <c r="B9" s="248" t="s">
        <v>371</v>
      </c>
      <c r="C9" s="248" t="s">
        <v>361</v>
      </c>
      <c r="D9" s="71">
        <v>0.35</v>
      </c>
      <c r="E9" s="71">
        <v>0.1</v>
      </c>
      <c r="F9" s="248">
        <f>F8</f>
        <v>0.11499999999999999</v>
      </c>
      <c r="G9" s="248">
        <f t="shared" ref="G9:H9" si="4">G8</f>
        <v>1.8399999999999999</v>
      </c>
      <c r="H9" s="248">
        <f t="shared" si="4"/>
        <v>12.879999999999999</v>
      </c>
    </row>
    <row r="10" spans="1:11" x14ac:dyDescent="0.25">
      <c r="A10" s="248">
        <v>62</v>
      </c>
      <c r="B10" s="248" t="s">
        <v>372</v>
      </c>
      <c r="C10" s="248" t="s">
        <v>361</v>
      </c>
      <c r="D10" s="71">
        <v>0.35</v>
      </c>
      <c r="E10" s="71">
        <v>0.1</v>
      </c>
      <c r="F10" s="248">
        <f t="shared" ref="F10:F13" si="5">F9</f>
        <v>0.11499999999999999</v>
      </c>
      <c r="G10" s="248">
        <f t="shared" ref="G10:G13" si="6">G9</f>
        <v>1.8399999999999999</v>
      </c>
      <c r="H10" s="248">
        <f t="shared" ref="H10:H13" si="7">H9</f>
        <v>12.879999999999999</v>
      </c>
    </row>
    <row r="11" spans="1:11" x14ac:dyDescent="0.25">
      <c r="A11" s="248">
        <v>63</v>
      </c>
      <c r="B11" s="248" t="s">
        <v>373</v>
      </c>
      <c r="C11" s="248" t="s">
        <v>361</v>
      </c>
      <c r="D11" s="71">
        <v>0.35</v>
      </c>
      <c r="E11" s="71">
        <v>0.1</v>
      </c>
      <c r="F11" s="248">
        <f t="shared" si="5"/>
        <v>0.11499999999999999</v>
      </c>
      <c r="G11" s="248">
        <f t="shared" si="6"/>
        <v>1.8399999999999999</v>
      </c>
      <c r="H11" s="248">
        <f t="shared" si="7"/>
        <v>12.879999999999999</v>
      </c>
    </row>
    <row r="12" spans="1:11" x14ac:dyDescent="0.25">
      <c r="A12" s="248">
        <v>64</v>
      </c>
      <c r="B12" s="248" t="s">
        <v>374</v>
      </c>
      <c r="C12" s="248" t="s">
        <v>361</v>
      </c>
      <c r="D12" s="71">
        <v>0.35</v>
      </c>
      <c r="E12" s="71">
        <v>0.1</v>
      </c>
      <c r="F12" s="248">
        <f t="shared" si="5"/>
        <v>0.11499999999999999</v>
      </c>
      <c r="G12" s="248">
        <f t="shared" si="6"/>
        <v>1.8399999999999999</v>
      </c>
      <c r="H12" s="248">
        <f t="shared" si="7"/>
        <v>12.879999999999999</v>
      </c>
    </row>
    <row r="13" spans="1:11" x14ac:dyDescent="0.25">
      <c r="A13" s="248">
        <v>65</v>
      </c>
      <c r="B13" s="248" t="s">
        <v>375</v>
      </c>
      <c r="C13" s="248" t="s">
        <v>361</v>
      </c>
      <c r="D13" s="71">
        <v>0.35</v>
      </c>
      <c r="E13" s="71">
        <v>0.1</v>
      </c>
      <c r="F13" s="248">
        <f t="shared" si="5"/>
        <v>0.11499999999999999</v>
      </c>
      <c r="G13" s="248">
        <f t="shared" si="6"/>
        <v>1.8399999999999999</v>
      </c>
      <c r="H13" s="248">
        <f t="shared" si="7"/>
        <v>12.879999999999999</v>
      </c>
    </row>
    <row r="14" spans="1:11" x14ac:dyDescent="0.25">
      <c r="A14" s="248">
        <v>66</v>
      </c>
      <c r="B14" s="248" t="s">
        <v>376</v>
      </c>
      <c r="C14" s="248" t="s">
        <v>361</v>
      </c>
      <c r="D14" s="250">
        <v>0.17499999999999999</v>
      </c>
      <c r="E14" s="7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N14" sqref="N14"/>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7" t="s">
        <v>91</v>
      </c>
      <c r="P1" s="147" t="s">
        <v>199</v>
      </c>
      <c r="Q1" s="147" t="s">
        <v>88</v>
      </c>
      <c r="R1" s="11" t="s">
        <v>15</v>
      </c>
      <c r="S1" s="11" t="s">
        <v>16</v>
      </c>
      <c r="T1" s="11" t="s">
        <v>17</v>
      </c>
      <c r="U1" s="11" t="s">
        <v>18</v>
      </c>
      <c r="V1" s="11" t="s">
        <v>19</v>
      </c>
      <c r="W1" s="11" t="s">
        <v>20</v>
      </c>
      <c r="X1" s="11" t="s">
        <v>6</v>
      </c>
      <c r="Y1" s="11" t="s">
        <v>21</v>
      </c>
      <c r="Z1" s="15" t="s">
        <v>222</v>
      </c>
      <c r="AA1" s="15" t="s">
        <v>22</v>
      </c>
      <c r="AB1" s="15" t="s">
        <v>23</v>
      </c>
      <c r="AC1" s="15" t="s">
        <v>24</v>
      </c>
      <c r="AD1" s="15" t="s">
        <v>25</v>
      </c>
    </row>
    <row r="2" spans="1:45" s="98" customFormat="1" x14ac:dyDescent="0.25">
      <c r="A2" s="164" t="str">
        <f>PLANTILLA!D4</f>
        <v>Damián Sala</v>
      </c>
      <c r="B2" s="73">
        <f ca="1">(N2+F2-J2)/K2</f>
        <v>-73754.39252336444</v>
      </c>
      <c r="C2" s="145">
        <v>22</v>
      </c>
      <c r="D2" s="145">
        <v>61</v>
      </c>
      <c r="E2" s="158">
        <f>PLANTILLA!M4</f>
        <v>42200</v>
      </c>
      <c r="F2" s="146">
        <v>4265460</v>
      </c>
      <c r="G2" s="145">
        <f>PLANTILLA!E4</f>
        <v>30</v>
      </c>
      <c r="H2" s="145">
        <f ca="1">PLANTILLA!F4</f>
        <v>21</v>
      </c>
      <c r="I2" s="49">
        <f ca="1">E2+(H2-D2+(G2-C2)*112)</f>
        <v>43056</v>
      </c>
      <c r="J2" s="165">
        <v>6886000</v>
      </c>
      <c r="K2" s="40">
        <f ca="1">(I2-E2)/112</f>
        <v>7.6428571428571432</v>
      </c>
      <c r="L2" s="74">
        <f>J2-F2</f>
        <v>2620540</v>
      </c>
      <c r="M2" s="76">
        <f>PLANTILLA!V4</f>
        <v>16820</v>
      </c>
      <c r="N2" s="76">
        <f ca="1">((G2-C2)*M2*16)+(H2-D2)/7*M2</f>
        <v>2056845.7142857143</v>
      </c>
      <c r="O2" s="148">
        <f>PLANTILLA!I4</f>
        <v>10.6</v>
      </c>
      <c r="P2" s="148">
        <f>PLANTILLA!H4</f>
        <v>2</v>
      </c>
      <c r="Q2" s="148"/>
      <c r="R2" s="150">
        <f>PLANTILLA!X4</f>
        <v>14</v>
      </c>
      <c r="S2" s="150">
        <f>PLANTILLA!Y4</f>
        <v>11.066666666666666</v>
      </c>
      <c r="T2" s="150">
        <f>PLANTILLA!Z4</f>
        <v>0.17999999999999997</v>
      </c>
      <c r="U2" s="150">
        <f>PLANTILLA!AA4</f>
        <v>0.01</v>
      </c>
      <c r="V2" s="150">
        <f>PLANTILLA!AB4</f>
        <v>2.3299999999999996</v>
      </c>
      <c r="W2" s="150">
        <f>PLANTILLA!AC4</f>
        <v>1.8100000000000005</v>
      </c>
      <c r="X2" s="150">
        <f>PLANTILLA!AD4</f>
        <v>19.149999999999999</v>
      </c>
      <c r="Y2" s="149">
        <f>PLANTILLA!AE4</f>
        <v>1284</v>
      </c>
      <c r="Z2" s="149">
        <f>O2*P2*P2</f>
        <v>42.4</v>
      </c>
      <c r="AA2" s="9">
        <f>((S2+1)+(V2+1)*2)/8</f>
        <v>2.3408333333333333</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1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64" t="str">
        <f>PLANTILLA!D5</f>
        <v>Mario Omarini</v>
      </c>
      <c r="B3" s="73">
        <f t="shared" ref="B3:B16" ca="1" si="0">(N3+F3-J3)/K3</f>
        <v>148191.99999999997</v>
      </c>
      <c r="C3" s="145">
        <v>29</v>
      </c>
      <c r="D3" s="145">
        <v>99</v>
      </c>
      <c r="E3" s="158">
        <f>PLANTILLA!M5</f>
        <v>42828</v>
      </c>
      <c r="F3" s="146">
        <v>2789000</v>
      </c>
      <c r="G3" s="145">
        <f>PLANTILLA!E5</f>
        <v>31</v>
      </c>
      <c r="H3" s="145">
        <f ca="1">PLANTILLA!F5</f>
        <v>103</v>
      </c>
      <c r="I3" s="49">
        <f t="shared" ref="I3:I16" ca="1" si="1">E3+(H3-D3+(G3-C3)*112)</f>
        <v>43056</v>
      </c>
      <c r="J3" s="165">
        <v>3074000</v>
      </c>
      <c r="K3" s="40">
        <f t="shared" ref="K3:K16" ca="1" si="2">(I3-E3)/112</f>
        <v>2.0357142857142856</v>
      </c>
      <c r="L3" s="74">
        <f t="shared" ref="L3:L16" si="3">J3-F3</f>
        <v>285000</v>
      </c>
      <c r="M3" s="76">
        <f>PLANTILLA!V5</f>
        <v>18012</v>
      </c>
      <c r="N3" s="76">
        <f t="shared" ref="N3:N16" ca="1" si="4">((G3-C3)*M3*16)+(H3-D3)/7*M3</f>
        <v>586676.57142857148</v>
      </c>
      <c r="O3" s="148">
        <f>PLANTILLA!I5</f>
        <v>9.6999999999999993</v>
      </c>
      <c r="P3" s="148">
        <f>PLANTILLA!H5</f>
        <v>3</v>
      </c>
      <c r="Q3" s="148" t="str">
        <f>PLANTILLA!G5</f>
        <v>TEC</v>
      </c>
      <c r="R3" s="150">
        <f>PLANTILLA!X5</f>
        <v>0</v>
      </c>
      <c r="S3" s="150">
        <f>PLANTILLA!Y5</f>
        <v>14</v>
      </c>
      <c r="T3" s="150">
        <f>PLANTILLA!Z5</f>
        <v>7.1099999999999994</v>
      </c>
      <c r="U3" s="150">
        <f>PLANTILLA!AA5</f>
        <v>11.035714285714286</v>
      </c>
      <c r="V3" s="150">
        <f>PLANTILLA!AB5</f>
        <v>7.0499999999999989</v>
      </c>
      <c r="W3" s="150">
        <f>PLANTILLA!AC5</f>
        <v>2.0099999999999998</v>
      </c>
      <c r="X3" s="150">
        <f>PLANTILLA!AD5</f>
        <v>15.333333333333332</v>
      </c>
      <c r="Y3" s="149">
        <f>PLANTILLA!AE5</f>
        <v>1650</v>
      </c>
      <c r="Z3" s="149">
        <f t="shared" ref="Z3:Z16" si="5">O3*P3*P3</f>
        <v>87.3</v>
      </c>
      <c r="AA3" s="9">
        <f t="shared" ref="AA3:AA16" si="6">((S3+1)+(V3+1)*2)/8</f>
        <v>3.8874999999999997</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8.2901798345427107</v>
      </c>
      <c r="AF3" s="40">
        <f t="shared" ref="AF3:AF16" ca="1" si="11">IF(TODAY()-E3&gt;335,((S3+1+(LOG(O3)*4/3))*1),((S3+(((TODAY()-E3)^0.5)/(336^0.5))+(LOG(O3)*4/3))*1))</f>
        <v>16.139450116736242</v>
      </c>
      <c r="AG3" s="40">
        <f ca="1">IF(TODAY()-E3&gt;335,((T3+1+(LOG(O3)*4/3))*0.238),((T3+(((TODAY()-E3)^0.5)/(336^0.238))+(LOG(O3)*4/3))*0.238))</f>
        <v>2.9053842081693309</v>
      </c>
      <c r="AH3" s="40">
        <f ca="1">IF(TODAY()-E3&gt;335,((S3+1+(LOG(O3)*4/3))*0.92),((S3+(((TODAY()-E3)^0.5)/(336^0.5))+(LOG(O3)*4/3))*0.92))</f>
        <v>14.848294107397344</v>
      </c>
      <c r="AI3" s="40">
        <f ca="1">IF(TODAY()-E3&gt;335,((S3+1+(LOG(O3)*4/3))*0.414),((S3+(((TODAY()-E3)^0.5)/(336^0.414))+(LOG(O3)*4/3))*0.414))</f>
        <v>6.9031212966693118</v>
      </c>
      <c r="AJ3" s="40">
        <f ca="1">IF(TODAY()-E3&gt;335,((T3+1+(LOG(O3)*4/3))*0.167),((T3+(((TODAY()-E3)^0.5)/(336^0.5))+(LOG(O3)*4/3))*0.167))</f>
        <v>1.5446581694949522</v>
      </c>
      <c r="AK3" s="213">
        <f ca="1">IF(TODAY()-E3&gt;335,((U3+1+(LOG(O3)*4/3))*0.588),((U3+(((TODAY()-E3)^0.5)/(336^0.5))+(LOG(O3)*4/3))*0.588))</f>
        <v>7.7469966686409091</v>
      </c>
      <c r="AL3" s="40">
        <f ca="1">IF(TODAY()-E3&gt;335,((S3+1+(LOG(O3)*4/3))*0.4),((S3+(((TODAY()-E3)^0.5)/(336^0.5))+(LOG(O3)*4/3))*0.4))</f>
        <v>6.455780046694497</v>
      </c>
      <c r="AM3" s="40">
        <f ca="1">IF(TODAY()-E3&gt;335,((T3+1+(LOG(O3)*4/3))*1),((T3+(((TODAY()-E3)^0.5)/(336^0.5))+(LOG(O3)*4/3))*1))</f>
        <v>9.2494501167362397</v>
      </c>
      <c r="AN3" s="40">
        <f ca="1">IF(TODAY()-E3&gt;335,((W3+1+(LOG(O3)*4/3))*0.21)+((V3+1+(LOG(O3)*4/3))*0.341),((W3+(((TODAY()-E3)^0.5)/(336^0.5))+(LOG(O3)*4/3))*0.21)+((V3+(((TODAY()-E3)^0.5)/(336^0.5))+(LOG(O3)*4/3))*0.341))</f>
        <v>4.0049870143216681</v>
      </c>
      <c r="AO3" s="40">
        <f ca="1">IF(TODAY()-E3&gt;335,((T3+1+(LOG(O3)*4/3))*0.305),((T3+(((TODAY()-E3)^0.5)/(336^0.5))+(LOG(O3)*4/3))*0.305))</f>
        <v>2.821082285604553</v>
      </c>
      <c r="AP3" s="40">
        <f ca="1">IF(TODAY()-E3&gt;335,((U3+1+(LOG(O3)*4/3))*1)+((V3+1+(LOG(O3)*4/3))*0.286),((U3+(((TODAY()-E3)^0.5)/(336^0.5))+(LOG(O3)*4/3))*1)+((V3+(((TODAY()-E3)^0.5)/(336^0.5))+(LOG(O3)*4/3))*0.286))</f>
        <v>15.803347135837091</v>
      </c>
      <c r="AQ3" s="40">
        <f ca="1">IF(TODAY()-E3&gt;335,((T3+1+(LOG(O3)*4/3))*0.406),((T3+(((TODAY()-E3)^0.5)/(336^0.5))+(LOG(O3)*4/3))*0.406))</f>
        <v>3.7552767473949138</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5.4806366630156234</v>
      </c>
      <c r="AS3" s="40">
        <f ca="1">IF(Q3="TEC",IF(TODAY()-E3&gt;335,((V3+1+(LOG(O3)*4/3))*0.543)+((W3+1+(LOG(O3)*4/3))*0.583),((V3+(((TODAY()-E3)^0.5)/(336^0.5))+(LOG(O3)*4/3))*0.543)+((W3+(((TODAY()-E3)^0.5)/(336^0.5))+(LOG(O3)*4/3))*0.583)),IF(TODAY()-E3&gt;335,((V3+1+(LOG(O3)*4/3))*0.543)+((W3+1+(LOG(O3)*4/3))*0.583),((V3+(((TODAY()-E3)^0.5)/(336^0.5))+(LOG(O3)*4/3))*0.543)+((W3+(((TODAY()-E3)^0.5)/(336^0.5))+(LOG(O3)*4/3))*0.583)))</f>
        <v>7.409000831445006</v>
      </c>
    </row>
    <row r="4" spans="1:45" s="98" customFormat="1" x14ac:dyDescent="0.25">
      <c r="A4" s="164" t="str">
        <f>PLANTILLA!D6</f>
        <v>Csaba Mező</v>
      </c>
      <c r="B4" s="73">
        <f t="shared" ca="1" si="0"/>
        <v>150485.66536964985</v>
      </c>
      <c r="C4" s="145">
        <v>29</v>
      </c>
      <c r="D4" s="145">
        <v>41</v>
      </c>
      <c r="E4" s="158">
        <f>PLANTILLA!M6</f>
        <v>42799</v>
      </c>
      <c r="F4" s="146">
        <v>2700000</v>
      </c>
      <c r="G4" s="145">
        <f>PLANTILLA!E6</f>
        <v>31</v>
      </c>
      <c r="H4" s="145">
        <f ca="1">PLANTILLA!F6</f>
        <v>81</v>
      </c>
      <c r="I4" s="49">
        <f ca="1">TODAY()</f>
        <v>43056</v>
      </c>
      <c r="J4" s="165">
        <v>2867000</v>
      </c>
      <c r="K4" s="40">
        <f t="shared" ca="1" si="2"/>
        <v>2.2946428571428572</v>
      </c>
      <c r="L4" s="74">
        <f t="shared" si="3"/>
        <v>167000</v>
      </c>
      <c r="M4" s="76">
        <f>PLANTILLA!V6</f>
        <v>13584</v>
      </c>
      <c r="N4" s="76">
        <f t="shared" ca="1" si="4"/>
        <v>512310.85714285716</v>
      </c>
      <c r="O4" s="148">
        <f>PLANTILLA!I6</f>
        <v>9.1</v>
      </c>
      <c r="P4" s="148">
        <f>PLANTILLA!H6</f>
        <v>3</v>
      </c>
      <c r="Q4" s="148"/>
      <c r="R4" s="150">
        <f>PLANTILLA!X6</f>
        <v>0</v>
      </c>
      <c r="S4" s="150">
        <f>PLANTILLA!Y6</f>
        <v>13.05</v>
      </c>
      <c r="T4" s="150">
        <f>PLANTILLA!Z6</f>
        <v>3.18</v>
      </c>
      <c r="U4" s="150">
        <f>PLANTILLA!AA6</f>
        <v>12.033333333333333</v>
      </c>
      <c r="V4" s="150">
        <f>PLANTILLA!AB6</f>
        <v>9.0399999999999991</v>
      </c>
      <c r="W4" s="150">
        <f>PLANTILLA!AC6</f>
        <v>4.01</v>
      </c>
      <c r="X4" s="150">
        <f>PLANTILLA!AD6</f>
        <v>10</v>
      </c>
      <c r="Y4" s="149">
        <f>PLANTILLA!AE6</f>
        <v>1507</v>
      </c>
      <c r="Z4" s="149">
        <f t="shared" si="5"/>
        <v>81.899999999999991</v>
      </c>
      <c r="AA4" s="9">
        <f t="shared" si="6"/>
        <v>4.2662499999999994</v>
      </c>
      <c r="AB4" s="9">
        <f t="shared" si="7"/>
        <v>8.2029999999999994</v>
      </c>
      <c r="AC4" s="9">
        <f t="shared" si="8"/>
        <v>0.50049999999999994</v>
      </c>
      <c r="AD4" s="9">
        <f t="shared" si="9"/>
        <v>0.82200000000000006</v>
      </c>
      <c r="AE4" s="40">
        <f t="shared" ca="1" si="10"/>
        <v>7.8047940530996636</v>
      </c>
      <c r="AF4" s="40">
        <f t="shared" ca="1" si="11"/>
        <v>15.203296583012968</v>
      </c>
      <c r="AG4" s="40">
        <f ca="1">IF(TODAY()-E4&gt;335,((T4+1+(LOG(O4)*4/3))*0.238),((T4+(((TODAY()-E4)^0.5)/(336^0.238))+(LOG(O4)*4/3))*0.238))</f>
        <v>2.0167727865307676</v>
      </c>
      <c r="AH4" s="40">
        <f ca="1">IF(TODAY()-E4&gt;335,((S4+1+(LOG(O4)*4/3))*0.92),((S4+(((TODAY()-E4)^0.5)/(336^0.5))+(LOG(O4)*4/3))*0.92))</f>
        <v>13.987032856371931</v>
      </c>
      <c r="AI4" s="40">
        <f ca="1">IF(TODAY()-E4&gt;335,((S4+1+(LOG(O4)*4/3))*0.414),((S4+(((TODAY()-E4)^0.5)/(336^0.414))+(LOG(O4)*4/3))*0.414))</f>
        <v>6.529211981794111</v>
      </c>
      <c r="AJ4" s="40">
        <f ca="1">IF(TODAY()-E4&gt;335,((T4+1+(LOG(O4)*4/3))*0.167),((T4+(((TODAY()-E4)^0.5)/(336^0.5))+(LOG(O4)*4/3))*0.167))</f>
        <v>0.89066052936316564</v>
      </c>
      <c r="AK4" s="213">
        <f ca="1">IF(TODAY()-E4&gt;335,((U4+1+(LOG(O4)*4/3))*0.588),((U4+(((TODAY()-E4)^0.5)/(336^0.5))+(LOG(O4)*4/3))*0.588))</f>
        <v>8.3417383908116243</v>
      </c>
      <c r="AL4" s="40">
        <f ca="1">IF(TODAY()-E4&gt;335,((S4+1+(LOG(O4)*4/3))*0.4),((S4+(((TODAY()-E4)^0.5)/(336^0.5))+(LOG(O4)*4/3))*0.4))</f>
        <v>6.0813186332051874</v>
      </c>
      <c r="AM4" s="40">
        <f ca="1">IF(TODAY()-E4&gt;335,((T4+1+(LOG(O4)*4/3))*1),((T4+(((TODAY()-E4)^0.5)/(336^0.5))+(LOG(O4)*4/3))*1))</f>
        <v>5.3332965830129675</v>
      </c>
      <c r="AN4" s="40">
        <f ca="1">IF(TODAY()-E4&gt;335,((W4+1+(LOG(O4)*4/3))*0.21)+((V4+1+(LOG(O4)*4/3))*0.341),((W4+(((TODAY()-E4)^0.5)/(336^0.5))+(LOG(O4)*4/3))*0.21)+((V4+(((TODAY()-E4)^0.5)/(336^0.5))+(LOG(O4)*4/3))*0.341))</f>
        <v>5.1112064172401448</v>
      </c>
      <c r="AO4" s="40">
        <f ca="1">IF(TODAY()-E4&gt;335,((T4+1+(LOG(O4)*4/3))*0.305),((T4+(((TODAY()-E4)^0.5)/(336^0.5))+(LOG(O4)*4/3))*0.305))</f>
        <v>1.6266554578189552</v>
      </c>
      <c r="AP4" s="40">
        <f ca="1">IF(TODAY()-E4&gt;335,((U4+1+(LOG(O4)*4/3))*1)+((V4+1+(LOG(O4)*4/3))*0.286),((U4+(((TODAY()-E4)^0.5)/(336^0.5))+(LOG(O4)*4/3))*1)+((V4+(((TODAY()-E4)^0.5)/(336^0.5))+(LOG(O4)*4/3))*0.286))</f>
        <v>17.387912739088009</v>
      </c>
      <c r="AQ4" s="40">
        <f ca="1">IF(TODAY()-E4&gt;335,((T4+1+(LOG(O4)*4/3))*0.406),((T4+(((TODAY()-E4)^0.5)/(336^0.5))+(LOG(O4)*4/3))*0.406))</f>
        <v>2.165318412703265</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5.6239375197497559</v>
      </c>
      <c r="AS4" s="40">
        <f ca="1">IF(Q4="TEC",IF(TODAY()-E4&gt;335,((V4+1+(LOG(O4)*4/3))*0.543)+((W4+1+(LOG(O4)*4/3))*0.583),((V4+(((TODAY()-E4)^0.5)/(336^0.5))+(LOG(O4)*4/3))*0.543)+((W4+(((TODAY()-E4)^0.5)/(336^0.5))+(LOG(O4)*4/3))*0.583)),IF(TODAY()-E4&gt;335,((V4+1+(LOG(O4)*4/3))*0.543)+((W4+1+(LOG(O4)*4/3))*0.583),((V4+(((TODAY()-E4)^0.5)/(336^0.5))+(LOG(O4)*4/3))*0.543)+((W4+(((TODAY()-E4)^0.5)/(336^0.5))+(LOG(O4)*4/3))*0.583)))</f>
        <v>9.6711619524726</v>
      </c>
    </row>
    <row r="5" spans="1:45" s="98" customFormat="1" x14ac:dyDescent="0.25">
      <c r="A5" s="164" t="str">
        <f>PLANTILLA!D7</f>
        <v>Mateuz Brzostowski</v>
      </c>
      <c r="B5" s="73">
        <f t="shared" ca="1" si="0"/>
        <v>-884521.62962962955</v>
      </c>
      <c r="C5" s="145">
        <v>30</v>
      </c>
      <c r="D5" s="145">
        <v>29</v>
      </c>
      <c r="E5" s="158">
        <v>42948</v>
      </c>
      <c r="F5" s="146">
        <v>2678987</v>
      </c>
      <c r="G5" s="145">
        <f>PLANTILLA!E7</f>
        <v>31</v>
      </c>
      <c r="H5" s="145">
        <f ca="1">PLANTILLA!F7</f>
        <v>25</v>
      </c>
      <c r="I5" s="49">
        <f t="shared" ca="1" si="1"/>
        <v>43056</v>
      </c>
      <c r="J5" s="165">
        <v>3864250</v>
      </c>
      <c r="K5" s="40">
        <f t="shared" ca="1" si="2"/>
        <v>0.9642857142857143</v>
      </c>
      <c r="L5" s="74">
        <f t="shared" si="3"/>
        <v>1185263</v>
      </c>
      <c r="M5" s="76">
        <f>PLANTILLA!V7</f>
        <v>21540</v>
      </c>
      <c r="N5" s="76">
        <f t="shared" ca="1" si="4"/>
        <v>332331.42857142858</v>
      </c>
      <c r="O5" s="148">
        <f>PLANTILLA!I7</f>
        <v>8.9</v>
      </c>
      <c r="P5" s="148">
        <f>PLANTILLA!H7</f>
        <v>2</v>
      </c>
      <c r="Q5" s="148">
        <f>PLANTILLA!G7</f>
        <v>0</v>
      </c>
      <c r="R5" s="150">
        <f>PLANTILLA!X7</f>
        <v>0</v>
      </c>
      <c r="S5" s="150">
        <f>PLANTILLA!Y7</f>
        <v>14</v>
      </c>
      <c r="T5" s="150">
        <f>PLANTILLA!Z7</f>
        <v>5.0199999999999996</v>
      </c>
      <c r="U5" s="150">
        <f>PLANTILLA!AA7</f>
        <v>10.01</v>
      </c>
      <c r="V5" s="150">
        <f>PLANTILLA!AB7</f>
        <v>9.0399999999999991</v>
      </c>
      <c r="W5" s="150">
        <f>PLANTILLA!AC7</f>
        <v>1.01</v>
      </c>
      <c r="X5" s="150">
        <f>PLANTILLA!AD7</f>
        <v>13.2</v>
      </c>
      <c r="Y5" s="149">
        <f>PLANTILLA!AE7</f>
        <v>1551</v>
      </c>
      <c r="Z5" s="149">
        <f t="shared" ref="Z5" si="12">O5*P5*P5</f>
        <v>35.6</v>
      </c>
      <c r="AA5" s="9">
        <f t="shared" ref="AA5" si="13">((S5+1)+(V5+1)*2)/8</f>
        <v>4.3849999999999998</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8.1437253074106124</v>
      </c>
      <c r="AF5" s="40">
        <f t="shared" ref="AF5" ca="1" si="18">IF(TODAY()-E5&gt;335,((S5+1+(LOG(O5)*4/3))*1),((S5+(((TODAY()-E5)^0.5)/(336^0.5))+(LOG(O5)*4/3))*1))</f>
        <v>15.832800051707059</v>
      </c>
      <c r="AG5" s="40">
        <f ca="1">IF(TODAY()-E5&gt;335,((T5+1+(LOG(O5)*4/3))*0.238),((T5+(((TODAY()-E5)^0.5)/(336^0.238))+(LOG(O5)*4/3))*0.238))</f>
        <v>2.1155028212744429</v>
      </c>
      <c r="AH5" s="40">
        <f ca="1">IF(TODAY()-E5&gt;335,((S5+1+(LOG(O5)*4/3))*0.92),((S5+(((TODAY()-E5)^0.5)/(336^0.5))+(LOG(O5)*4/3))*0.92))</f>
        <v>14.566176047570496</v>
      </c>
      <c r="AI5" s="40">
        <f ca="1">IF(TODAY()-E5&gt;335,((S5+1+(LOG(O5)*4/3))*0.414),((S5+(((TODAY()-E5)^0.5)/(336^0.414))+(LOG(O5)*4/3))*0.414))</f>
        <v>6.7071495455698305</v>
      </c>
      <c r="AJ5" s="40">
        <f ca="1">IF(TODAY()-E5&gt;335,((T5+1+(LOG(O5)*4/3))*0.167),((T5+(((TODAY()-E5)^0.5)/(336^0.5))+(LOG(O5)*4/3))*0.167))</f>
        <v>1.1444176086350786</v>
      </c>
      <c r="AK5" s="213">
        <f ca="1">IF(TODAY()-E5&gt;335,((U5+1+(LOG(O5)*4/3))*0.588),((U5+(((TODAY()-E5)^0.5)/(336^0.5))+(LOG(O5)*4/3))*0.588))</f>
        <v>6.9635664304037501</v>
      </c>
      <c r="AL5" s="40">
        <f ca="1">IF(TODAY()-E5&gt;335,((S5+1+(LOG(O5)*4/3))*0.4),((S5+(((TODAY()-E5)^0.5)/(336^0.5))+(LOG(O5)*4/3))*0.4))</f>
        <v>6.3331200206828235</v>
      </c>
      <c r="AM5" s="40">
        <f ca="1">IF(TODAY()-E5&gt;335,((T5+1+(LOG(O5)*4/3))*1),((T5+(((TODAY()-E5)^0.5)/(336^0.5))+(LOG(O5)*4/3))*1))</f>
        <v>6.8528000517070575</v>
      </c>
      <c r="AN5" s="40">
        <f ca="1">IF(TODAY()-E5&gt;335,((W5+1+(LOG(O5)*4/3))*0.21)+((V5+1+(LOG(O5)*4/3))*0.341),((W5+(((TODAY()-E5)^0.5)/(336^0.5))+(LOG(O5)*4/3))*0.21)+((V5+(((TODAY()-E5)^0.5)/(336^0.5))+(LOG(O5)*4/3))*0.341))</f>
        <v>4.3046128284905887</v>
      </c>
      <c r="AO5" s="40">
        <f ca="1">IF(TODAY()-E5&gt;335,((T5+1+(LOG(O5)*4/3))*0.305),((T5+(((TODAY()-E5)^0.5)/(336^0.5))+(LOG(O5)*4/3))*0.305))</f>
        <v>2.0901040157706525</v>
      </c>
      <c r="AP5" s="40">
        <f ca="1">IF(TODAY()-E5&gt;335,((U5+1+(LOG(O5)*4/3))*1)+((V5+1+(LOG(O5)*4/3))*0.286),((U5+(((TODAY()-E5)^0.5)/(336^0.5))+(LOG(O5)*4/3))*1)+((V5+(((TODAY()-E5)^0.5)/(336^0.5))+(LOG(O5)*4/3))*0.286))</f>
        <v>14.952420866495277</v>
      </c>
      <c r="AQ5" s="40">
        <f ca="1">IF(TODAY()-E5&gt;335,((T5+1+(LOG(O5)*4/3))*0.406),((T5+(((TODAY()-E5)^0.5)/(336^0.5))+(LOG(O5)*4/3))*0.406))</f>
        <v>2.7822368209930657</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4.7845988269393764</v>
      </c>
      <c r="AS5" s="40">
        <f ca="1">IF(Q5="TEC",IF(TODAY()-E5&gt;335,((V5+1+(LOG(O5)*4/3))*0.543)+((W5+1+(LOG(O5)*4/3))*0.583),((V5+(((TODAY()-E5)^0.5)/(336^0.5))+(LOG(O5)*4/3))*0.543)+((W5+(((TODAY()-E5)^0.5)/(336^0.5))+(LOG(O5)*4/3))*0.583)),IF(TODAY()-E5&gt;335,((V5+1+(LOG(O5)*4/3))*0.543)+((W5+1+(LOG(O5)*4/3))*0.583),((V5+(((TODAY()-E5)^0.5)/(336^0.5))+(LOG(O5)*4/3))*0.543)+((W5+(((TODAY()-E5)^0.5)/(336^0.5))+(LOG(O5)*4/3))*0.583)))</f>
        <v>7.5612828582221479</v>
      </c>
    </row>
    <row r="6" spans="1:45" s="98" customFormat="1" x14ac:dyDescent="0.25">
      <c r="A6" s="164" t="str">
        <f>PLANTILLA!D8</f>
        <v>Andrea Califano</v>
      </c>
      <c r="B6" s="73">
        <f t="shared" ref="B6" ca="1" si="19">(N6+F6-J6)/K6</f>
        <v>627770.18181818177</v>
      </c>
      <c r="C6" s="145">
        <v>29</v>
      </c>
      <c r="D6" s="145">
        <v>45</v>
      </c>
      <c r="E6" s="158">
        <v>42869</v>
      </c>
      <c r="F6" s="146">
        <v>2346000</v>
      </c>
      <c r="G6" s="145">
        <f>PLANTILLA!E8</f>
        <v>31</v>
      </c>
      <c r="H6" s="145">
        <f ca="1">PLANTILLA!F8</f>
        <v>8</v>
      </c>
      <c r="I6" s="49">
        <f t="shared" ref="I6" ca="1" si="20">E6+(H6-D6+(G6-C6)*112)</f>
        <v>43056</v>
      </c>
      <c r="J6" s="165">
        <v>1854360</v>
      </c>
      <c r="K6" s="40">
        <f t="shared" ref="K6" ca="1" si="21">(I6-E6)/112</f>
        <v>1.6696428571428572</v>
      </c>
      <c r="L6" s="74">
        <f t="shared" ref="L6" si="22">J6-F6</f>
        <v>-491640</v>
      </c>
      <c r="M6" s="76">
        <f>PLANTILLA!V8</f>
        <v>20832</v>
      </c>
      <c r="N6" s="76">
        <f t="shared" ref="N6" ca="1" si="23">((G6-C6)*M6*16)+(H6-D6)/7*M6</f>
        <v>556512</v>
      </c>
      <c r="O6" s="148">
        <f>PLANTILLA!I8</f>
        <v>8.3000000000000007</v>
      </c>
      <c r="P6" s="148">
        <f>PLANTILLA!H8</f>
        <v>3</v>
      </c>
      <c r="Q6" s="148">
        <f>PLANTILLA!G8</f>
        <v>0</v>
      </c>
      <c r="R6" s="150">
        <f>PLANTILLA!X8</f>
        <v>0</v>
      </c>
      <c r="S6" s="150">
        <f>PLANTILLA!Y8</f>
        <v>14</v>
      </c>
      <c r="T6" s="150">
        <f>PLANTILLA!Z8</f>
        <v>3.02</v>
      </c>
      <c r="U6" s="150">
        <f>PLANTILLA!AA8</f>
        <v>3.01</v>
      </c>
      <c r="V6" s="150">
        <f>PLANTILLA!AB8</f>
        <v>10.01</v>
      </c>
      <c r="W6" s="150">
        <f>PLANTILLA!AC8</f>
        <v>3</v>
      </c>
      <c r="X6" s="150">
        <f>PLANTILLA!AD8</f>
        <v>17</v>
      </c>
      <c r="Y6" s="149">
        <f>PLANTILLA!AE8</f>
        <v>1493</v>
      </c>
      <c r="Z6" s="149">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8.207060995096283</v>
      </c>
      <c r="AF6" s="40">
        <f t="shared" ref="AF6" ca="1" si="30">IF(TODAY()-E6&gt;335,((S6+1+(LOG(O6)*4/3))*1),((S6+(((TODAY()-E6)^0.5)/(336^0.5))+(LOG(O6)*4/3))*1))</f>
        <v>15.971458648591589</v>
      </c>
      <c r="AG6" s="40">
        <f ca="1">IF(TODAY()-E6&gt;335,((T6+1+(LOG(O6)*4/3))*0.238),((T6+(((TODAY()-E6)^0.5)/(336^0.238))+(LOG(O6)*4/3))*0.238))</f>
        <v>1.8255481220844372</v>
      </c>
      <c r="AH6" s="40">
        <f ca="1">IF(TODAY()-E6&gt;335,((S6+1+(LOG(O6)*4/3))*0.92),((S6+(((TODAY()-E6)^0.5)/(336^0.5))+(LOG(O6)*4/3))*0.92))</f>
        <v>14.693741956704264</v>
      </c>
      <c r="AI6" s="40">
        <f ca="1">IF(TODAY()-E6&gt;335,((S6+1+(LOG(O6)*4/3))*0.414),((S6+(((TODAY()-E6)^0.5)/(336^0.414))+(LOG(O6)*4/3))*0.414))</f>
        <v>6.8126815445192364</v>
      </c>
      <c r="AJ6" s="40">
        <f ca="1">IF(TODAY()-E6&gt;335,((T6+1+(LOG(O6)*4/3))*0.167),((T6+(((TODAY()-E6)^0.5)/(336^0.5))+(LOG(O6)*4/3))*0.167))</f>
        <v>0.83357359431479539</v>
      </c>
      <c r="AK6" s="213">
        <f ca="1">IF(TODAY()-E6&gt;335,((U6+1+(LOG(O6)*4/3))*0.588),((U6+(((TODAY()-E6)^0.5)/(336^0.5))+(LOG(O6)*4/3))*0.588))</f>
        <v>2.929097685371854</v>
      </c>
      <c r="AL6" s="40">
        <f ca="1">IF(TODAY()-E6&gt;335,((S6+1+(LOG(O6)*4/3))*0.4),((S6+(((TODAY()-E6)^0.5)/(336^0.5))+(LOG(O6)*4/3))*0.4))</f>
        <v>6.388583459436636</v>
      </c>
      <c r="AM6" s="40">
        <f ca="1">IF(TODAY()-E6&gt;335,((T6+1+(LOG(O6)*4/3))*1),((T6+(((TODAY()-E6)^0.5)/(336^0.5))+(LOG(O6)*4/3))*1))</f>
        <v>4.9914586485915891</v>
      </c>
      <c r="AN6" s="40">
        <f ca="1">IF(TODAY()-E6&gt;335,((W6+1+(LOG(O6)*4/3))*0.21)+((V6+1+(LOG(O6)*4/3))*0.341),((W6+(((TODAY()-E6)^0.5)/(336^0.5))+(LOG(O6)*4/3))*0.21)+((V6+(((TODAY()-E6)^0.5)/(336^0.5))+(LOG(O6)*4/3))*0.341))</f>
        <v>5.1296837153739663</v>
      </c>
      <c r="AO6" s="40">
        <f ca="1">IF(TODAY()-E6&gt;335,((T6+1+(LOG(O6)*4/3))*0.305),((T6+(((TODAY()-E6)^0.5)/(336^0.5))+(LOG(O6)*4/3))*0.305))</f>
        <v>1.5223948878204345</v>
      </c>
      <c r="AP6" s="40">
        <f ca="1">IF(TODAY()-E6&gt;335,((U6+1+(LOG(O6)*4/3))*1)+((V6+1+(LOG(O6)*4/3))*0.286),((U6+(((TODAY()-E6)^0.5)/(336^0.5))+(LOG(O6)*4/3))*1)+((V6+(((TODAY()-E6)^0.5)/(336^0.5))+(LOG(O6)*4/3))*0.286))</f>
        <v>8.4081558220887835</v>
      </c>
      <c r="AQ6" s="40">
        <f ca="1">IF(TODAY()-E6&gt;335,((T6+1+(LOG(O6)*4/3))*0.406),((T6+(((TODAY()-E6)^0.5)/(336^0.5))+(LOG(O6)*4/3))*0.406))</f>
        <v>2.0265322113281852</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4.3440699559162175</v>
      </c>
      <c r="AS6" s="40">
        <f ca="1">IF(Q6="TEC",IF(TODAY()-E6&gt;335,((V6+1+(LOG(O6)*4/3))*0.543)+((W6+1+(LOG(O6)*4/3))*0.583),((V6+(((TODAY()-E6)^0.5)/(336^0.5))+(LOG(O6)*4/3))*0.543)+((W6+(((TODAY()-E6)^0.5)/(336^0.5))+(LOG(O6)*4/3))*0.583)),IF(TODAY()-E6&gt;335,((V6+1+(LOG(O6)*4/3))*0.543)+((W6+1+(LOG(O6)*4/3))*0.583),((V6+(((TODAY()-E6)^0.5)/(336^0.5))+(LOG(O6)*4/3))*0.543)+((W6+(((TODAY()-E6)^0.5)/(336^0.5))+(LOG(O6)*4/3))*0.583)))</f>
        <v>9.4042924383141298</v>
      </c>
    </row>
    <row r="7" spans="1:45" s="98" customFormat="1" x14ac:dyDescent="0.25">
      <c r="A7" s="164" t="str">
        <f>PLANTILLA!D9</f>
        <v>Ibiur Altxakoa</v>
      </c>
      <c r="B7" s="73">
        <f t="shared" ca="1" si="0"/>
        <v>509016.05095541407</v>
      </c>
      <c r="C7" s="145">
        <v>29</v>
      </c>
      <c r="D7" s="145">
        <v>82</v>
      </c>
      <c r="E7" s="158">
        <f>PLANTILLA!M9</f>
        <v>42742</v>
      </c>
      <c r="F7" s="146">
        <v>3642000</v>
      </c>
      <c r="G7" s="145">
        <f>PLANTILLA!E9</f>
        <v>32</v>
      </c>
      <c r="H7" s="166">
        <f ca="1">PLANTILLA!F9</f>
        <v>60</v>
      </c>
      <c r="I7" s="49">
        <f t="shared" ca="1" si="1"/>
        <v>43056</v>
      </c>
      <c r="J7" s="165">
        <v>3200000</v>
      </c>
      <c r="K7" s="40">
        <f t="shared" ca="1" si="2"/>
        <v>2.8035714285714284</v>
      </c>
      <c r="L7" s="74">
        <f t="shared" si="3"/>
        <v>-442000</v>
      </c>
      <c r="M7" s="76">
        <f>PLANTILLA!V9</f>
        <v>21960</v>
      </c>
      <c r="N7" s="76">
        <f t="shared" ca="1" si="4"/>
        <v>985062.85714285716</v>
      </c>
      <c r="O7" s="148">
        <f>PLANTILLA!I9</f>
        <v>10.9</v>
      </c>
      <c r="P7" s="148">
        <f>PLANTILLA!H9</f>
        <v>3</v>
      </c>
      <c r="Q7" s="148" t="str">
        <f>PLANTILLA!G9</f>
        <v>CAB</v>
      </c>
      <c r="R7" s="150">
        <f>PLANTILLA!X9</f>
        <v>0</v>
      </c>
      <c r="S7" s="150">
        <f>PLANTILLA!Y9</f>
        <v>15.028571428571428</v>
      </c>
      <c r="T7" s="150">
        <f>PLANTILLA!Z9</f>
        <v>12</v>
      </c>
      <c r="U7" s="150">
        <f>PLANTILLA!AA9</f>
        <v>2.0099999999999998</v>
      </c>
      <c r="V7" s="150">
        <f>PLANTILLA!AB9</f>
        <v>7.1828571428571424</v>
      </c>
      <c r="W7" s="150">
        <f>PLANTILLA!AC9</f>
        <v>3.99</v>
      </c>
      <c r="X7" s="150">
        <f>PLANTILLA!AD9</f>
        <v>14.399999999999999</v>
      </c>
      <c r="Y7" s="149">
        <f>PLANTILLA!AE9</f>
        <v>1825</v>
      </c>
      <c r="Z7" s="149">
        <f t="shared" si="5"/>
        <v>98.100000000000009</v>
      </c>
      <c r="AA7" s="9">
        <f t="shared" si="6"/>
        <v>4.0492857142857144</v>
      </c>
      <c r="AB7" s="9">
        <f t="shared" si="7"/>
        <v>11.276999999999997</v>
      </c>
      <c r="AC7" s="9">
        <f t="shared" si="8"/>
        <v>0.63149999999999995</v>
      </c>
      <c r="AD7" s="9">
        <f t="shared" si="9"/>
        <v>1.0331428571428571</v>
      </c>
      <c r="AE7" s="40">
        <f t="shared" ca="1" si="10"/>
        <v>8.9229813736200132</v>
      </c>
      <c r="AF7" s="40">
        <f t="shared" ca="1" si="11"/>
        <v>17.378514475857109</v>
      </c>
      <c r="AG7" s="40">
        <f t="shared" ref="AG7:AG16" ca="1" si="31">IF(TODAY()-E7&gt;335,((T7+1+(LOG(O7)*4/3))*0.238),((T7+(((TODAY()-E7)^0.5)/(336^0.238))+(LOG(O7)*4/3))*0.238))</f>
        <v>4.2414753580927451</v>
      </c>
      <c r="AH7" s="40">
        <f t="shared" ref="AH7:AH16" ca="1" si="32">IF(TODAY()-E7&gt;335,((S7+1+(LOG(O7)*4/3))*0.92),((S7+(((TODAY()-E7)^0.5)/(336^0.5))+(LOG(O7)*4/3))*0.92))</f>
        <v>15.988233317788541</v>
      </c>
      <c r="AI7" s="40">
        <f t="shared" ref="AI7:AI16" ca="1" si="33">IF(TODAY()-E7&gt;335,((S7+1+(LOG(O7)*4/3))*0.414),((S7+(((TODAY()-E7)^0.5)/(336^0.414))+(LOG(O7)*4/3))*0.414))</f>
        <v>7.454513482396357</v>
      </c>
      <c r="AJ7" s="40">
        <f t="shared" ref="AJ7:AJ16" ca="1" si="34">IF(TODAY()-E7&gt;335,((T7+1+(LOG(O7)*4/3))*0.167),((T7+(((TODAY()-E7)^0.5)/(336^0.5))+(LOG(O7)*4/3))*0.167))</f>
        <v>2.3964404888967086</v>
      </c>
      <c r="AK7" s="213">
        <f t="shared" ref="AK7:AK16" ca="1" si="35">IF(TODAY()-E7&gt;335,((U7+1+(LOG(O7)*4/3))*0.588),((U7+(((TODAY()-E7)^0.5)/(336^0.5))+(LOG(O7)*4/3))*0.588))</f>
        <v>2.5636465118039786</v>
      </c>
      <c r="AL7" s="40">
        <f t="shared" ref="AL7:AL16" ca="1" si="36">IF(TODAY()-E7&gt;335,((S7+1+(LOG(O7)*4/3))*0.4),((S7+(((TODAY()-E7)^0.5)/(336^0.5))+(LOG(O7)*4/3))*0.4))</f>
        <v>6.9514057903428439</v>
      </c>
      <c r="AM7" s="40">
        <f t="shared" ref="AM7:AM16" ca="1" si="37">IF(TODAY()-E7&gt;335,((T7+1+(LOG(O7)*4/3))*1),((T7+(((TODAY()-E7)^0.5)/(336^0.5))+(LOG(O7)*4/3))*1))</f>
        <v>14.349943047285679</v>
      </c>
      <c r="AN7" s="40">
        <f t="shared" ref="AN7:AN16" ca="1" si="38">IF(TODAY()-E7&gt;335,((W7+1+(LOG(O7)*4/3))*0.21)+((V7+1+(LOG(O7)*4/3))*0.341),((W7+(((TODAY()-E7)^0.5)/(336^0.5))+(LOG(O7)*4/3))*0.21)+((V7+(((TODAY()-E7)^0.5)/(336^0.5))+(LOG(O7)*4/3))*0.341))</f>
        <v>4.5820729047686948</v>
      </c>
      <c r="AO7" s="40">
        <f t="shared" ref="AO7:AO16" ca="1" si="39">IF(TODAY()-E7&gt;335,((T7+1+(LOG(O7)*4/3))*0.305),((T7+(((TODAY()-E7)^0.5)/(336^0.5))+(LOG(O7)*4/3))*0.305))</f>
        <v>4.3767326294221318</v>
      </c>
      <c r="AP7" s="40">
        <f t="shared" ref="AP7:AP16" ca="1" si="40">IF(TODAY()-E7&gt;335,((U7+1+(LOG(O7)*4/3))*1)+((V7+1+(LOG(O7)*4/3))*0.286),((U7+(((TODAY()-E7)^0.5)/(336^0.5))+(LOG(O7)*4/3))*1)+((V7+(((TODAY()-E7)^0.5)/(336^0.5))+(LOG(O7)*4/3))*0.286))</f>
        <v>7.0863239016665247</v>
      </c>
      <c r="AQ7" s="40">
        <f t="shared" ref="AQ7:AQ16" ca="1" si="41">IF(TODAY()-E7&gt;335,((T7+1+(LOG(O7)*4/3))*0.406),((T7+(((TODAY()-E7)^0.5)/(336^0.5))+(LOG(O7)*4/3))*0.406))</f>
        <v>5.8260768771979858</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3.816204613350124</v>
      </c>
      <c r="AS7" s="40">
        <f t="shared" ref="AS7:AS16" ca="1" si="43">IF(Q7="TEC",IF(TODAY()-E7&gt;335,((V7+1+(LOG(O7)*4/3))*0.543)+((W7+1+(LOG(O7)*4/3))*0.583),((V7+(((TODAY()-E7)^0.5)/(336^0.5))+(LOG(O7)*4/3))*0.543)+((W7+(((TODAY()-E7)^0.5)/(336^0.5))+(LOG(O7)*4/3))*0.583)),IF(TODAY()-E7&gt;335,((V7+1+(LOG(O7)*4/3))*0.543)+((W7+1+(LOG(O7)*4/3))*0.583),((V7+(((TODAY()-E7)^0.5)/(336^0.5))+(LOG(O7)*4/3))*0.543)+((W7+(((TODAY()-E7)^0.5)/(336^0.5))+(LOG(O7)*4/3))*0.583)))</f>
        <v>8.8724972998151017</v>
      </c>
    </row>
    <row r="8" spans="1:45" s="98" customFormat="1" x14ac:dyDescent="0.25">
      <c r="A8" s="164" t="str">
        <f>PLANTILLA!D10</f>
        <v>Jorge W. Whitaker</v>
      </c>
      <c r="B8" s="73">
        <f ca="1">(N8+F8-J8)/K8</f>
        <v>575945.54973821994</v>
      </c>
      <c r="C8" s="145">
        <v>30</v>
      </c>
      <c r="D8" s="145">
        <v>16</v>
      </c>
      <c r="E8" s="158">
        <f>PLANTILLA!M10</f>
        <v>42865</v>
      </c>
      <c r="F8" s="146">
        <v>3250000</v>
      </c>
      <c r="G8" s="145">
        <f>PLANTILLA!E10</f>
        <v>31</v>
      </c>
      <c r="H8" s="145">
        <f ca="1">PLANTILLA!F10</f>
        <v>95</v>
      </c>
      <c r="I8" s="49">
        <f ca="1">E8+(H8-D8+(G8-C8)*112)</f>
        <v>43056</v>
      </c>
      <c r="J8" s="165">
        <v>3160050</v>
      </c>
      <c r="K8" s="40">
        <f ca="1">(I8-E8)/112</f>
        <v>1.7053571428571428</v>
      </c>
      <c r="L8" s="74">
        <f>J8-F8</f>
        <v>-89950</v>
      </c>
      <c r="M8" s="76">
        <f>PLANTILLA!V10</f>
        <v>32700</v>
      </c>
      <c r="N8" s="76">
        <f ca="1">((G8-C8)*M8*16)+(H8-D8)/7*M8</f>
        <v>892242.85714285716</v>
      </c>
      <c r="O8" s="148">
        <f>PLANTILLA!I10</f>
        <v>9.1999999999999993</v>
      </c>
      <c r="P8" s="148">
        <f>PLANTILLA!H10</f>
        <v>2</v>
      </c>
      <c r="Q8" s="148" t="str">
        <f>PLANTILLA!G10</f>
        <v>POT</v>
      </c>
      <c r="R8" s="150">
        <f>PLANTILLA!X10</f>
        <v>0</v>
      </c>
      <c r="S8" s="150">
        <f>PLANTILLA!Y10</f>
        <v>12</v>
      </c>
      <c r="T8" s="150">
        <f>PLANTILLA!Z10</f>
        <v>15.04</v>
      </c>
      <c r="U8" s="150">
        <f>PLANTILLA!AA10</f>
        <v>2.0099999999999998</v>
      </c>
      <c r="V8" s="150">
        <f>PLANTILLA!AB10</f>
        <v>8.3488888888888884</v>
      </c>
      <c r="W8" s="150">
        <f>PLANTILLA!AC10</f>
        <v>2.1666666666666665</v>
      </c>
      <c r="X8" s="150">
        <f>PLANTILLA!AD10</f>
        <v>8.4</v>
      </c>
      <c r="Y8" s="149">
        <f>PLANTILLA!AE10</f>
        <v>1700</v>
      </c>
      <c r="Z8" s="149">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7.2095526240219314</v>
      </c>
      <c r="AF8" s="40">
        <f ca="1">IF(TODAY()-E8&gt;335,((S8+1+(LOG(O8)*4/3))*1),((S8+(((TODAY()-E8)^0.5)/(336^0.5))+(LOG(O8)*4/3))*1))</f>
        <v>14.039008247583073</v>
      </c>
      <c r="AG8" s="40">
        <f ca="1">IF(TODAY()-E8&gt;335,((T8+1+(LOG(O8)*4/3))*0.238),((T8+(((TODAY()-E8)^0.5)/(336^0.238))+(LOG(O8)*4/3))*0.238))</f>
        <v>4.7091678937569581</v>
      </c>
      <c r="AH8" s="40">
        <f ca="1">IF(TODAY()-E8&gt;335,((S8+1+(LOG(O8)*4/3))*0.92),((S8+(((TODAY()-E8)^0.5)/(336^0.5))+(LOG(O8)*4/3))*0.92))</f>
        <v>12.915887587776428</v>
      </c>
      <c r="AI8" s="40">
        <f ca="1">IF(TODAY()-E8&gt;335,((S8+1+(LOG(O8)*4/3))*0.414),((S8+(((TODAY()-E8)^0.5)/(336^0.414))+(LOG(O8)*4/3))*0.414))</f>
        <v>6.0147800924065429</v>
      </c>
      <c r="AJ8" s="40">
        <f ca="1">IF(TODAY()-E8&gt;335,((T8+1+(LOG(O8)*4/3))*0.167),((T8+(((TODAY()-E8)^0.5)/(336^0.5))+(LOG(O8)*4/3))*0.167))</f>
        <v>2.8521943773463732</v>
      </c>
      <c r="AK8" s="213">
        <f ca="1">IF(TODAY()-E8&gt;335,((U8+1+(LOG(O8)*4/3))*0.588),((U8+(((TODAY()-E8)^0.5)/(336^0.5))+(LOG(O8)*4/3))*0.588))</f>
        <v>2.3808168495788471</v>
      </c>
      <c r="AL8" s="40">
        <f ca="1">IF(TODAY()-E8&gt;335,((S8+1+(LOG(O8)*4/3))*0.4),((S8+(((TODAY()-E8)^0.5)/(336^0.5))+(LOG(O8)*4/3))*0.4))</f>
        <v>5.6156032990332294</v>
      </c>
      <c r="AM8" s="40">
        <f ca="1">IF(TODAY()-E8&gt;335,((T8+1+(LOG(O8)*4/3))*1),((T8+(((TODAY()-E8)^0.5)/(336^0.5))+(LOG(O8)*4/3))*1))</f>
        <v>17.079008247583072</v>
      </c>
      <c r="AN8" s="40">
        <f ca="1">IF(TODAY()-E8&gt;335,((W8+1+(LOG(O8)*4/3))*0.21)+((V8+1+(LOG(O8)*4/3))*0.341),((W8+(((TODAY()-E8)^0.5)/(336^0.5))+(LOG(O8)*4/3))*0.21)+((V8+(((TODAY()-E8)^0.5)/(336^0.5))+(LOG(O8)*4/3))*0.341))</f>
        <v>4.4254646555293844</v>
      </c>
      <c r="AO8" s="40">
        <f ca="1">IF(TODAY()-E8&gt;335,((T8+1+(LOG(O8)*4/3))*0.305),((T8+(((TODAY()-E8)^0.5)/(336^0.5))+(LOG(O8)*4/3))*0.305))</f>
        <v>5.2090975155128367</v>
      </c>
      <c r="AP8" s="40">
        <f ca="1">IF(TODAY()-E8&gt;335,((U8+1+(LOG(O8)*4/3))*1)+((V8+1+(LOG(O8)*4/3))*0.286),((U8+(((TODAY()-E8)^0.5)/(336^0.5))+(LOG(O8)*4/3))*1)+((V8+(((TODAY()-E8)^0.5)/(336^0.5))+(LOG(O8)*4/3))*0.286))</f>
        <v>7.0199468286140547</v>
      </c>
      <c r="AQ8" s="40">
        <f ca="1">IF(TODAY()-E8&gt;335,((T8+1+(LOG(O8)*4/3))*0.406),((T8+(((TODAY()-E8)^0.5)/(336^0.5))+(LOG(O8)*4/3))*0.406))</f>
        <v>6.9340773485187279</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3.7141521858796702</v>
      </c>
      <c r="AS8" s="40">
        <f ca="1">IF(Q8="TEC",IF(TODAY()-E8&gt;335,((V8+1+(LOG(O8)*4/3))*0.543)+((W8+1+(LOG(O8)*4/3))*0.583),((V8+(((TODAY()-E8)^0.5)/(336^0.5))+(LOG(O8)*4/3))*0.543)+((W8+(((TODAY()-E8)^0.5)/(336^0.5))+(LOG(O8)*4/3))*0.583)),IF(TODAY()-E8&gt;335,((V8+1+(LOG(O8)*4/3))*0.543)+((W8+1+(LOG(O8)*4/3))*0.583),((V8+(((TODAY()-E8)^0.5)/(336^0.5))+(LOG(O8)*4/3))*0.543)+((W8+(((TODAY()-E8)^0.5)/(336^0.5))+(LOG(O8)*4/3))*0.583)))</f>
        <v>8.0925366201118756</v>
      </c>
    </row>
    <row r="9" spans="1:45" s="98" customFormat="1" x14ac:dyDescent="0.25">
      <c r="A9" s="164" t="str">
        <f>PLANTILLA!D11</f>
        <v>Emilio Mochelato</v>
      </c>
      <c r="B9" s="73">
        <f t="shared" ca="1" si="0"/>
        <v>534634.26415094337</v>
      </c>
      <c r="C9" s="145">
        <v>29</v>
      </c>
      <c r="D9" s="145">
        <v>30</v>
      </c>
      <c r="E9" s="158">
        <f>PLANTILLA!M11</f>
        <v>42738</v>
      </c>
      <c r="F9" s="146">
        <v>2168000</v>
      </c>
      <c r="G9" s="145">
        <f>PLANTILLA!E11</f>
        <v>32</v>
      </c>
      <c r="H9" s="166">
        <f ca="1">PLANTILLA!F11</f>
        <v>12</v>
      </c>
      <c r="I9" s="49">
        <f t="shared" ca="1" si="1"/>
        <v>43056</v>
      </c>
      <c r="J9" s="165">
        <v>1640000</v>
      </c>
      <c r="K9" s="40">
        <f t="shared" ca="1" si="2"/>
        <v>2.8392857142857144</v>
      </c>
      <c r="L9" s="74">
        <f t="shared" si="3"/>
        <v>-528000</v>
      </c>
      <c r="M9" s="76">
        <f>PLANTILLA!V11</f>
        <v>21792</v>
      </c>
      <c r="N9" s="76">
        <f t="shared" ca="1" si="4"/>
        <v>989979.42857142852</v>
      </c>
      <c r="O9" s="148">
        <f>PLANTILLA!I11</f>
        <v>10.5</v>
      </c>
      <c r="P9" s="148">
        <f>PLANTILLA!H11</f>
        <v>1</v>
      </c>
      <c r="Q9" s="148" t="str">
        <f>PLANTILLA!G11</f>
        <v>RAP</v>
      </c>
      <c r="R9" s="150">
        <f>PLANTILLA!X11</f>
        <v>0</v>
      </c>
      <c r="S9" s="150">
        <f>PLANTILLA!Y11</f>
        <v>5.0196078431372548</v>
      </c>
      <c r="T9" s="150">
        <f>PLANTILLA!Z11</f>
        <v>14.210000000000003</v>
      </c>
      <c r="U9" s="150">
        <f>PLANTILLA!AA11</f>
        <v>5</v>
      </c>
      <c r="V9" s="150">
        <f>PLANTILLA!AB11</f>
        <v>12.487301587301586</v>
      </c>
      <c r="W9" s="150">
        <f>PLANTILLA!AC11</f>
        <v>3.41</v>
      </c>
      <c r="X9" s="150">
        <f>PLANTILLA!AD11</f>
        <v>15.333333333333332</v>
      </c>
      <c r="Y9" s="149">
        <f>PLANTILLA!AE11</f>
        <v>1571</v>
      </c>
      <c r="Z9" s="149">
        <f t="shared" si="5"/>
        <v>10.5</v>
      </c>
      <c r="AA9" s="9">
        <f t="shared" si="6"/>
        <v>4.1242763772175532</v>
      </c>
      <c r="AB9" s="9">
        <f t="shared" si="7"/>
        <v>11.756333333333332</v>
      </c>
      <c r="AC9" s="9">
        <f t="shared" si="8"/>
        <v>0.63049999999999995</v>
      </c>
      <c r="AD9" s="9">
        <f t="shared" si="9"/>
        <v>0.66078431372549018</v>
      </c>
      <c r="AE9" s="40">
        <f t="shared" ca="1" si="10"/>
        <v>3.7500706446931344</v>
      </c>
      <c r="AF9" s="40">
        <f t="shared" ca="1" si="11"/>
        <v>7.3540391803645226</v>
      </c>
      <c r="AG9" s="40">
        <f t="shared" ca="1" si="31"/>
        <v>4.7690092676897935</v>
      </c>
      <c r="AH9" s="40">
        <f t="shared" ca="1" si="32"/>
        <v>6.7657160459353607</v>
      </c>
      <c r="AI9" s="40">
        <f t="shared" ca="1" si="33"/>
        <v>3.3060303043451897</v>
      </c>
      <c r="AJ9" s="40">
        <f t="shared" ca="1" si="34"/>
        <v>2.7629200333169543</v>
      </c>
      <c r="AK9" s="213">
        <f t="shared" ca="1" si="35"/>
        <v>4.3126456262896333</v>
      </c>
      <c r="AL9" s="40">
        <f t="shared" ca="1" si="36"/>
        <v>2.9416156721458093</v>
      </c>
      <c r="AM9" s="40">
        <f t="shared" ca="1" si="37"/>
        <v>16.54443133722727</v>
      </c>
      <c r="AN9" s="40">
        <f t="shared" ca="1" si="38"/>
        <v>6.2605415080820652</v>
      </c>
      <c r="AO9" s="40">
        <f t="shared" ca="1" si="39"/>
        <v>5.0460515578543168</v>
      </c>
      <c r="AP9" s="40">
        <f t="shared" ca="1" si="40"/>
        <v>11.57344695364252</v>
      </c>
      <c r="AQ9" s="40">
        <f t="shared" ca="1" si="41"/>
        <v>6.7170391229142723</v>
      </c>
      <c r="AR9" s="40">
        <f t="shared" ca="1" si="42"/>
        <v>5.4911341235208031</v>
      </c>
      <c r="AS9" s="40">
        <f t="shared" ca="1" si="43"/>
        <v>11.397204447622665</v>
      </c>
    </row>
    <row r="10" spans="1:45" s="98" customFormat="1" x14ac:dyDescent="0.25">
      <c r="A10" s="164" t="str">
        <f>PLANTILLA!D12</f>
        <v>Cezary Pauch</v>
      </c>
      <c r="B10" s="73">
        <f t="shared" ca="1" si="0"/>
        <v>-8342.9135802472811</v>
      </c>
      <c r="C10" s="145">
        <v>29</v>
      </c>
      <c r="D10" s="145">
        <v>24</v>
      </c>
      <c r="E10" s="158">
        <v>42975</v>
      </c>
      <c r="F10" s="146">
        <v>3850000</v>
      </c>
      <c r="G10" s="145">
        <f>PLANTILLA!E12</f>
        <v>29</v>
      </c>
      <c r="H10" s="166">
        <f ca="1">PLANTILLA!F12</f>
        <v>105</v>
      </c>
      <c r="I10" s="49">
        <f t="shared" ca="1" si="1"/>
        <v>43056</v>
      </c>
      <c r="J10" s="165">
        <v>4125000</v>
      </c>
      <c r="K10" s="40">
        <f t="shared" ca="1" si="2"/>
        <v>0.7232142857142857</v>
      </c>
      <c r="L10" s="74">
        <f t="shared" si="3"/>
        <v>275000</v>
      </c>
      <c r="M10" s="76">
        <f>PLANTILLA!V12</f>
        <v>23244</v>
      </c>
      <c r="N10" s="76">
        <f t="shared" ca="1" si="4"/>
        <v>268966.28571428568</v>
      </c>
      <c r="O10" s="148">
        <f>PLANTILLA!I12</f>
        <v>6.1</v>
      </c>
      <c r="P10" s="148">
        <f>PLANTILLA!H12</f>
        <v>2</v>
      </c>
      <c r="Q10" s="148" t="str">
        <f>PLANTILLA!G12</f>
        <v>RAP</v>
      </c>
      <c r="R10" s="150">
        <f>PLANTILLA!X12</f>
        <v>0</v>
      </c>
      <c r="S10" s="150">
        <f>PLANTILLA!Y12</f>
        <v>2</v>
      </c>
      <c r="T10" s="150">
        <f>PLANTILLA!Z12</f>
        <v>13.022727272727273</v>
      </c>
      <c r="U10" s="150">
        <f>PLANTILLA!AA12</f>
        <v>14.00679012345679</v>
      </c>
      <c r="V10" s="150">
        <f>PLANTILLA!AB12</f>
        <v>6.9986111111111118</v>
      </c>
      <c r="W10" s="150">
        <f>PLANTILLA!AC12</f>
        <v>5.01</v>
      </c>
      <c r="X10" s="150">
        <f>PLANTILLA!AD12</f>
        <v>0.14444444444444443</v>
      </c>
      <c r="Y10" s="149">
        <f>PLANTILLA!AE12</f>
        <v>1396</v>
      </c>
      <c r="Z10" s="149">
        <f t="shared" si="5"/>
        <v>24.4</v>
      </c>
      <c r="AA10" s="9">
        <f t="shared" si="6"/>
        <v>2.3746527777777779</v>
      </c>
      <c r="AB10" s="9">
        <f t="shared" si="7"/>
        <v>1.604111111111111</v>
      </c>
      <c r="AC10" s="9">
        <f t="shared" si="8"/>
        <v>0.25483333333333336</v>
      </c>
      <c r="AD10" s="9">
        <f t="shared" si="9"/>
        <v>8.4333333333333343E-2</v>
      </c>
      <c r="AE10" s="40">
        <f t="shared" ca="1" si="10"/>
        <v>1.8031416528771926</v>
      </c>
      <c r="AF10" s="40">
        <f t="shared" ca="1" si="11"/>
        <v>3.5380966997120056</v>
      </c>
      <c r="AG10" s="40">
        <f t="shared" ca="1" si="31"/>
        <v>3.8850969446654635</v>
      </c>
      <c r="AH10" s="40">
        <f t="shared" ca="1" si="32"/>
        <v>3.2550489637350455</v>
      </c>
      <c r="AI10" s="40">
        <f t="shared" ca="1" si="33"/>
        <v>1.5967286051888927</v>
      </c>
      <c r="AJ10" s="40">
        <f t="shared" ca="1" si="34"/>
        <v>2.4316576033973596</v>
      </c>
      <c r="AK10" s="213">
        <f t="shared" ca="1" si="35"/>
        <v>9.1403934520232504</v>
      </c>
      <c r="AL10" s="40">
        <f t="shared" ca="1" si="36"/>
        <v>1.4152386798848022</v>
      </c>
      <c r="AM10" s="40">
        <f t="shared" ca="1" si="37"/>
        <v>14.560823972439279</v>
      </c>
      <c r="AN10" s="40">
        <f t="shared" ca="1" si="38"/>
        <v>4.2861176704302038</v>
      </c>
      <c r="AO10" s="40">
        <f t="shared" ca="1" si="39"/>
        <v>4.4410513115939798</v>
      </c>
      <c r="AP10" s="40">
        <f t="shared" ca="1" si="40"/>
        <v>17.986385257064207</v>
      </c>
      <c r="AQ10" s="40">
        <f t="shared" ca="1" si="41"/>
        <v>5.9116945328103476</v>
      </c>
      <c r="AR10" s="40">
        <f t="shared" ca="1" si="42"/>
        <v>5.2042489361055093</v>
      </c>
      <c r="AS10" s="40">
        <f t="shared" ca="1" si="43"/>
        <v>8.4529727172090521</v>
      </c>
    </row>
    <row r="11" spans="1:45" s="98" customFormat="1" x14ac:dyDescent="0.25">
      <c r="A11" s="164" t="str">
        <f>PLANTILLA!D13</f>
        <v>Iyad Chaabo</v>
      </c>
      <c r="B11" s="73">
        <f t="shared" ca="1" si="0"/>
        <v>-159398.95652173902</v>
      </c>
      <c r="C11" s="145">
        <v>30</v>
      </c>
      <c r="D11" s="145">
        <v>4</v>
      </c>
      <c r="E11" s="158">
        <f>PLANTILLA!M13</f>
        <v>42872</v>
      </c>
      <c r="F11" s="146">
        <v>2410000</v>
      </c>
      <c r="G11" s="145">
        <f>PLANTILLA!E13</f>
        <v>31</v>
      </c>
      <c r="H11" s="166">
        <f ca="1">PLANTILLA!F13</f>
        <v>76</v>
      </c>
      <c r="I11" s="49">
        <f t="shared" ca="1" si="1"/>
        <v>43056</v>
      </c>
      <c r="J11" s="165">
        <v>3110000</v>
      </c>
      <c r="K11" s="40">
        <f t="shared" ca="1" si="2"/>
        <v>1.6428571428571428</v>
      </c>
      <c r="L11" s="74">
        <f t="shared" si="3"/>
        <v>700000</v>
      </c>
      <c r="M11" s="76">
        <f>PLANTILLA!V13</f>
        <v>16668</v>
      </c>
      <c r="N11" s="76">
        <f t="shared" ca="1" si="4"/>
        <v>438130.28571428574</v>
      </c>
      <c r="O11" s="148">
        <f>PLANTILLA!I13</f>
        <v>8.6999999999999993</v>
      </c>
      <c r="P11" s="148">
        <f>PLANTILLA!H13</f>
        <v>2</v>
      </c>
      <c r="Q11" s="148">
        <f>PLANTILLA!G13</f>
        <v>0</v>
      </c>
      <c r="R11" s="150">
        <f>PLANTILLA!X13</f>
        <v>0</v>
      </c>
      <c r="S11" s="150">
        <f>PLANTILLA!Y13</f>
        <v>4</v>
      </c>
      <c r="T11" s="150">
        <f>PLANTILLA!Z13</f>
        <v>12.022727272727273</v>
      </c>
      <c r="U11" s="150">
        <f>PLANTILLA!AA13</f>
        <v>14.066666666666666</v>
      </c>
      <c r="V11" s="150">
        <f>PLANTILLA!AB13</f>
        <v>8.5999999999999979</v>
      </c>
      <c r="W11" s="150">
        <f>PLANTILLA!AC13</f>
        <v>3.01</v>
      </c>
      <c r="X11" s="150">
        <f>PLANTILLA!AD13</f>
        <v>5.5</v>
      </c>
      <c r="Y11" s="149">
        <f>PLANTILLA!AE13</f>
        <v>1364</v>
      </c>
      <c r="Z11" s="149">
        <f t="shared" si="5"/>
        <v>34.799999999999997</v>
      </c>
      <c r="AA11" s="9">
        <f t="shared" si="6"/>
        <v>3.0249999999999995</v>
      </c>
      <c r="AB11" s="9">
        <f t="shared" si="7"/>
        <v>4.7529999999999992</v>
      </c>
      <c r="AC11" s="9">
        <f t="shared" si="8"/>
        <v>0.3155</v>
      </c>
      <c r="AD11" s="9">
        <f t="shared" si="9"/>
        <v>0.32500000000000001</v>
      </c>
      <c r="AE11" s="40">
        <f t="shared" ca="1" si="10"/>
        <v>3.0582997537882664</v>
      </c>
      <c r="AF11" s="40">
        <f t="shared" ca="1" si="11"/>
        <v>5.9927052067257796</v>
      </c>
      <c r="AG11" s="40">
        <f t="shared" ca="1" si="31"/>
        <v>3.9681189299807889</v>
      </c>
      <c r="AH11" s="40">
        <f t="shared" ca="1" si="32"/>
        <v>5.5132887901877172</v>
      </c>
      <c r="AI11" s="40">
        <f t="shared" ca="1" si="33"/>
        <v>2.6798628470089061</v>
      </c>
      <c r="AJ11" s="40">
        <f t="shared" ca="1" si="34"/>
        <v>2.3405772240686602</v>
      </c>
      <c r="AK11" s="213">
        <f t="shared" ca="1" si="35"/>
        <v>9.4429106615547589</v>
      </c>
      <c r="AL11" s="40">
        <f t="shared" ca="1" si="36"/>
        <v>2.3970820826903121</v>
      </c>
      <c r="AM11" s="40">
        <f t="shared" ca="1" si="37"/>
        <v>14.015432479453054</v>
      </c>
      <c r="AN11" s="40">
        <f t="shared" ca="1" si="38"/>
        <v>4.6626805689059037</v>
      </c>
      <c r="AO11" s="40">
        <f t="shared" ca="1" si="39"/>
        <v>4.2747069062331811</v>
      </c>
      <c r="AP11" s="40">
        <f t="shared" ca="1" si="40"/>
        <v>19.088885562516019</v>
      </c>
      <c r="AQ11" s="40">
        <f t="shared" ca="1" si="41"/>
        <v>5.6902655866579401</v>
      </c>
      <c r="AR11" s="40">
        <f t="shared" ca="1" si="42"/>
        <v>5.5960694127041304</v>
      </c>
      <c r="AS11" s="40">
        <f t="shared" ca="1" si="43"/>
        <v>8.6684160627732272</v>
      </c>
    </row>
    <row r="12" spans="1:45" s="98" customFormat="1" x14ac:dyDescent="0.25">
      <c r="A12" s="164" t="str">
        <f>PLANTILLA!D14</f>
        <v>Morgan Thomas</v>
      </c>
      <c r="B12" s="73">
        <f t="shared" ref="B12" ca="1" si="44">(N12+F12-J12)/K12</f>
        <v>299537.48837209301</v>
      </c>
      <c r="C12" s="145">
        <v>29</v>
      </c>
      <c r="D12" s="145">
        <v>93</v>
      </c>
      <c r="E12" s="158">
        <f>PLANTILLA!M14</f>
        <v>42712</v>
      </c>
      <c r="F12" s="146">
        <v>3049000</v>
      </c>
      <c r="G12" s="145">
        <f>PLANTILLA!E14</f>
        <v>32</v>
      </c>
      <c r="H12" s="166">
        <f ca="1">PLANTILLA!F14</f>
        <v>101</v>
      </c>
      <c r="I12" s="49">
        <f t="shared" ref="I12" ca="1" si="45">E12+(H12-D12+(G12-C12)*112)</f>
        <v>43056</v>
      </c>
      <c r="J12" s="165">
        <v>3000000</v>
      </c>
      <c r="K12" s="40">
        <f t="shared" ref="K12" ca="1" si="46">(I12-E12)/112</f>
        <v>3.0714285714285716</v>
      </c>
      <c r="L12" s="74">
        <f t="shared" ref="L12" si="47">J12-F12</f>
        <v>-49000</v>
      </c>
      <c r="M12" s="76">
        <f>PLANTILLA!V14</f>
        <v>17724</v>
      </c>
      <c r="N12" s="76">
        <f t="shared" ref="N12" ca="1" si="48">((G12-C12)*M12*16)+(H12-D12)/7*M12</f>
        <v>871008</v>
      </c>
      <c r="O12" s="148">
        <f>PLANTILLA!I14</f>
        <v>10.199999999999999</v>
      </c>
      <c r="P12" s="148">
        <f>PLANTILLA!H14</f>
        <v>1</v>
      </c>
      <c r="Q12" s="148" t="str">
        <f>PLANTILLA!G14</f>
        <v>CAB</v>
      </c>
      <c r="R12" s="150">
        <f>PLANTILLA!X14</f>
        <v>0</v>
      </c>
      <c r="S12" s="150">
        <f>PLANTILLA!Y14</f>
        <v>1.037037037037037</v>
      </c>
      <c r="T12" s="150">
        <f>PLANTILLA!Z14</f>
        <v>13.230909090909091</v>
      </c>
      <c r="U12" s="150">
        <f>PLANTILLA!AA14</f>
        <v>14.058518518518518</v>
      </c>
      <c r="V12" s="150">
        <f>PLANTILLA!AB14</f>
        <v>10.936666666666666</v>
      </c>
      <c r="W12" s="150">
        <f>PLANTILLA!AC14</f>
        <v>3.0399999999999996</v>
      </c>
      <c r="X12" s="150">
        <f>PLANTILLA!AD14</f>
        <v>10</v>
      </c>
      <c r="Y12" s="149">
        <f>PLANTILLA!AE14</f>
        <v>1524</v>
      </c>
      <c r="Z12" s="149">
        <f t="shared" ref="Z12" si="49">O12*P12*P12</f>
        <v>10.199999999999999</v>
      </c>
      <c r="AA12" s="9">
        <f t="shared" ref="AA12" si="50">((S12+1)+(V12+1)*2)/8</f>
        <v>3.2387962962962962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1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5.659788259521088</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3.9426009193172784</v>
      </c>
      <c r="AS12" s="40">
        <f t="shared" ref="AS12" ca="1" si="68">IF(Q12="TEC",IF(TODAY()-E12&gt;335,((V12+1+(LOG(O12)*4/3))*0.543)+((W12+1+(LOG(O12)*4/3))*0.583),((V12+(((TODAY()-E12)^0.5)/(336^0.5))+(LOG(O12)*4/3))*0.543)+((W12+(((TODAY()-E12)^0.5)/(336^0.5))+(LOG(O12)*4/3))*0.583)),IF(TODAY()-E12&gt;335,((V12+1+(LOG(O12)*4/3))*0.543)+((W12+1+(LOG(O12)*4/3))*0.583),((V12+(((TODAY()-E12)^0.5)/(336^0.5))+(LOG(O12)*4/3))*0.543)+((W12+(((TODAY()-E12)^0.5)/(336^0.5))+(LOG(O12)*4/3))*0.583)))</f>
        <v>10.351175057871892</v>
      </c>
    </row>
    <row r="13" spans="1:45" s="98" customFormat="1" x14ac:dyDescent="0.25">
      <c r="A13" s="164" t="str">
        <f>PLANTILLA!D15</f>
        <v>Gianfranco Rezza</v>
      </c>
      <c r="B13" s="73">
        <f t="shared" ca="1" si="0"/>
        <v>-3111.1937984495894</v>
      </c>
      <c r="C13" s="145">
        <v>24</v>
      </c>
      <c r="D13" s="145">
        <v>30</v>
      </c>
      <c r="E13" s="158">
        <f>PLANTILLA!M15</f>
        <v>42411</v>
      </c>
      <c r="F13" s="146">
        <v>2399000</v>
      </c>
      <c r="G13" s="145">
        <f>PLANTILLA!E15</f>
        <v>30</v>
      </c>
      <c r="H13" s="166">
        <f ca="1">PLANTILLA!F15</f>
        <v>3</v>
      </c>
      <c r="I13" s="49">
        <f t="shared" ca="1" si="1"/>
        <v>43056</v>
      </c>
      <c r="J13" s="165">
        <v>5200000</v>
      </c>
      <c r="K13" s="40">
        <f t="shared" ca="1" si="2"/>
        <v>5.7589285714285712</v>
      </c>
      <c r="L13" s="74">
        <f t="shared" si="3"/>
        <v>2801000</v>
      </c>
      <c r="M13" s="76">
        <f>PLANTILLA!V15</f>
        <v>30204</v>
      </c>
      <c r="N13" s="76">
        <f t="shared" ca="1" si="4"/>
        <v>2783082.8571428573</v>
      </c>
      <c r="O13" s="148">
        <f>PLANTILLA!I15</f>
        <v>9.3000000000000007</v>
      </c>
      <c r="P13" s="148">
        <f>PLANTILLA!H15</f>
        <v>4</v>
      </c>
      <c r="Q13" s="148" t="str">
        <f>PLANTILLA!G15</f>
        <v>CAB</v>
      </c>
      <c r="R13" s="150">
        <f>PLANTILLA!X15</f>
        <v>0</v>
      </c>
      <c r="S13" s="150">
        <f>PLANTILLA!Y15</f>
        <v>2</v>
      </c>
      <c r="T13" s="150">
        <f>PLANTILLA!Z15</f>
        <v>14.066666666666666</v>
      </c>
      <c r="U13" s="150">
        <f>PLANTILLA!AA15</f>
        <v>2.125</v>
      </c>
      <c r="V13" s="150">
        <f>PLANTILLA!AB15</f>
        <v>14.460000000000004</v>
      </c>
      <c r="W13" s="150">
        <f>PLANTILLA!AC15</f>
        <v>8.1057777777777762</v>
      </c>
      <c r="X13" s="150">
        <f>PLANTILLA!AD15</f>
        <v>14</v>
      </c>
      <c r="Y13" s="149">
        <f>PLANTILLA!AE15</f>
        <v>1756</v>
      </c>
      <c r="Z13" s="149">
        <f t="shared" si="5"/>
        <v>148.80000000000001</v>
      </c>
      <c r="AA13" s="9">
        <f t="shared" si="6"/>
        <v>4.2400000000000011</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1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64" t="str">
        <f>PLANTILLA!D16</f>
        <v>Saul Piña</v>
      </c>
      <c r="B14" s="73">
        <f t="shared" ca="1" si="0"/>
        <v>147231.83135704868</v>
      </c>
      <c r="C14" s="145">
        <v>22</v>
      </c>
      <c r="D14" s="145">
        <v>91</v>
      </c>
      <c r="E14" s="158">
        <f>PLANTILLA!M16</f>
        <v>42297</v>
      </c>
      <c r="F14" s="146">
        <v>2862000</v>
      </c>
      <c r="G14" s="145">
        <f>PLANTILLA!E16</f>
        <v>29</v>
      </c>
      <c r="H14" s="166">
        <f ca="1">PLANTILLA!F16</f>
        <v>66</v>
      </c>
      <c r="I14" s="49">
        <f t="shared" ca="1" si="1"/>
        <v>43056</v>
      </c>
      <c r="J14" s="165">
        <v>4910000</v>
      </c>
      <c r="K14" s="40">
        <f t="shared" ca="1" si="2"/>
        <v>6.7767857142857144</v>
      </c>
      <c r="L14" s="74">
        <f t="shared" si="3"/>
        <v>2048000</v>
      </c>
      <c r="M14" s="76">
        <f>PLANTILLA!V16</f>
        <v>28090</v>
      </c>
      <c r="N14" s="76">
        <f t="shared" ca="1" si="4"/>
        <v>3045758.5714285714</v>
      </c>
      <c r="O14" s="148">
        <f>PLANTILLA!I16</f>
        <v>8.4</v>
      </c>
      <c r="P14" s="148">
        <f>PLANTILLA!H16</f>
        <v>6</v>
      </c>
      <c r="Q14" s="148" t="str">
        <f>PLANTILLA!G16</f>
        <v>TEC</v>
      </c>
      <c r="R14" s="150">
        <f>PLANTILLA!X16</f>
        <v>0</v>
      </c>
      <c r="S14" s="150">
        <f>PLANTILLA!Y16</f>
        <v>2.2000000000000002</v>
      </c>
      <c r="T14" s="150">
        <f>PLANTILLA!Z16</f>
        <v>14.399999999999999</v>
      </c>
      <c r="U14" s="150">
        <f>PLANTILLA!AA16</f>
        <v>1.33</v>
      </c>
      <c r="V14" s="150">
        <f>PLANTILLA!AB16</f>
        <v>14.142888888888882</v>
      </c>
      <c r="W14" s="150">
        <f>PLANTILLA!AC16</f>
        <v>9.3399999999999981</v>
      </c>
      <c r="X14" s="150">
        <f>PLANTILLA!AD16</f>
        <v>15.2</v>
      </c>
      <c r="Y14" s="149">
        <f>PLANTILLA!AE16</f>
        <v>1829</v>
      </c>
      <c r="Z14" s="149">
        <f t="shared" si="5"/>
        <v>302.40000000000003</v>
      </c>
      <c r="AA14" s="9">
        <f t="shared" si="6"/>
        <v>4.1857222222222203</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1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64" t="str">
        <f>PLANTILLA!D17</f>
        <v>Adam Moss</v>
      </c>
      <c r="B15" s="73">
        <f t="shared" ca="1" si="0"/>
        <v>154644.07197943446</v>
      </c>
      <c r="C15" s="145">
        <v>23</v>
      </c>
      <c r="D15" s="145">
        <v>11</v>
      </c>
      <c r="E15" s="158">
        <f>PLANTILLA!M17</f>
        <v>42278</v>
      </c>
      <c r="F15" s="146">
        <v>2540000</v>
      </c>
      <c r="G15" s="145">
        <f>PLANTILLA!E17</f>
        <v>30</v>
      </c>
      <c r="H15" s="166">
        <f ca="1">PLANTILLA!F17</f>
        <v>5</v>
      </c>
      <c r="I15" s="49">
        <f t="shared" ca="1" si="1"/>
        <v>43056</v>
      </c>
      <c r="J15" s="165">
        <v>4910760</v>
      </c>
      <c r="K15" s="40">
        <f t="shared" ca="1" si="2"/>
        <v>6.9464285714285712</v>
      </c>
      <c r="L15" s="74">
        <f t="shared" si="3"/>
        <v>2370760</v>
      </c>
      <c r="M15" s="76">
        <f>PLANTILLA!V17</f>
        <v>30996</v>
      </c>
      <c r="N15" s="76">
        <f t="shared" ca="1" si="4"/>
        <v>3444984</v>
      </c>
      <c r="O15" s="148">
        <f>PLANTILLA!I17</f>
        <v>9.8000000000000007</v>
      </c>
      <c r="P15" s="148">
        <f>PLANTILLA!H17</f>
        <v>1</v>
      </c>
      <c r="Q15" s="148" t="str">
        <f>PLANTILLA!G17</f>
        <v>RAP</v>
      </c>
      <c r="R15" s="150">
        <f>PLANTILLA!X17</f>
        <v>0</v>
      </c>
      <c r="S15" s="150">
        <f>PLANTILLA!Y17</f>
        <v>3.2</v>
      </c>
      <c r="T15" s="150">
        <f>PLANTILLA!Z17</f>
        <v>14.399999999999999</v>
      </c>
      <c r="U15" s="150">
        <f>PLANTILLA!AA17</f>
        <v>2.2999999999999998</v>
      </c>
      <c r="V15" s="150">
        <f>PLANTILLA!AB17</f>
        <v>14.266</v>
      </c>
      <c r="W15" s="150">
        <f>PLANTILLA!AC17</f>
        <v>9.0999999999999961</v>
      </c>
      <c r="X15" s="150">
        <f>PLANTILLA!AD17</f>
        <v>15.7</v>
      </c>
      <c r="Y15" s="149">
        <f>PLANTILLA!AE17</f>
        <v>1855</v>
      </c>
      <c r="Z15" s="149">
        <f t="shared" si="5"/>
        <v>9.8000000000000007</v>
      </c>
      <c r="AA15" s="9">
        <f t="shared" si="6"/>
        <v>4.3414999999999999</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1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64" t="str">
        <f>PLANTILLA!D18</f>
        <v>Rasheed Da'na</v>
      </c>
      <c r="B16" s="73">
        <f t="shared" ca="1" si="0"/>
        <v>-124887.60456273757</v>
      </c>
      <c r="C16" s="145">
        <v>22</v>
      </c>
      <c r="D16" s="145">
        <v>57</v>
      </c>
      <c r="E16" s="158">
        <f>PLANTILLA!M18</f>
        <v>42267</v>
      </c>
      <c r="F16" s="146">
        <v>2652000</v>
      </c>
      <c r="G16" s="145">
        <f>PLANTILLA!E18</f>
        <v>29</v>
      </c>
      <c r="H16" s="166">
        <f ca="1">PLANTILLA!F18</f>
        <v>62</v>
      </c>
      <c r="I16" s="49">
        <f t="shared" ca="1" si="1"/>
        <v>43056</v>
      </c>
      <c r="J16" s="165">
        <v>7062000</v>
      </c>
      <c r="K16" s="40">
        <f t="shared" ca="1" si="2"/>
        <v>7.0446428571428568</v>
      </c>
      <c r="L16" s="74">
        <f t="shared" si="3"/>
        <v>4410000</v>
      </c>
      <c r="M16" s="76">
        <f>PLANTILLA!V18</f>
        <v>31320</v>
      </c>
      <c r="N16" s="76">
        <f t="shared" ca="1" si="4"/>
        <v>3530211.4285714286</v>
      </c>
      <c r="O16" s="148">
        <f>PLANTILLA!I18</f>
        <v>9.5</v>
      </c>
      <c r="P16" s="148">
        <f>PLANTILLA!H18</f>
        <v>1</v>
      </c>
      <c r="Q16" s="148" t="str">
        <f>PLANTILLA!G18</f>
        <v>RAP</v>
      </c>
      <c r="R16" s="150">
        <f>PLANTILLA!X18</f>
        <v>0</v>
      </c>
      <c r="S16" s="150">
        <f>PLANTILLA!Y18</f>
        <v>2.0384615384615383</v>
      </c>
      <c r="T16" s="150">
        <f>PLANTILLA!Z18</f>
        <v>13.499999999999998</v>
      </c>
      <c r="U16" s="150">
        <f>PLANTILLA!AA18</f>
        <v>4.0999999999999996</v>
      </c>
      <c r="V16" s="150">
        <f>PLANTILLA!AB18</f>
        <v>14.352222222222222</v>
      </c>
      <c r="W16" s="150">
        <f>PLANTILLA!AC18</f>
        <v>10.095333333333334</v>
      </c>
      <c r="X16" s="150">
        <f>PLANTILLA!AD18</f>
        <v>14.599999999999998</v>
      </c>
      <c r="Y16" s="149">
        <f>PLANTILLA!AE18</f>
        <v>1804</v>
      </c>
      <c r="Z16" s="149">
        <f t="shared" si="5"/>
        <v>9.5</v>
      </c>
      <c r="AA16" s="9">
        <f t="shared" si="6"/>
        <v>4.2178632478632476</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1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214</v>
      </c>
      <c r="AH17" t="s">
        <v>215</v>
      </c>
      <c r="AL17" t="s">
        <v>82</v>
      </c>
      <c r="AM17" s="40"/>
      <c r="AN17" s="40"/>
      <c r="AO17" t="s">
        <v>84</v>
      </c>
      <c r="AP17" s="40"/>
      <c r="AQ17" t="s">
        <v>86</v>
      </c>
      <c r="AR17" s="40"/>
      <c r="AS17" s="40"/>
    </row>
    <row r="18" spans="1:45" x14ac:dyDescent="0.25">
      <c r="O18"/>
      <c r="P18"/>
      <c r="Q18"/>
      <c r="AE18" s="48" t="s">
        <v>97</v>
      </c>
      <c r="AF18" s="48" t="s">
        <v>98</v>
      </c>
      <c r="AG18" s="48" t="s">
        <v>99</v>
      </c>
      <c r="AH18" s="212" t="s">
        <v>97</v>
      </c>
      <c r="AI18" s="212" t="s">
        <v>98</v>
      </c>
      <c r="AJ18" s="212" t="s">
        <v>99</v>
      </c>
      <c r="AK18" s="212" t="s">
        <v>100</v>
      </c>
      <c r="AL18" s="47" t="s">
        <v>98</v>
      </c>
      <c r="AM18" s="47" t="s">
        <v>99</v>
      </c>
      <c r="AN18" s="47" t="s">
        <v>101</v>
      </c>
      <c r="AO18" s="47" t="s">
        <v>99</v>
      </c>
      <c r="AP18" s="47" t="s">
        <v>100</v>
      </c>
      <c r="AQ18" s="48" t="s">
        <v>99</v>
      </c>
      <c r="AR18" s="48" t="s">
        <v>100</v>
      </c>
      <c r="AS18" s="48" t="s">
        <v>101</v>
      </c>
    </row>
    <row r="19" spans="1:45" x14ac:dyDescent="0.25">
      <c r="A19" s="164"/>
      <c r="B19" s="73">
        <f t="shared" ref="B19:B28" si="69">(N19+F19-J19)/K19</f>
        <v>-59090.909090909088</v>
      </c>
      <c r="E19" s="158">
        <v>42826</v>
      </c>
      <c r="G19" s="145">
        <v>33</v>
      </c>
      <c r="H19" s="145">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8"/>
      <c r="P19" s="148"/>
      <c r="Q19" s="148"/>
      <c r="R19" s="150"/>
      <c r="S19" s="150"/>
      <c r="T19" s="150"/>
      <c r="U19" s="150"/>
      <c r="V19" s="150"/>
      <c r="W19" s="150"/>
      <c r="X19" s="150"/>
      <c r="Y19" s="149"/>
      <c r="Z19" s="149">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1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64"/>
      <c r="B20" s="73">
        <f t="shared" si="69"/>
        <v>-59090.909090909088</v>
      </c>
      <c r="E20" s="158">
        <v>42826</v>
      </c>
      <c r="G20" s="145">
        <v>33</v>
      </c>
      <c r="H20" s="145">
        <v>0</v>
      </c>
      <c r="I20" s="49">
        <f t="shared" si="70"/>
        <v>46522</v>
      </c>
      <c r="J20" s="76">
        <v>1950000</v>
      </c>
      <c r="K20" s="40">
        <f t="shared" si="71"/>
        <v>33</v>
      </c>
      <c r="L20" s="74">
        <f t="shared" si="72"/>
        <v>1950000</v>
      </c>
      <c r="M20" s="76"/>
      <c r="N20" s="76">
        <f t="shared" si="73"/>
        <v>0</v>
      </c>
      <c r="O20" s="148"/>
      <c r="P20" s="148"/>
      <c r="Q20" s="148"/>
      <c r="R20" s="150"/>
      <c r="S20" s="150"/>
      <c r="T20" s="150"/>
      <c r="U20" s="150"/>
      <c r="V20" s="150"/>
      <c r="W20" s="150"/>
      <c r="X20" s="150"/>
      <c r="Y20" s="149"/>
      <c r="Z20" s="149">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1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64"/>
      <c r="B21" s="73">
        <f t="shared" si="69"/>
        <v>-59090.909090909088</v>
      </c>
      <c r="E21" s="158">
        <v>42826</v>
      </c>
      <c r="G21" s="145">
        <v>33</v>
      </c>
      <c r="H21" s="145">
        <v>0</v>
      </c>
      <c r="I21" s="49">
        <f t="shared" si="70"/>
        <v>46522</v>
      </c>
      <c r="J21" s="76">
        <v>1950000</v>
      </c>
      <c r="K21" s="40">
        <f t="shared" si="71"/>
        <v>33</v>
      </c>
      <c r="L21" s="74">
        <f t="shared" si="72"/>
        <v>1950000</v>
      </c>
      <c r="M21" s="76"/>
      <c r="N21" s="76">
        <f t="shared" si="73"/>
        <v>0</v>
      </c>
      <c r="O21" s="148"/>
      <c r="P21" s="148"/>
      <c r="Q21" s="148"/>
      <c r="R21" s="150"/>
      <c r="S21" s="150"/>
      <c r="T21" s="150"/>
      <c r="U21" s="150"/>
      <c r="V21" s="150"/>
      <c r="W21" s="150"/>
      <c r="X21" s="150"/>
      <c r="Y21" s="149"/>
      <c r="Z21" s="149">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1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64"/>
      <c r="B22" s="73">
        <f t="shared" si="69"/>
        <v>-59090.909090909088</v>
      </c>
      <c r="E22" s="158">
        <v>42826</v>
      </c>
      <c r="G22" s="145">
        <v>33</v>
      </c>
      <c r="H22" s="145">
        <v>0</v>
      </c>
      <c r="I22" s="49">
        <f t="shared" si="70"/>
        <v>46522</v>
      </c>
      <c r="J22" s="76">
        <v>1950000</v>
      </c>
      <c r="K22" s="40">
        <f t="shared" si="71"/>
        <v>33</v>
      </c>
      <c r="L22" s="74">
        <f t="shared" si="72"/>
        <v>1950000</v>
      </c>
      <c r="M22" s="76"/>
      <c r="N22" s="76">
        <f t="shared" si="73"/>
        <v>0</v>
      </c>
      <c r="O22" s="148"/>
      <c r="P22" s="148"/>
      <c r="Q22" s="148"/>
      <c r="R22" s="150"/>
      <c r="S22" s="150"/>
      <c r="T22" s="150"/>
      <c r="U22" s="150"/>
      <c r="V22" s="150"/>
      <c r="W22" s="150"/>
      <c r="X22" s="150"/>
      <c r="Y22" s="149"/>
      <c r="Z22" s="149">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1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64"/>
      <c r="B23" s="73">
        <f t="shared" si="69"/>
        <v>-59090.909090909088</v>
      </c>
      <c r="E23" s="158">
        <v>42826</v>
      </c>
      <c r="G23" s="145">
        <v>33</v>
      </c>
      <c r="H23" s="145">
        <v>0</v>
      </c>
      <c r="I23" s="49">
        <f t="shared" si="70"/>
        <v>46522</v>
      </c>
      <c r="J23" s="76">
        <v>1950000</v>
      </c>
      <c r="K23" s="40">
        <f t="shared" si="71"/>
        <v>33</v>
      </c>
      <c r="L23" s="74">
        <f t="shared" si="72"/>
        <v>1950000</v>
      </c>
      <c r="M23" s="76"/>
      <c r="N23" s="76">
        <f t="shared" si="73"/>
        <v>0</v>
      </c>
      <c r="O23" s="148"/>
      <c r="P23" s="148"/>
      <c r="Q23" s="148"/>
      <c r="R23" s="150"/>
      <c r="S23" s="150"/>
      <c r="T23" s="150"/>
      <c r="U23" s="150"/>
      <c r="V23" s="150"/>
      <c r="W23" s="150"/>
      <c r="X23" s="150"/>
      <c r="Y23" s="149"/>
      <c r="Z23" s="149">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1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64"/>
      <c r="B24" s="73">
        <f t="shared" si="69"/>
        <v>-59090.909090909088</v>
      </c>
      <c r="E24" s="158">
        <v>42826</v>
      </c>
      <c r="G24" s="145">
        <v>33</v>
      </c>
      <c r="H24" s="145">
        <v>0</v>
      </c>
      <c r="I24" s="49">
        <f t="shared" si="70"/>
        <v>46522</v>
      </c>
      <c r="J24" s="76">
        <v>1950000</v>
      </c>
      <c r="K24" s="40">
        <f t="shared" si="71"/>
        <v>33</v>
      </c>
      <c r="L24" s="74">
        <f t="shared" si="72"/>
        <v>1950000</v>
      </c>
      <c r="M24" s="76"/>
      <c r="N24" s="76">
        <f t="shared" si="73"/>
        <v>0</v>
      </c>
      <c r="O24" s="148"/>
      <c r="P24" s="148"/>
      <c r="Q24" s="148"/>
      <c r="R24" s="150"/>
      <c r="S24" s="150"/>
      <c r="T24" s="150"/>
      <c r="U24" s="150"/>
      <c r="V24" s="150"/>
      <c r="W24" s="150"/>
      <c r="X24" s="150"/>
      <c r="Y24" s="149"/>
      <c r="Z24" s="149">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1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64"/>
      <c r="B25" s="73">
        <f t="shared" si="69"/>
        <v>-59090.909090909088</v>
      </c>
      <c r="E25" s="158">
        <v>42826</v>
      </c>
      <c r="G25" s="145">
        <v>33</v>
      </c>
      <c r="H25" s="145">
        <v>0</v>
      </c>
      <c r="I25" s="49">
        <f t="shared" si="70"/>
        <v>46522</v>
      </c>
      <c r="J25" s="76">
        <v>1950000</v>
      </c>
      <c r="K25" s="40">
        <f t="shared" si="71"/>
        <v>33</v>
      </c>
      <c r="L25" s="74">
        <f t="shared" si="72"/>
        <v>1950000</v>
      </c>
      <c r="M25" s="76"/>
      <c r="N25" s="76">
        <f t="shared" si="73"/>
        <v>0</v>
      </c>
      <c r="O25" s="148"/>
      <c r="P25" s="148"/>
      <c r="Q25" s="148"/>
      <c r="R25" s="150"/>
      <c r="S25" s="150"/>
      <c r="T25" s="150"/>
      <c r="U25" s="150"/>
      <c r="V25" s="150"/>
      <c r="W25" s="150"/>
      <c r="X25" s="150"/>
      <c r="Y25" s="149"/>
      <c r="Z25" s="149">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1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64"/>
      <c r="B26" s="73">
        <f t="shared" si="69"/>
        <v>-59090.909090909088</v>
      </c>
      <c r="E26" s="158">
        <v>42826</v>
      </c>
      <c r="G26" s="145">
        <v>33</v>
      </c>
      <c r="H26" s="145">
        <v>0</v>
      </c>
      <c r="I26" s="49">
        <f t="shared" si="70"/>
        <v>46522</v>
      </c>
      <c r="J26" s="76">
        <v>1950000</v>
      </c>
      <c r="K26" s="40">
        <f t="shared" si="71"/>
        <v>33</v>
      </c>
      <c r="L26" s="74">
        <f t="shared" si="72"/>
        <v>1950000</v>
      </c>
      <c r="M26" s="76"/>
      <c r="N26" s="76">
        <f t="shared" si="73"/>
        <v>0</v>
      </c>
      <c r="O26" s="148"/>
      <c r="P26" s="148"/>
      <c r="Q26" s="148"/>
      <c r="R26" s="150"/>
      <c r="S26" s="150"/>
      <c r="T26" s="150"/>
      <c r="U26" s="150"/>
      <c r="V26" s="150"/>
      <c r="W26" s="150"/>
      <c r="X26" s="150"/>
      <c r="Y26" s="149"/>
      <c r="Z26" s="149">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1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64"/>
      <c r="B27" s="73">
        <f t="shared" si="69"/>
        <v>-59090.909090909088</v>
      </c>
      <c r="E27" s="158">
        <v>42826</v>
      </c>
      <c r="G27" s="145">
        <v>33</v>
      </c>
      <c r="H27" s="145">
        <v>0</v>
      </c>
      <c r="I27" s="49">
        <f t="shared" si="70"/>
        <v>46522</v>
      </c>
      <c r="J27" s="76">
        <v>1950000</v>
      </c>
      <c r="K27" s="40">
        <f t="shared" si="71"/>
        <v>33</v>
      </c>
      <c r="L27" s="74">
        <f t="shared" si="72"/>
        <v>1950000</v>
      </c>
      <c r="M27" s="76"/>
      <c r="N27" s="76">
        <f t="shared" si="73"/>
        <v>0</v>
      </c>
      <c r="O27" s="148"/>
      <c r="P27" s="148"/>
      <c r="Q27" s="148"/>
      <c r="R27" s="150"/>
      <c r="S27" s="150"/>
      <c r="T27" s="150"/>
      <c r="U27" s="150"/>
      <c r="V27" s="150"/>
      <c r="W27" s="150"/>
      <c r="X27" s="150"/>
      <c r="Y27" s="149"/>
      <c r="Z27" s="149">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1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64"/>
      <c r="B28" s="73">
        <f t="shared" si="69"/>
        <v>-59090.909090909088</v>
      </c>
      <c r="E28" s="158">
        <v>42826</v>
      </c>
      <c r="G28" s="145">
        <v>33</v>
      </c>
      <c r="H28" s="145">
        <v>0</v>
      </c>
      <c r="I28" s="49">
        <f t="shared" si="70"/>
        <v>46522</v>
      </c>
      <c r="J28" s="76">
        <v>1950000</v>
      </c>
      <c r="K28" s="40">
        <f t="shared" si="71"/>
        <v>33</v>
      </c>
      <c r="L28" s="74">
        <f t="shared" si="72"/>
        <v>1950000</v>
      </c>
      <c r="M28" s="76"/>
      <c r="N28" s="76">
        <f t="shared" si="73"/>
        <v>0</v>
      </c>
      <c r="O28" s="148"/>
      <c r="P28" s="148"/>
      <c r="Q28" s="148"/>
      <c r="R28" s="150"/>
      <c r="S28" s="150"/>
      <c r="T28" s="150"/>
      <c r="U28" s="150"/>
      <c r="V28" s="150"/>
      <c r="W28" s="150"/>
      <c r="X28" s="150"/>
      <c r="Y28" s="149"/>
      <c r="Z28" s="149">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1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64"/>
      <c r="B29" s="73">
        <f t="shared" ref="B29:B92" si="94">(N29+F29-J29)/K29</f>
        <v>-59090.909090909088</v>
      </c>
      <c r="E29" s="158">
        <v>42826</v>
      </c>
      <c r="G29" s="145">
        <v>33</v>
      </c>
      <c r="H29" s="145">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8"/>
      <c r="P29" s="148"/>
      <c r="Q29" s="148"/>
      <c r="R29" s="150"/>
      <c r="S29" s="150"/>
      <c r="T29" s="150"/>
      <c r="U29" s="150"/>
      <c r="V29" s="150"/>
      <c r="W29" s="150"/>
      <c r="X29" s="150"/>
      <c r="Y29" s="149"/>
      <c r="Z29" s="149">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1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64"/>
      <c r="B30" s="73">
        <f t="shared" si="94"/>
        <v>-59090.909090909088</v>
      </c>
      <c r="E30" s="158">
        <v>42826</v>
      </c>
      <c r="G30" s="145">
        <v>33</v>
      </c>
      <c r="H30" s="145">
        <v>0</v>
      </c>
      <c r="I30" s="49">
        <f t="shared" si="95"/>
        <v>46522</v>
      </c>
      <c r="J30" s="76">
        <v>1950000</v>
      </c>
      <c r="K30" s="40">
        <f t="shared" si="96"/>
        <v>33</v>
      </c>
      <c r="L30" s="74">
        <f t="shared" si="97"/>
        <v>1950000</v>
      </c>
      <c r="M30" s="76"/>
      <c r="N30" s="76">
        <f t="shared" si="98"/>
        <v>0</v>
      </c>
      <c r="O30" s="148"/>
      <c r="P30" s="148"/>
      <c r="Q30" s="148"/>
      <c r="R30" s="150"/>
      <c r="S30" s="150"/>
      <c r="T30" s="150"/>
      <c r="U30" s="150"/>
      <c r="V30" s="150"/>
      <c r="W30" s="150"/>
      <c r="X30" s="150"/>
      <c r="Y30" s="149"/>
      <c r="Z30" s="149">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1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64"/>
      <c r="B31" s="73">
        <f t="shared" si="94"/>
        <v>-59090.909090909088</v>
      </c>
      <c r="E31" s="158">
        <v>42826</v>
      </c>
      <c r="G31" s="145">
        <v>33</v>
      </c>
      <c r="H31" s="145">
        <v>0</v>
      </c>
      <c r="I31" s="49">
        <f t="shared" si="95"/>
        <v>46522</v>
      </c>
      <c r="J31" s="76">
        <v>1950000</v>
      </c>
      <c r="K31" s="40">
        <f t="shared" si="96"/>
        <v>33</v>
      </c>
      <c r="L31" s="74">
        <f t="shared" si="97"/>
        <v>1950000</v>
      </c>
      <c r="M31" s="76"/>
      <c r="N31" s="76">
        <f t="shared" si="98"/>
        <v>0</v>
      </c>
      <c r="O31" s="148"/>
      <c r="P31" s="148"/>
      <c r="Q31" s="148"/>
      <c r="R31" s="150"/>
      <c r="S31" s="150"/>
      <c r="T31" s="150"/>
      <c r="U31" s="150"/>
      <c r="V31" s="150"/>
      <c r="W31" s="150"/>
      <c r="X31" s="150"/>
      <c r="Y31" s="149"/>
      <c r="Z31" s="149">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1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64"/>
      <c r="B32" s="73">
        <f t="shared" si="94"/>
        <v>-59090.909090909088</v>
      </c>
      <c r="E32" s="158">
        <v>42826</v>
      </c>
      <c r="G32" s="145">
        <v>33</v>
      </c>
      <c r="H32" s="145">
        <v>0</v>
      </c>
      <c r="I32" s="49">
        <f t="shared" si="95"/>
        <v>46522</v>
      </c>
      <c r="J32" s="76">
        <v>1950000</v>
      </c>
      <c r="K32" s="40">
        <f t="shared" si="96"/>
        <v>33</v>
      </c>
      <c r="L32" s="74">
        <f t="shared" si="97"/>
        <v>1950000</v>
      </c>
      <c r="M32" s="76"/>
      <c r="N32" s="76">
        <f t="shared" si="98"/>
        <v>0</v>
      </c>
      <c r="O32" s="148"/>
      <c r="P32" s="148"/>
      <c r="Q32" s="148"/>
      <c r="R32" s="150"/>
      <c r="S32" s="150"/>
      <c r="T32" s="150"/>
      <c r="U32" s="150"/>
      <c r="V32" s="150"/>
      <c r="W32" s="150"/>
      <c r="X32" s="150"/>
      <c r="Y32" s="149"/>
      <c r="Z32" s="149">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1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64"/>
      <c r="B33" s="73">
        <f t="shared" si="94"/>
        <v>-59090.909090909088</v>
      </c>
      <c r="E33" s="158">
        <v>42826</v>
      </c>
      <c r="G33" s="145">
        <v>33</v>
      </c>
      <c r="H33" s="145">
        <v>0</v>
      </c>
      <c r="I33" s="49">
        <f t="shared" si="95"/>
        <v>46522</v>
      </c>
      <c r="J33" s="76">
        <v>1950000</v>
      </c>
      <c r="K33" s="40">
        <f t="shared" si="96"/>
        <v>33</v>
      </c>
      <c r="L33" s="74">
        <f t="shared" si="97"/>
        <v>1950000</v>
      </c>
      <c r="M33" s="76"/>
      <c r="N33" s="76">
        <f t="shared" si="98"/>
        <v>0</v>
      </c>
      <c r="O33" s="148"/>
      <c r="P33" s="148"/>
      <c r="Q33" s="148"/>
      <c r="R33" s="150"/>
      <c r="S33" s="150"/>
      <c r="T33" s="150"/>
      <c r="U33" s="150"/>
      <c r="V33" s="150"/>
      <c r="W33" s="150"/>
      <c r="X33" s="150"/>
      <c r="Y33" s="149"/>
      <c r="Z33" s="149">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1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64"/>
      <c r="B34" s="73">
        <f t="shared" si="94"/>
        <v>-59090.909090909088</v>
      </c>
      <c r="E34" s="158">
        <v>42826</v>
      </c>
      <c r="G34" s="145">
        <v>33</v>
      </c>
      <c r="H34" s="145">
        <v>0</v>
      </c>
      <c r="I34" s="49">
        <f t="shared" si="95"/>
        <v>46522</v>
      </c>
      <c r="J34" s="76">
        <v>1950000</v>
      </c>
      <c r="K34" s="40">
        <f t="shared" si="96"/>
        <v>33</v>
      </c>
      <c r="L34" s="74">
        <f t="shared" si="97"/>
        <v>1950000</v>
      </c>
      <c r="M34" s="76"/>
      <c r="N34" s="76">
        <f t="shared" si="98"/>
        <v>0</v>
      </c>
      <c r="O34" s="148"/>
      <c r="P34" s="148"/>
      <c r="Q34" s="148"/>
      <c r="R34" s="150"/>
      <c r="S34" s="150"/>
      <c r="T34" s="150"/>
      <c r="U34" s="150"/>
      <c r="V34" s="150"/>
      <c r="W34" s="150"/>
      <c r="X34" s="150"/>
      <c r="Y34" s="149"/>
      <c r="Z34" s="149">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1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64"/>
      <c r="B35" s="73">
        <f t="shared" si="94"/>
        <v>-59090.909090909088</v>
      </c>
      <c r="E35" s="158">
        <v>42826</v>
      </c>
      <c r="G35" s="145">
        <v>33</v>
      </c>
      <c r="H35" s="145">
        <v>0</v>
      </c>
      <c r="I35" s="49">
        <f t="shared" si="95"/>
        <v>46522</v>
      </c>
      <c r="J35" s="76">
        <v>1950000</v>
      </c>
      <c r="K35" s="40">
        <f t="shared" si="96"/>
        <v>33</v>
      </c>
      <c r="L35" s="74">
        <f t="shared" si="97"/>
        <v>1950000</v>
      </c>
      <c r="M35" s="76"/>
      <c r="N35" s="76">
        <f t="shared" si="98"/>
        <v>0</v>
      </c>
      <c r="O35" s="148"/>
      <c r="P35" s="148"/>
      <c r="Q35" s="148"/>
      <c r="R35" s="150"/>
      <c r="S35" s="150"/>
      <c r="T35" s="150"/>
      <c r="U35" s="150"/>
      <c r="V35" s="150"/>
      <c r="W35" s="150"/>
      <c r="X35" s="150"/>
      <c r="Y35" s="149"/>
      <c r="Z35" s="149">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1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64"/>
      <c r="B36" s="73">
        <f t="shared" si="94"/>
        <v>-59090.909090909088</v>
      </c>
      <c r="E36" s="158">
        <v>42826</v>
      </c>
      <c r="G36" s="145">
        <v>33</v>
      </c>
      <c r="H36" s="145">
        <v>0</v>
      </c>
      <c r="I36" s="49">
        <f t="shared" si="95"/>
        <v>46522</v>
      </c>
      <c r="J36" s="76">
        <v>1950000</v>
      </c>
      <c r="K36" s="40">
        <f t="shared" si="96"/>
        <v>33</v>
      </c>
      <c r="L36" s="74">
        <f t="shared" si="97"/>
        <v>1950000</v>
      </c>
      <c r="M36" s="76"/>
      <c r="N36" s="76">
        <f t="shared" si="98"/>
        <v>0</v>
      </c>
      <c r="O36" s="148"/>
      <c r="P36" s="148"/>
      <c r="Q36" s="148"/>
      <c r="R36" s="150"/>
      <c r="S36" s="150"/>
      <c r="T36" s="150"/>
      <c r="U36" s="150"/>
      <c r="V36" s="150"/>
      <c r="W36" s="150"/>
      <c r="X36" s="150"/>
      <c r="Y36" s="149"/>
      <c r="Z36" s="149">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1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64"/>
      <c r="B37" s="73">
        <f t="shared" si="94"/>
        <v>-59090.909090909088</v>
      </c>
      <c r="E37" s="158">
        <v>42826</v>
      </c>
      <c r="G37" s="145">
        <v>33</v>
      </c>
      <c r="H37" s="145">
        <v>0</v>
      </c>
      <c r="I37" s="49">
        <f t="shared" si="95"/>
        <v>46522</v>
      </c>
      <c r="J37" s="76">
        <v>1950000</v>
      </c>
      <c r="K37" s="40">
        <f t="shared" si="96"/>
        <v>33</v>
      </c>
      <c r="L37" s="74">
        <f t="shared" si="97"/>
        <v>1950000</v>
      </c>
      <c r="M37" s="76"/>
      <c r="N37" s="76">
        <f t="shared" si="98"/>
        <v>0</v>
      </c>
      <c r="O37" s="148"/>
      <c r="P37" s="148"/>
      <c r="Q37" s="148"/>
      <c r="R37" s="150"/>
      <c r="S37" s="150"/>
      <c r="T37" s="150"/>
      <c r="U37" s="150"/>
      <c r="V37" s="150"/>
      <c r="W37" s="150"/>
      <c r="X37" s="150"/>
      <c r="Y37" s="149"/>
      <c r="Z37" s="149">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1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64"/>
      <c r="B38" s="73">
        <f t="shared" si="94"/>
        <v>-59090.909090909088</v>
      </c>
      <c r="E38" s="158">
        <v>42826</v>
      </c>
      <c r="G38" s="145">
        <v>33</v>
      </c>
      <c r="H38" s="145">
        <v>0</v>
      </c>
      <c r="I38" s="49">
        <f t="shared" si="95"/>
        <v>46522</v>
      </c>
      <c r="J38" s="76">
        <v>1950000</v>
      </c>
      <c r="K38" s="40">
        <f t="shared" si="96"/>
        <v>33</v>
      </c>
      <c r="L38" s="74">
        <f t="shared" si="97"/>
        <v>1950000</v>
      </c>
      <c r="M38" s="76"/>
      <c r="N38" s="76">
        <f t="shared" si="98"/>
        <v>0</v>
      </c>
      <c r="O38" s="148"/>
      <c r="P38" s="148"/>
      <c r="Q38" s="148"/>
      <c r="R38" s="150"/>
      <c r="S38" s="150"/>
      <c r="T38" s="150"/>
      <c r="U38" s="150"/>
      <c r="V38" s="150"/>
      <c r="W38" s="150"/>
      <c r="X38" s="150"/>
      <c r="Y38" s="149"/>
      <c r="Z38" s="149">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1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64"/>
      <c r="B39" s="73">
        <f t="shared" si="94"/>
        <v>-59090.909090909088</v>
      </c>
      <c r="E39" s="158">
        <v>42826</v>
      </c>
      <c r="G39" s="145">
        <v>33</v>
      </c>
      <c r="H39" s="145">
        <v>0</v>
      </c>
      <c r="I39" s="49">
        <f t="shared" si="95"/>
        <v>46522</v>
      </c>
      <c r="J39" s="76">
        <v>1950000</v>
      </c>
      <c r="K39" s="40">
        <f t="shared" si="96"/>
        <v>33</v>
      </c>
      <c r="L39" s="74">
        <f t="shared" si="97"/>
        <v>1950000</v>
      </c>
      <c r="M39" s="76"/>
      <c r="N39" s="76">
        <f t="shared" si="98"/>
        <v>0</v>
      </c>
      <c r="O39" s="148"/>
      <c r="P39" s="148"/>
      <c r="Q39" s="148"/>
      <c r="R39" s="150"/>
      <c r="S39" s="150"/>
      <c r="T39" s="150"/>
      <c r="U39" s="150"/>
      <c r="V39" s="150"/>
      <c r="W39" s="150"/>
      <c r="X39" s="150"/>
      <c r="Y39" s="149"/>
      <c r="Z39" s="149">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1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64"/>
      <c r="B40" s="73">
        <f t="shared" si="94"/>
        <v>-59090.909090909088</v>
      </c>
      <c r="E40" s="158">
        <v>42826</v>
      </c>
      <c r="G40" s="145">
        <v>33</v>
      </c>
      <c r="H40" s="145">
        <v>0</v>
      </c>
      <c r="I40" s="49">
        <f t="shared" si="95"/>
        <v>46522</v>
      </c>
      <c r="J40" s="76">
        <v>1950000</v>
      </c>
      <c r="K40" s="40">
        <f t="shared" si="96"/>
        <v>33</v>
      </c>
      <c r="L40" s="74">
        <f t="shared" si="97"/>
        <v>1950000</v>
      </c>
      <c r="M40" s="76"/>
      <c r="N40" s="76">
        <f t="shared" si="98"/>
        <v>0</v>
      </c>
      <c r="O40" s="148"/>
      <c r="P40" s="148"/>
      <c r="Q40" s="148"/>
      <c r="R40" s="150"/>
      <c r="S40" s="150"/>
      <c r="T40" s="150"/>
      <c r="U40" s="150"/>
      <c r="V40" s="150"/>
      <c r="W40" s="150"/>
      <c r="X40" s="150"/>
      <c r="Y40" s="149"/>
      <c r="Z40" s="149">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1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64"/>
      <c r="B41" s="73">
        <f t="shared" si="94"/>
        <v>-59090.909090909088</v>
      </c>
      <c r="E41" s="158">
        <v>42826</v>
      </c>
      <c r="G41" s="145">
        <v>33</v>
      </c>
      <c r="H41" s="145">
        <v>0</v>
      </c>
      <c r="I41" s="49">
        <f t="shared" si="95"/>
        <v>46522</v>
      </c>
      <c r="J41" s="76">
        <v>1950000</v>
      </c>
      <c r="K41" s="40">
        <f t="shared" si="96"/>
        <v>33</v>
      </c>
      <c r="L41" s="74">
        <f t="shared" si="97"/>
        <v>1950000</v>
      </c>
      <c r="M41" s="76"/>
      <c r="N41" s="76">
        <f t="shared" si="98"/>
        <v>0</v>
      </c>
      <c r="O41" s="148"/>
      <c r="P41" s="148"/>
      <c r="Q41" s="148"/>
      <c r="R41" s="150"/>
      <c r="S41" s="150"/>
      <c r="T41" s="150"/>
      <c r="U41" s="150"/>
      <c r="V41" s="150"/>
      <c r="W41" s="150"/>
      <c r="X41" s="150"/>
      <c r="Y41" s="149"/>
      <c r="Z41" s="149">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1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64"/>
      <c r="B42" s="73">
        <f t="shared" si="94"/>
        <v>-59090.909090909088</v>
      </c>
      <c r="E42" s="158">
        <v>42826</v>
      </c>
      <c r="G42" s="145">
        <v>33</v>
      </c>
      <c r="H42" s="145">
        <v>0</v>
      </c>
      <c r="I42" s="49">
        <f t="shared" si="95"/>
        <v>46522</v>
      </c>
      <c r="J42" s="76">
        <v>1950000</v>
      </c>
      <c r="K42" s="40">
        <f t="shared" si="96"/>
        <v>33</v>
      </c>
      <c r="L42" s="74">
        <f t="shared" si="97"/>
        <v>1950000</v>
      </c>
      <c r="M42" s="76"/>
      <c r="N42" s="76">
        <f t="shared" si="98"/>
        <v>0</v>
      </c>
      <c r="O42" s="148"/>
      <c r="P42" s="148"/>
      <c r="Q42" s="148"/>
      <c r="R42" s="150"/>
      <c r="S42" s="150"/>
      <c r="T42" s="150"/>
      <c r="U42" s="150"/>
      <c r="V42" s="150"/>
      <c r="W42" s="150"/>
      <c r="X42" s="150"/>
      <c r="Y42" s="149"/>
      <c r="Z42" s="149">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1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64"/>
      <c r="B43" s="73">
        <f t="shared" si="94"/>
        <v>-59090.909090909088</v>
      </c>
      <c r="E43" s="158">
        <v>42826</v>
      </c>
      <c r="G43" s="145">
        <v>33</v>
      </c>
      <c r="H43" s="145">
        <v>0</v>
      </c>
      <c r="I43" s="49">
        <f t="shared" si="95"/>
        <v>46522</v>
      </c>
      <c r="J43" s="76">
        <v>1950000</v>
      </c>
      <c r="K43" s="40">
        <f t="shared" si="96"/>
        <v>33</v>
      </c>
      <c r="L43" s="74">
        <f t="shared" si="97"/>
        <v>1950000</v>
      </c>
      <c r="M43" s="76"/>
      <c r="N43" s="76">
        <f t="shared" si="98"/>
        <v>0</v>
      </c>
      <c r="O43" s="148"/>
      <c r="P43" s="148"/>
      <c r="Q43" s="148"/>
      <c r="R43" s="150"/>
      <c r="S43" s="150"/>
      <c r="T43" s="150"/>
      <c r="U43" s="150"/>
      <c r="V43" s="150"/>
      <c r="W43" s="150"/>
      <c r="X43" s="150"/>
      <c r="Y43" s="149"/>
      <c r="Z43" s="149">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1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64"/>
      <c r="B44" s="73">
        <f t="shared" si="94"/>
        <v>-59090.909090909088</v>
      </c>
      <c r="E44" s="158">
        <v>42826</v>
      </c>
      <c r="G44" s="145">
        <v>33</v>
      </c>
      <c r="H44" s="145">
        <v>0</v>
      </c>
      <c r="I44" s="49">
        <f t="shared" si="95"/>
        <v>46522</v>
      </c>
      <c r="J44" s="76">
        <v>1950000</v>
      </c>
      <c r="K44" s="40">
        <f t="shared" si="96"/>
        <v>33</v>
      </c>
      <c r="L44" s="74">
        <f t="shared" si="97"/>
        <v>1950000</v>
      </c>
      <c r="M44" s="76"/>
      <c r="N44" s="76">
        <f t="shared" si="98"/>
        <v>0</v>
      </c>
      <c r="O44" s="148"/>
      <c r="P44" s="148"/>
      <c r="Q44" s="148"/>
      <c r="R44" s="150"/>
      <c r="S44" s="150"/>
      <c r="T44" s="150"/>
      <c r="U44" s="150"/>
      <c r="V44" s="150"/>
      <c r="W44" s="150"/>
      <c r="X44" s="150"/>
      <c r="Y44" s="149"/>
      <c r="Z44" s="149">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1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64"/>
      <c r="B45" s="73">
        <f t="shared" si="94"/>
        <v>-59090.909090909088</v>
      </c>
      <c r="E45" s="158">
        <v>42826</v>
      </c>
      <c r="G45" s="145">
        <v>33</v>
      </c>
      <c r="H45" s="145">
        <v>0</v>
      </c>
      <c r="I45" s="49">
        <f t="shared" si="95"/>
        <v>46522</v>
      </c>
      <c r="J45" s="76">
        <v>1950000</v>
      </c>
      <c r="K45" s="40">
        <f t="shared" si="96"/>
        <v>33</v>
      </c>
      <c r="L45" s="74">
        <f t="shared" si="97"/>
        <v>1950000</v>
      </c>
      <c r="M45" s="76"/>
      <c r="N45" s="76">
        <f t="shared" si="98"/>
        <v>0</v>
      </c>
      <c r="O45" s="148"/>
      <c r="P45" s="148"/>
      <c r="Q45" s="148"/>
      <c r="R45" s="150"/>
      <c r="S45" s="150"/>
      <c r="T45" s="150"/>
      <c r="U45" s="150"/>
      <c r="V45" s="150"/>
      <c r="W45" s="150"/>
      <c r="X45" s="150"/>
      <c r="Y45" s="149"/>
      <c r="Z45" s="149">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1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64"/>
      <c r="B46" s="73">
        <f t="shared" si="94"/>
        <v>-59090.909090909088</v>
      </c>
      <c r="E46" s="158">
        <v>42826</v>
      </c>
      <c r="G46" s="145">
        <v>33</v>
      </c>
      <c r="H46" s="145">
        <v>0</v>
      </c>
      <c r="I46" s="49">
        <f t="shared" si="95"/>
        <v>46522</v>
      </c>
      <c r="J46" s="76">
        <v>1950000</v>
      </c>
      <c r="K46" s="40">
        <f t="shared" si="96"/>
        <v>33</v>
      </c>
      <c r="L46" s="74">
        <f t="shared" si="97"/>
        <v>1950000</v>
      </c>
      <c r="M46" s="76"/>
      <c r="N46" s="76">
        <f t="shared" si="98"/>
        <v>0</v>
      </c>
      <c r="O46" s="148"/>
      <c r="P46" s="148"/>
      <c r="Q46" s="148"/>
      <c r="R46" s="150"/>
      <c r="S46" s="150"/>
      <c r="T46" s="150"/>
      <c r="U46" s="150"/>
      <c r="V46" s="150"/>
      <c r="W46" s="150"/>
      <c r="X46" s="150"/>
      <c r="Y46" s="149"/>
      <c r="Z46" s="149">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1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64"/>
      <c r="B47" s="73">
        <f t="shared" si="94"/>
        <v>-59090.909090909088</v>
      </c>
      <c r="E47" s="158">
        <v>42826</v>
      </c>
      <c r="G47" s="145">
        <v>33</v>
      </c>
      <c r="H47" s="145">
        <v>0</v>
      </c>
      <c r="I47" s="49">
        <f t="shared" si="95"/>
        <v>46522</v>
      </c>
      <c r="J47" s="76">
        <v>1950000</v>
      </c>
      <c r="K47" s="40">
        <f t="shared" si="96"/>
        <v>33</v>
      </c>
      <c r="L47" s="74">
        <f t="shared" si="97"/>
        <v>1950000</v>
      </c>
      <c r="M47" s="76"/>
      <c r="N47" s="76">
        <f t="shared" si="98"/>
        <v>0</v>
      </c>
      <c r="O47" s="148"/>
      <c r="P47" s="148"/>
      <c r="Q47" s="148"/>
      <c r="R47" s="150"/>
      <c r="S47" s="150"/>
      <c r="T47" s="150"/>
      <c r="U47" s="150"/>
      <c r="V47" s="150"/>
      <c r="W47" s="150"/>
      <c r="X47" s="150"/>
      <c r="Y47" s="149"/>
      <c r="Z47" s="149">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1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64"/>
      <c r="B48" s="73">
        <f t="shared" si="94"/>
        <v>-59090.909090909088</v>
      </c>
      <c r="E48" s="158">
        <v>42826</v>
      </c>
      <c r="G48" s="145">
        <v>33</v>
      </c>
      <c r="H48" s="145">
        <v>0</v>
      </c>
      <c r="I48" s="49">
        <f t="shared" si="95"/>
        <v>46522</v>
      </c>
      <c r="J48" s="76">
        <v>1950000</v>
      </c>
      <c r="K48" s="40">
        <f t="shared" si="96"/>
        <v>33</v>
      </c>
      <c r="L48" s="74">
        <f t="shared" si="97"/>
        <v>1950000</v>
      </c>
      <c r="M48" s="76"/>
      <c r="N48" s="76">
        <f t="shared" si="98"/>
        <v>0</v>
      </c>
      <c r="O48" s="148"/>
      <c r="P48" s="148"/>
      <c r="Q48" s="148"/>
      <c r="R48" s="150"/>
      <c r="S48" s="150"/>
      <c r="T48" s="150"/>
      <c r="U48" s="150"/>
      <c r="V48" s="150"/>
      <c r="W48" s="150"/>
      <c r="X48" s="150"/>
      <c r="Y48" s="149"/>
      <c r="Z48" s="149">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1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64"/>
      <c r="B49" s="73">
        <f t="shared" si="94"/>
        <v>-59090.909090909088</v>
      </c>
      <c r="E49" s="158">
        <v>42826</v>
      </c>
      <c r="G49" s="145">
        <v>33</v>
      </c>
      <c r="H49" s="145">
        <v>0</v>
      </c>
      <c r="I49" s="49">
        <f t="shared" si="95"/>
        <v>46522</v>
      </c>
      <c r="J49" s="76">
        <v>1950000</v>
      </c>
      <c r="K49" s="40">
        <f t="shared" si="96"/>
        <v>33</v>
      </c>
      <c r="L49" s="74">
        <f t="shared" si="97"/>
        <v>1950000</v>
      </c>
      <c r="M49" s="76"/>
      <c r="N49" s="76">
        <f t="shared" si="98"/>
        <v>0</v>
      </c>
      <c r="O49" s="148"/>
      <c r="P49" s="148"/>
      <c r="Q49" s="148"/>
      <c r="R49" s="150"/>
      <c r="S49" s="150"/>
      <c r="T49" s="150"/>
      <c r="U49" s="150"/>
      <c r="V49" s="150"/>
      <c r="W49" s="150"/>
      <c r="X49" s="150"/>
      <c r="Y49" s="149"/>
      <c r="Z49" s="149">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1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64"/>
      <c r="B50" s="73">
        <f t="shared" si="94"/>
        <v>-59090.909090909088</v>
      </c>
      <c r="E50" s="158">
        <v>42826</v>
      </c>
      <c r="G50" s="145">
        <v>33</v>
      </c>
      <c r="H50" s="145">
        <v>0</v>
      </c>
      <c r="I50" s="49">
        <f t="shared" si="95"/>
        <v>46522</v>
      </c>
      <c r="J50" s="76">
        <v>1950000</v>
      </c>
      <c r="K50" s="40">
        <f t="shared" si="96"/>
        <v>33</v>
      </c>
      <c r="L50" s="74">
        <f t="shared" si="97"/>
        <v>1950000</v>
      </c>
      <c r="M50" s="76"/>
      <c r="N50" s="76">
        <f t="shared" si="98"/>
        <v>0</v>
      </c>
      <c r="O50" s="148"/>
      <c r="P50" s="148"/>
      <c r="Q50" s="148"/>
      <c r="R50" s="150"/>
      <c r="S50" s="150"/>
      <c r="T50" s="150"/>
      <c r="U50" s="150"/>
      <c r="V50" s="150"/>
      <c r="W50" s="150"/>
      <c r="X50" s="150"/>
      <c r="Y50" s="149"/>
      <c r="Z50" s="149">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1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64"/>
      <c r="B51" s="73">
        <f t="shared" si="94"/>
        <v>-59090.909090909088</v>
      </c>
      <c r="E51" s="158">
        <v>42826</v>
      </c>
      <c r="G51" s="145">
        <v>33</v>
      </c>
      <c r="H51" s="145">
        <v>0</v>
      </c>
      <c r="I51" s="49">
        <f t="shared" si="95"/>
        <v>46522</v>
      </c>
      <c r="J51" s="76">
        <v>1950000</v>
      </c>
      <c r="K51" s="40">
        <f t="shared" si="96"/>
        <v>33</v>
      </c>
      <c r="L51" s="74">
        <f t="shared" si="97"/>
        <v>1950000</v>
      </c>
      <c r="M51" s="76"/>
      <c r="N51" s="76">
        <f t="shared" si="98"/>
        <v>0</v>
      </c>
      <c r="O51" s="148"/>
      <c r="P51" s="148"/>
      <c r="Q51" s="148"/>
      <c r="R51" s="150"/>
      <c r="S51" s="150"/>
      <c r="T51" s="150"/>
      <c r="U51" s="150"/>
      <c r="V51" s="150"/>
      <c r="W51" s="150"/>
      <c r="X51" s="150"/>
      <c r="Y51" s="149"/>
      <c r="Z51" s="149">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1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64"/>
      <c r="B52" s="73">
        <f t="shared" si="94"/>
        <v>-59090.909090909088</v>
      </c>
      <c r="E52" s="158">
        <v>42826</v>
      </c>
      <c r="G52" s="145">
        <v>33</v>
      </c>
      <c r="H52" s="145">
        <v>0</v>
      </c>
      <c r="I52" s="49">
        <f t="shared" si="95"/>
        <v>46522</v>
      </c>
      <c r="J52" s="76">
        <v>1950000</v>
      </c>
      <c r="K52" s="40">
        <f t="shared" si="96"/>
        <v>33</v>
      </c>
      <c r="L52" s="74">
        <f t="shared" si="97"/>
        <v>1950000</v>
      </c>
      <c r="M52" s="76"/>
      <c r="N52" s="76">
        <f t="shared" si="98"/>
        <v>0</v>
      </c>
      <c r="O52" s="148"/>
      <c r="P52" s="148"/>
      <c r="Q52" s="148"/>
      <c r="R52" s="150"/>
      <c r="S52" s="150"/>
      <c r="T52" s="150"/>
      <c r="U52" s="150"/>
      <c r="V52" s="150"/>
      <c r="W52" s="150"/>
      <c r="X52" s="150"/>
      <c r="Y52" s="149"/>
      <c r="Z52" s="149">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1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64"/>
      <c r="B53" s="73">
        <f t="shared" si="94"/>
        <v>-59090.909090909088</v>
      </c>
      <c r="E53" s="158">
        <v>42826</v>
      </c>
      <c r="G53" s="145">
        <v>33</v>
      </c>
      <c r="H53" s="145">
        <v>0</v>
      </c>
      <c r="I53" s="49">
        <f t="shared" si="95"/>
        <v>46522</v>
      </c>
      <c r="J53" s="76">
        <v>1950000</v>
      </c>
      <c r="K53" s="40">
        <f t="shared" si="96"/>
        <v>33</v>
      </c>
      <c r="L53" s="74">
        <f t="shared" si="97"/>
        <v>1950000</v>
      </c>
      <c r="M53" s="76"/>
      <c r="N53" s="76">
        <f t="shared" si="98"/>
        <v>0</v>
      </c>
      <c r="O53" s="148"/>
      <c r="P53" s="148"/>
      <c r="Q53" s="148"/>
      <c r="R53" s="150"/>
      <c r="S53" s="150"/>
      <c r="T53" s="150"/>
      <c r="U53" s="150"/>
      <c r="V53" s="150"/>
      <c r="W53" s="150"/>
      <c r="X53" s="150"/>
      <c r="Y53" s="149"/>
      <c r="Z53" s="149">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1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64"/>
      <c r="B54" s="73">
        <f t="shared" si="94"/>
        <v>-59090.909090909088</v>
      </c>
      <c r="E54" s="158">
        <v>42826</v>
      </c>
      <c r="G54" s="145">
        <v>33</v>
      </c>
      <c r="H54" s="145">
        <v>0</v>
      </c>
      <c r="I54" s="49">
        <f t="shared" si="95"/>
        <v>46522</v>
      </c>
      <c r="J54" s="76">
        <v>1950000</v>
      </c>
      <c r="K54" s="40">
        <f t="shared" si="96"/>
        <v>33</v>
      </c>
      <c r="L54" s="74">
        <f t="shared" si="97"/>
        <v>1950000</v>
      </c>
      <c r="M54" s="76"/>
      <c r="N54" s="76">
        <f t="shared" si="98"/>
        <v>0</v>
      </c>
      <c r="O54" s="148"/>
      <c r="P54" s="148"/>
      <c r="Q54" s="148"/>
      <c r="R54" s="150"/>
      <c r="S54" s="150"/>
      <c r="T54" s="150"/>
      <c r="U54" s="150"/>
      <c r="V54" s="150"/>
      <c r="W54" s="150"/>
      <c r="X54" s="150"/>
      <c r="Y54" s="149"/>
      <c r="Z54" s="149">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1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64"/>
      <c r="B55" s="73">
        <f t="shared" si="94"/>
        <v>-59090.909090909088</v>
      </c>
      <c r="E55" s="158">
        <v>42826</v>
      </c>
      <c r="G55" s="145">
        <v>33</v>
      </c>
      <c r="H55" s="145">
        <v>0</v>
      </c>
      <c r="I55" s="49">
        <f t="shared" si="95"/>
        <v>46522</v>
      </c>
      <c r="J55" s="76">
        <v>1950000</v>
      </c>
      <c r="K55" s="40">
        <f t="shared" si="96"/>
        <v>33</v>
      </c>
      <c r="L55" s="74">
        <f t="shared" si="97"/>
        <v>1950000</v>
      </c>
      <c r="M55" s="76"/>
      <c r="N55" s="76">
        <f t="shared" si="98"/>
        <v>0</v>
      </c>
      <c r="O55" s="148"/>
      <c r="P55" s="148"/>
      <c r="Q55" s="148"/>
      <c r="R55" s="150"/>
      <c r="S55" s="150"/>
      <c r="T55" s="150"/>
      <c r="U55" s="150"/>
      <c r="V55" s="150"/>
      <c r="W55" s="150"/>
      <c r="X55" s="150"/>
      <c r="Y55" s="149"/>
      <c r="Z55" s="149">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1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64"/>
      <c r="B56" s="73">
        <f t="shared" si="94"/>
        <v>-59090.909090909088</v>
      </c>
      <c r="E56" s="158">
        <v>42826</v>
      </c>
      <c r="G56" s="145">
        <v>33</v>
      </c>
      <c r="H56" s="145">
        <v>0</v>
      </c>
      <c r="I56" s="49">
        <f t="shared" si="95"/>
        <v>46522</v>
      </c>
      <c r="J56" s="76">
        <v>1950000</v>
      </c>
      <c r="K56" s="40">
        <f t="shared" si="96"/>
        <v>33</v>
      </c>
      <c r="L56" s="74">
        <f t="shared" si="97"/>
        <v>1950000</v>
      </c>
      <c r="M56" s="76"/>
      <c r="N56" s="76">
        <f t="shared" si="98"/>
        <v>0</v>
      </c>
      <c r="O56" s="148"/>
      <c r="P56" s="148"/>
      <c r="Q56" s="148"/>
      <c r="R56" s="150"/>
      <c r="S56" s="150"/>
      <c r="T56" s="150"/>
      <c r="U56" s="150"/>
      <c r="V56" s="150"/>
      <c r="W56" s="150"/>
      <c r="X56" s="150"/>
      <c r="Y56" s="149"/>
      <c r="Z56" s="149">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1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64"/>
      <c r="B57" s="73">
        <f t="shared" si="94"/>
        <v>-59090.909090909088</v>
      </c>
      <c r="E57" s="158">
        <v>42826</v>
      </c>
      <c r="G57" s="145">
        <v>33</v>
      </c>
      <c r="H57" s="145">
        <v>0</v>
      </c>
      <c r="I57" s="49">
        <f t="shared" si="95"/>
        <v>46522</v>
      </c>
      <c r="J57" s="76">
        <v>1950000</v>
      </c>
      <c r="K57" s="40">
        <f t="shared" si="96"/>
        <v>33</v>
      </c>
      <c r="L57" s="74">
        <f t="shared" si="97"/>
        <v>1950000</v>
      </c>
      <c r="M57" s="76"/>
      <c r="N57" s="76">
        <f t="shared" si="98"/>
        <v>0</v>
      </c>
      <c r="O57" s="148"/>
      <c r="P57" s="148"/>
      <c r="Q57" s="148"/>
      <c r="R57" s="150"/>
      <c r="S57" s="150"/>
      <c r="T57" s="150"/>
      <c r="U57" s="150"/>
      <c r="V57" s="150"/>
      <c r="W57" s="150"/>
      <c r="X57" s="150"/>
      <c r="Y57" s="149"/>
      <c r="Z57" s="149">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1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64"/>
      <c r="B58" s="73">
        <f t="shared" si="94"/>
        <v>-59090.909090909088</v>
      </c>
      <c r="E58" s="158">
        <v>42826</v>
      </c>
      <c r="G58" s="145">
        <v>33</v>
      </c>
      <c r="H58" s="145">
        <v>0</v>
      </c>
      <c r="I58" s="49">
        <f t="shared" si="95"/>
        <v>46522</v>
      </c>
      <c r="J58" s="76">
        <v>1950000</v>
      </c>
      <c r="K58" s="40">
        <f t="shared" si="96"/>
        <v>33</v>
      </c>
      <c r="L58" s="74">
        <f t="shared" si="97"/>
        <v>1950000</v>
      </c>
      <c r="M58" s="76"/>
      <c r="N58" s="76">
        <f t="shared" si="98"/>
        <v>0</v>
      </c>
      <c r="O58" s="148"/>
      <c r="P58" s="148"/>
      <c r="Q58" s="148"/>
      <c r="R58" s="150"/>
      <c r="S58" s="150"/>
      <c r="T58" s="150"/>
      <c r="U58" s="150"/>
      <c r="V58" s="150"/>
      <c r="W58" s="150"/>
      <c r="X58" s="150"/>
      <c r="Y58" s="149"/>
      <c r="Z58" s="149">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1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64"/>
      <c r="B59" s="73">
        <f t="shared" si="94"/>
        <v>-59090.909090909088</v>
      </c>
      <c r="E59" s="158">
        <v>42826</v>
      </c>
      <c r="G59" s="145">
        <v>33</v>
      </c>
      <c r="H59" s="145">
        <v>0</v>
      </c>
      <c r="I59" s="49">
        <f t="shared" si="95"/>
        <v>46522</v>
      </c>
      <c r="J59" s="76">
        <v>1950000</v>
      </c>
      <c r="K59" s="40">
        <f t="shared" si="96"/>
        <v>33</v>
      </c>
      <c r="L59" s="74">
        <f t="shared" si="97"/>
        <v>1950000</v>
      </c>
      <c r="M59" s="76"/>
      <c r="N59" s="76">
        <f t="shared" si="98"/>
        <v>0</v>
      </c>
      <c r="O59" s="148"/>
      <c r="P59" s="148"/>
      <c r="Q59" s="148"/>
      <c r="R59" s="150"/>
      <c r="S59" s="150"/>
      <c r="T59" s="150"/>
      <c r="U59" s="150"/>
      <c r="V59" s="150"/>
      <c r="W59" s="150"/>
      <c r="X59" s="150"/>
      <c r="Y59" s="149"/>
      <c r="Z59" s="149">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1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64"/>
      <c r="B60" s="73">
        <f t="shared" si="94"/>
        <v>-59090.909090909088</v>
      </c>
      <c r="E60" s="158">
        <v>42826</v>
      </c>
      <c r="G60" s="145">
        <v>33</v>
      </c>
      <c r="H60" s="145">
        <v>0</v>
      </c>
      <c r="I60" s="49">
        <f t="shared" si="95"/>
        <v>46522</v>
      </c>
      <c r="J60" s="76">
        <v>1950000</v>
      </c>
      <c r="K60" s="40">
        <f t="shared" si="96"/>
        <v>33</v>
      </c>
      <c r="L60" s="74">
        <f t="shared" si="97"/>
        <v>1950000</v>
      </c>
      <c r="M60" s="76"/>
      <c r="N60" s="76">
        <f t="shared" si="98"/>
        <v>0</v>
      </c>
      <c r="O60" s="148"/>
      <c r="P60" s="148"/>
      <c r="Q60" s="148"/>
      <c r="R60" s="150"/>
      <c r="S60" s="150"/>
      <c r="T60" s="150"/>
      <c r="U60" s="150"/>
      <c r="V60" s="150"/>
      <c r="W60" s="150"/>
      <c r="X60" s="150"/>
      <c r="Y60" s="149"/>
      <c r="Z60" s="149">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1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64"/>
      <c r="B61" s="73">
        <f t="shared" si="94"/>
        <v>-59090.909090909088</v>
      </c>
      <c r="E61" s="158">
        <v>42826</v>
      </c>
      <c r="G61" s="145">
        <v>33</v>
      </c>
      <c r="H61" s="145">
        <v>0</v>
      </c>
      <c r="I61" s="49">
        <f t="shared" si="95"/>
        <v>46522</v>
      </c>
      <c r="J61" s="76">
        <v>1950000</v>
      </c>
      <c r="K61" s="40">
        <f t="shared" si="96"/>
        <v>33</v>
      </c>
      <c r="L61" s="74">
        <f t="shared" si="97"/>
        <v>1950000</v>
      </c>
      <c r="M61" s="76"/>
      <c r="N61" s="76">
        <f t="shared" si="98"/>
        <v>0</v>
      </c>
      <c r="O61" s="148"/>
      <c r="P61" s="148"/>
      <c r="Q61" s="148"/>
      <c r="R61" s="150"/>
      <c r="S61" s="150"/>
      <c r="T61" s="150"/>
      <c r="U61" s="150"/>
      <c r="V61" s="150"/>
      <c r="W61" s="150"/>
      <c r="X61" s="150"/>
      <c r="Y61" s="149"/>
      <c r="Z61" s="149">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1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64"/>
      <c r="B62" s="73">
        <f t="shared" si="94"/>
        <v>-59090.909090909088</v>
      </c>
      <c r="E62" s="158">
        <v>42826</v>
      </c>
      <c r="G62" s="145">
        <v>33</v>
      </c>
      <c r="H62" s="145">
        <v>0</v>
      </c>
      <c r="I62" s="49">
        <f t="shared" si="95"/>
        <v>46522</v>
      </c>
      <c r="J62" s="76">
        <v>1950000</v>
      </c>
      <c r="K62" s="40">
        <f t="shared" si="96"/>
        <v>33</v>
      </c>
      <c r="L62" s="74">
        <f t="shared" si="97"/>
        <v>1950000</v>
      </c>
      <c r="M62" s="76"/>
      <c r="N62" s="76">
        <f t="shared" si="98"/>
        <v>0</v>
      </c>
      <c r="O62" s="148"/>
      <c r="P62" s="148"/>
      <c r="Q62" s="148"/>
      <c r="R62" s="150"/>
      <c r="S62" s="150"/>
      <c r="T62" s="150"/>
      <c r="U62" s="150"/>
      <c r="V62" s="150"/>
      <c r="W62" s="150"/>
      <c r="X62" s="150"/>
      <c r="Y62" s="149"/>
      <c r="Z62" s="149">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1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64"/>
      <c r="B63" s="73">
        <f t="shared" si="94"/>
        <v>-59090.909090909088</v>
      </c>
      <c r="E63" s="158">
        <v>42826</v>
      </c>
      <c r="G63" s="145">
        <v>33</v>
      </c>
      <c r="H63" s="145">
        <v>0</v>
      </c>
      <c r="I63" s="49">
        <f t="shared" si="95"/>
        <v>46522</v>
      </c>
      <c r="J63" s="76">
        <v>1950000</v>
      </c>
      <c r="K63" s="40">
        <f t="shared" si="96"/>
        <v>33</v>
      </c>
      <c r="L63" s="74">
        <f t="shared" si="97"/>
        <v>1950000</v>
      </c>
      <c r="M63" s="76"/>
      <c r="N63" s="76">
        <f t="shared" si="98"/>
        <v>0</v>
      </c>
      <c r="O63" s="148"/>
      <c r="P63" s="148"/>
      <c r="Q63" s="148"/>
      <c r="R63" s="150"/>
      <c r="S63" s="150"/>
      <c r="T63" s="150"/>
      <c r="U63" s="150"/>
      <c r="V63" s="150"/>
      <c r="W63" s="150"/>
      <c r="X63" s="150"/>
      <c r="Y63" s="149"/>
      <c r="Z63" s="149">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1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64"/>
      <c r="B64" s="73">
        <f t="shared" si="94"/>
        <v>-59090.909090909088</v>
      </c>
      <c r="E64" s="158">
        <v>42826</v>
      </c>
      <c r="G64" s="145">
        <v>33</v>
      </c>
      <c r="H64" s="145">
        <v>0</v>
      </c>
      <c r="I64" s="49">
        <f t="shared" si="95"/>
        <v>46522</v>
      </c>
      <c r="J64" s="76">
        <v>1950000</v>
      </c>
      <c r="K64" s="40">
        <f t="shared" si="96"/>
        <v>33</v>
      </c>
      <c r="L64" s="74">
        <f t="shared" si="97"/>
        <v>1950000</v>
      </c>
      <c r="M64" s="76"/>
      <c r="N64" s="76">
        <f t="shared" si="98"/>
        <v>0</v>
      </c>
      <c r="O64" s="148"/>
      <c r="P64" s="148"/>
      <c r="Q64" s="148"/>
      <c r="R64" s="150"/>
      <c r="S64" s="150"/>
      <c r="T64" s="150"/>
      <c r="U64" s="150"/>
      <c r="V64" s="150"/>
      <c r="W64" s="150"/>
      <c r="X64" s="150"/>
      <c r="Y64" s="149"/>
      <c r="Z64" s="149">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1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64"/>
      <c r="B65" s="73">
        <f t="shared" si="94"/>
        <v>-59090.909090909088</v>
      </c>
      <c r="E65" s="158">
        <v>42826</v>
      </c>
      <c r="G65" s="145">
        <v>33</v>
      </c>
      <c r="H65" s="145">
        <v>0</v>
      </c>
      <c r="I65" s="49">
        <f t="shared" si="95"/>
        <v>46522</v>
      </c>
      <c r="J65" s="76">
        <v>1950000</v>
      </c>
      <c r="K65" s="40">
        <f t="shared" si="96"/>
        <v>33</v>
      </c>
      <c r="L65" s="74">
        <f t="shared" si="97"/>
        <v>1950000</v>
      </c>
      <c r="M65" s="76"/>
      <c r="N65" s="76">
        <f t="shared" si="98"/>
        <v>0</v>
      </c>
      <c r="O65" s="148"/>
      <c r="P65" s="148"/>
      <c r="Q65" s="148"/>
      <c r="R65" s="150"/>
      <c r="S65" s="150"/>
      <c r="T65" s="150"/>
      <c r="U65" s="150"/>
      <c r="V65" s="150"/>
      <c r="W65" s="150"/>
      <c r="X65" s="150"/>
      <c r="Y65" s="149"/>
      <c r="Z65" s="149">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1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64"/>
      <c r="B66" s="73">
        <f t="shared" si="94"/>
        <v>-59090.909090909088</v>
      </c>
      <c r="E66" s="158">
        <v>42826</v>
      </c>
      <c r="G66" s="145">
        <v>33</v>
      </c>
      <c r="H66" s="145">
        <v>0</v>
      </c>
      <c r="I66" s="49">
        <f t="shared" si="95"/>
        <v>46522</v>
      </c>
      <c r="J66" s="76">
        <v>1950000</v>
      </c>
      <c r="K66" s="40">
        <f t="shared" si="96"/>
        <v>33</v>
      </c>
      <c r="L66" s="74">
        <f t="shared" si="97"/>
        <v>1950000</v>
      </c>
      <c r="M66" s="76"/>
      <c r="N66" s="76">
        <f t="shared" si="98"/>
        <v>0</v>
      </c>
      <c r="O66" s="148"/>
      <c r="P66" s="148"/>
      <c r="Q66" s="148"/>
      <c r="R66" s="150"/>
      <c r="S66" s="150"/>
      <c r="T66" s="150"/>
      <c r="U66" s="150"/>
      <c r="V66" s="150"/>
      <c r="W66" s="150"/>
      <c r="X66" s="150"/>
      <c r="Y66" s="149"/>
      <c r="Z66" s="149">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1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64"/>
      <c r="B67" s="73">
        <f t="shared" si="94"/>
        <v>-59090.909090909088</v>
      </c>
      <c r="E67" s="158">
        <v>42826</v>
      </c>
      <c r="G67" s="145">
        <v>33</v>
      </c>
      <c r="H67" s="145">
        <v>0</v>
      </c>
      <c r="I67" s="49">
        <f t="shared" si="95"/>
        <v>46522</v>
      </c>
      <c r="J67" s="76">
        <v>1950000</v>
      </c>
      <c r="K67" s="40">
        <f t="shared" si="96"/>
        <v>33</v>
      </c>
      <c r="L67" s="74">
        <f t="shared" si="97"/>
        <v>1950000</v>
      </c>
      <c r="M67" s="76"/>
      <c r="N67" s="76">
        <f t="shared" si="98"/>
        <v>0</v>
      </c>
      <c r="O67" s="148"/>
      <c r="P67" s="148"/>
      <c r="Q67" s="148"/>
      <c r="R67" s="150"/>
      <c r="S67" s="150"/>
      <c r="T67" s="150"/>
      <c r="U67" s="150"/>
      <c r="V67" s="150"/>
      <c r="W67" s="150"/>
      <c r="X67" s="150"/>
      <c r="Y67" s="149"/>
      <c r="Z67" s="149">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1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64"/>
      <c r="B68" s="73">
        <f t="shared" si="94"/>
        <v>-59090.909090909088</v>
      </c>
      <c r="E68" s="158">
        <v>42826</v>
      </c>
      <c r="G68" s="145">
        <v>33</v>
      </c>
      <c r="H68" s="145">
        <v>0</v>
      </c>
      <c r="I68" s="49">
        <f t="shared" si="95"/>
        <v>46522</v>
      </c>
      <c r="J68" s="76">
        <v>1950000</v>
      </c>
      <c r="K68" s="40">
        <f t="shared" si="96"/>
        <v>33</v>
      </c>
      <c r="L68" s="74">
        <f t="shared" si="97"/>
        <v>1950000</v>
      </c>
      <c r="M68" s="76"/>
      <c r="N68" s="76">
        <f t="shared" si="98"/>
        <v>0</v>
      </c>
      <c r="O68" s="148"/>
      <c r="P68" s="148"/>
      <c r="Q68" s="148"/>
      <c r="R68" s="150"/>
      <c r="S68" s="150"/>
      <c r="T68" s="150"/>
      <c r="U68" s="150"/>
      <c r="V68" s="150"/>
      <c r="W68" s="150"/>
      <c r="X68" s="150"/>
      <c r="Y68" s="149"/>
      <c r="Z68" s="149">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1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64"/>
      <c r="B69" s="73">
        <f t="shared" si="94"/>
        <v>-59090.909090909088</v>
      </c>
      <c r="E69" s="158">
        <v>42826</v>
      </c>
      <c r="G69" s="145">
        <v>33</v>
      </c>
      <c r="H69" s="145">
        <v>0</v>
      </c>
      <c r="I69" s="49">
        <f t="shared" si="95"/>
        <v>46522</v>
      </c>
      <c r="J69" s="76">
        <v>1950000</v>
      </c>
      <c r="K69" s="40">
        <f t="shared" si="96"/>
        <v>33</v>
      </c>
      <c r="L69" s="74">
        <f t="shared" si="97"/>
        <v>1950000</v>
      </c>
      <c r="M69" s="76"/>
      <c r="N69" s="76">
        <f t="shared" si="98"/>
        <v>0</v>
      </c>
      <c r="O69" s="148"/>
      <c r="P69" s="148"/>
      <c r="Q69" s="148"/>
      <c r="R69" s="150"/>
      <c r="S69" s="150"/>
      <c r="T69" s="150"/>
      <c r="U69" s="150"/>
      <c r="V69" s="150"/>
      <c r="W69" s="150"/>
      <c r="X69" s="150"/>
      <c r="Y69" s="149"/>
      <c r="Z69" s="149">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1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64"/>
      <c r="B70" s="73">
        <f t="shared" si="94"/>
        <v>-59090.909090909088</v>
      </c>
      <c r="E70" s="158">
        <v>42826</v>
      </c>
      <c r="G70" s="145">
        <v>33</v>
      </c>
      <c r="H70" s="145">
        <v>0</v>
      </c>
      <c r="I70" s="49">
        <f t="shared" si="95"/>
        <v>46522</v>
      </c>
      <c r="J70" s="76">
        <v>1950000</v>
      </c>
      <c r="K70" s="40">
        <f t="shared" si="96"/>
        <v>33</v>
      </c>
      <c r="L70" s="74">
        <f t="shared" si="97"/>
        <v>1950000</v>
      </c>
      <c r="M70" s="76"/>
      <c r="N70" s="76">
        <f t="shared" si="98"/>
        <v>0</v>
      </c>
      <c r="O70" s="148"/>
      <c r="P70" s="148"/>
      <c r="Q70" s="148"/>
      <c r="R70" s="150"/>
      <c r="S70" s="150"/>
      <c r="T70" s="150"/>
      <c r="U70" s="150"/>
      <c r="V70" s="150"/>
      <c r="W70" s="150"/>
      <c r="X70" s="150"/>
      <c r="Y70" s="149"/>
      <c r="Z70" s="149">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1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64"/>
      <c r="B71" s="73">
        <f t="shared" si="94"/>
        <v>-59090.909090909088</v>
      </c>
      <c r="E71" s="158">
        <v>42826</v>
      </c>
      <c r="G71" s="145">
        <v>33</v>
      </c>
      <c r="H71" s="145">
        <v>0</v>
      </c>
      <c r="I71" s="49">
        <f t="shared" si="95"/>
        <v>46522</v>
      </c>
      <c r="J71" s="76">
        <v>1950000</v>
      </c>
      <c r="K71" s="40">
        <f t="shared" si="96"/>
        <v>33</v>
      </c>
      <c r="L71" s="74">
        <f t="shared" si="97"/>
        <v>1950000</v>
      </c>
      <c r="M71" s="76"/>
      <c r="N71" s="76">
        <f t="shared" si="98"/>
        <v>0</v>
      </c>
      <c r="O71" s="148"/>
      <c r="P71" s="148"/>
      <c r="Q71" s="148"/>
      <c r="R71" s="150"/>
      <c r="S71" s="150"/>
      <c r="T71" s="150"/>
      <c r="U71" s="150"/>
      <c r="V71" s="150"/>
      <c r="W71" s="150"/>
      <c r="X71" s="150"/>
      <c r="Y71" s="149"/>
      <c r="Z71" s="149">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1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64"/>
      <c r="B72" s="73">
        <f t="shared" si="94"/>
        <v>-59090.909090909088</v>
      </c>
      <c r="E72" s="158">
        <v>42826</v>
      </c>
      <c r="G72" s="145">
        <v>33</v>
      </c>
      <c r="H72" s="145">
        <v>0</v>
      </c>
      <c r="I72" s="49">
        <f t="shared" si="95"/>
        <v>46522</v>
      </c>
      <c r="J72" s="76">
        <v>1950000</v>
      </c>
      <c r="K72" s="40">
        <f t="shared" si="96"/>
        <v>33</v>
      </c>
      <c r="L72" s="74">
        <f t="shared" si="97"/>
        <v>1950000</v>
      </c>
      <c r="M72" s="76"/>
      <c r="N72" s="76">
        <f t="shared" si="98"/>
        <v>0</v>
      </c>
      <c r="O72" s="148"/>
      <c r="P72" s="148"/>
      <c r="Q72" s="148"/>
      <c r="R72" s="150"/>
      <c r="S72" s="150"/>
      <c r="T72" s="150"/>
      <c r="U72" s="150"/>
      <c r="V72" s="150"/>
      <c r="W72" s="150"/>
      <c r="X72" s="150"/>
      <c r="Y72" s="149"/>
      <c r="Z72" s="149">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1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64"/>
      <c r="B73" s="73">
        <f t="shared" si="94"/>
        <v>-59090.909090909088</v>
      </c>
      <c r="E73" s="158">
        <v>42826</v>
      </c>
      <c r="G73" s="145">
        <v>33</v>
      </c>
      <c r="H73" s="145">
        <v>0</v>
      </c>
      <c r="I73" s="49">
        <f t="shared" si="95"/>
        <v>46522</v>
      </c>
      <c r="J73" s="76">
        <v>1950000</v>
      </c>
      <c r="K73" s="40">
        <f t="shared" si="96"/>
        <v>33</v>
      </c>
      <c r="L73" s="74">
        <f t="shared" si="97"/>
        <v>1950000</v>
      </c>
      <c r="M73" s="76"/>
      <c r="N73" s="76">
        <f t="shared" si="98"/>
        <v>0</v>
      </c>
      <c r="O73" s="148"/>
      <c r="P73" s="148"/>
      <c r="Q73" s="148"/>
      <c r="R73" s="150"/>
      <c r="S73" s="150"/>
      <c r="T73" s="150"/>
      <c r="U73" s="150"/>
      <c r="V73" s="150"/>
      <c r="W73" s="150"/>
      <c r="X73" s="150"/>
      <c r="Y73" s="149"/>
      <c r="Z73" s="149">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1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64"/>
      <c r="B74" s="73">
        <f t="shared" si="94"/>
        <v>-59090.909090909088</v>
      </c>
      <c r="E74" s="158">
        <v>42826</v>
      </c>
      <c r="G74" s="145">
        <v>33</v>
      </c>
      <c r="H74" s="145">
        <v>0</v>
      </c>
      <c r="I74" s="49">
        <f t="shared" si="95"/>
        <v>46522</v>
      </c>
      <c r="J74" s="76">
        <v>1950000</v>
      </c>
      <c r="K74" s="40">
        <f t="shared" si="96"/>
        <v>33</v>
      </c>
      <c r="L74" s="74">
        <f t="shared" si="97"/>
        <v>1950000</v>
      </c>
      <c r="M74" s="76"/>
      <c r="N74" s="76">
        <f t="shared" si="98"/>
        <v>0</v>
      </c>
      <c r="O74" s="148"/>
      <c r="P74" s="148"/>
      <c r="Q74" s="148"/>
      <c r="R74" s="150"/>
      <c r="S74" s="150"/>
      <c r="T74" s="150"/>
      <c r="U74" s="150"/>
      <c r="V74" s="150"/>
      <c r="W74" s="150"/>
      <c r="X74" s="150"/>
      <c r="Y74" s="149"/>
      <c r="Z74" s="149">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1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64"/>
      <c r="B75" s="73">
        <f t="shared" si="94"/>
        <v>-59090.909090909088</v>
      </c>
      <c r="E75" s="158">
        <v>42826</v>
      </c>
      <c r="G75" s="145">
        <v>33</v>
      </c>
      <c r="H75" s="145">
        <v>0</v>
      </c>
      <c r="I75" s="49">
        <f t="shared" si="95"/>
        <v>46522</v>
      </c>
      <c r="J75" s="76">
        <v>1950000</v>
      </c>
      <c r="K75" s="40">
        <f t="shared" si="96"/>
        <v>33</v>
      </c>
      <c r="L75" s="74">
        <f t="shared" si="97"/>
        <v>1950000</v>
      </c>
      <c r="M75" s="76"/>
      <c r="N75" s="76">
        <f t="shared" si="98"/>
        <v>0</v>
      </c>
      <c r="O75" s="148"/>
      <c r="P75" s="148"/>
      <c r="Q75" s="148"/>
      <c r="R75" s="150"/>
      <c r="S75" s="150"/>
      <c r="T75" s="150"/>
      <c r="U75" s="150"/>
      <c r="V75" s="150"/>
      <c r="W75" s="150"/>
      <c r="X75" s="150"/>
      <c r="Y75" s="149"/>
      <c r="Z75" s="149">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1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64"/>
      <c r="B76" s="73">
        <f t="shared" si="94"/>
        <v>-59090.909090909088</v>
      </c>
      <c r="E76" s="158">
        <v>42826</v>
      </c>
      <c r="G76" s="145">
        <v>33</v>
      </c>
      <c r="H76" s="145">
        <v>0</v>
      </c>
      <c r="I76" s="49">
        <f t="shared" si="95"/>
        <v>46522</v>
      </c>
      <c r="J76" s="76">
        <v>1950000</v>
      </c>
      <c r="K76" s="40">
        <f t="shared" si="96"/>
        <v>33</v>
      </c>
      <c r="L76" s="74">
        <f t="shared" si="97"/>
        <v>1950000</v>
      </c>
      <c r="M76" s="76"/>
      <c r="N76" s="76">
        <f t="shared" si="98"/>
        <v>0</v>
      </c>
      <c r="O76" s="148"/>
      <c r="P76" s="148"/>
      <c r="Q76" s="148"/>
      <c r="R76" s="150"/>
      <c r="S76" s="150"/>
      <c r="T76" s="150"/>
      <c r="U76" s="150"/>
      <c r="V76" s="150"/>
      <c r="W76" s="150"/>
      <c r="X76" s="150"/>
      <c r="Y76" s="149"/>
      <c r="Z76" s="149">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1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64"/>
      <c r="B77" s="73">
        <f t="shared" si="94"/>
        <v>-59090.909090909088</v>
      </c>
      <c r="E77" s="158">
        <v>42826</v>
      </c>
      <c r="G77" s="145">
        <v>33</v>
      </c>
      <c r="H77" s="145">
        <v>0</v>
      </c>
      <c r="I77" s="49">
        <f t="shared" si="95"/>
        <v>46522</v>
      </c>
      <c r="J77" s="76">
        <v>1950000</v>
      </c>
      <c r="K77" s="40">
        <f t="shared" si="96"/>
        <v>33</v>
      </c>
      <c r="L77" s="74">
        <f t="shared" si="97"/>
        <v>1950000</v>
      </c>
      <c r="M77" s="76"/>
      <c r="N77" s="76">
        <f t="shared" si="98"/>
        <v>0</v>
      </c>
      <c r="O77" s="148"/>
      <c r="P77" s="148"/>
      <c r="Q77" s="148"/>
      <c r="R77" s="150"/>
      <c r="S77" s="150"/>
      <c r="T77" s="150"/>
      <c r="U77" s="150"/>
      <c r="V77" s="150"/>
      <c r="W77" s="150"/>
      <c r="X77" s="150"/>
      <c r="Y77" s="149"/>
      <c r="Z77" s="149">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1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64"/>
      <c r="B78" s="73">
        <f t="shared" si="94"/>
        <v>-59090.909090909088</v>
      </c>
      <c r="E78" s="158">
        <v>42826</v>
      </c>
      <c r="G78" s="145">
        <v>33</v>
      </c>
      <c r="H78" s="145">
        <v>0</v>
      </c>
      <c r="I78" s="49">
        <f t="shared" si="95"/>
        <v>46522</v>
      </c>
      <c r="J78" s="76">
        <v>1950000</v>
      </c>
      <c r="K78" s="40">
        <f t="shared" si="96"/>
        <v>33</v>
      </c>
      <c r="L78" s="74">
        <f t="shared" si="97"/>
        <v>1950000</v>
      </c>
      <c r="M78" s="76"/>
      <c r="N78" s="76">
        <f t="shared" si="98"/>
        <v>0</v>
      </c>
      <c r="O78" s="148"/>
      <c r="P78" s="148"/>
      <c r="Q78" s="148"/>
      <c r="R78" s="150"/>
      <c r="S78" s="150"/>
      <c r="T78" s="150"/>
      <c r="U78" s="150"/>
      <c r="V78" s="150"/>
      <c r="W78" s="150"/>
      <c r="X78" s="150"/>
      <c r="Y78" s="149"/>
      <c r="Z78" s="149">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1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64"/>
      <c r="B79" s="73">
        <f t="shared" si="94"/>
        <v>-59090.909090909088</v>
      </c>
      <c r="E79" s="158">
        <v>42826</v>
      </c>
      <c r="G79" s="145">
        <v>33</v>
      </c>
      <c r="H79" s="145">
        <v>0</v>
      </c>
      <c r="I79" s="49">
        <f t="shared" si="95"/>
        <v>46522</v>
      </c>
      <c r="J79" s="76">
        <v>1950000</v>
      </c>
      <c r="K79" s="40">
        <f t="shared" si="96"/>
        <v>33</v>
      </c>
      <c r="L79" s="74">
        <f t="shared" si="97"/>
        <v>1950000</v>
      </c>
      <c r="M79" s="76"/>
      <c r="N79" s="76">
        <f t="shared" si="98"/>
        <v>0</v>
      </c>
      <c r="O79" s="148"/>
      <c r="P79" s="148"/>
      <c r="Q79" s="148"/>
      <c r="R79" s="150"/>
      <c r="S79" s="150"/>
      <c r="T79" s="150"/>
      <c r="U79" s="150"/>
      <c r="V79" s="150"/>
      <c r="W79" s="150"/>
      <c r="X79" s="150"/>
      <c r="Y79" s="149"/>
      <c r="Z79" s="149">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1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64"/>
      <c r="B80" s="73">
        <f t="shared" si="94"/>
        <v>-59090.909090909088</v>
      </c>
      <c r="E80" s="158">
        <v>42826</v>
      </c>
      <c r="G80" s="145">
        <v>33</v>
      </c>
      <c r="H80" s="145">
        <v>0</v>
      </c>
      <c r="I80" s="49">
        <f t="shared" si="95"/>
        <v>46522</v>
      </c>
      <c r="J80" s="76">
        <v>1950000</v>
      </c>
      <c r="K80" s="40">
        <f t="shared" si="96"/>
        <v>33</v>
      </c>
      <c r="L80" s="74">
        <f t="shared" si="97"/>
        <v>1950000</v>
      </c>
      <c r="M80" s="76"/>
      <c r="N80" s="76">
        <f t="shared" si="98"/>
        <v>0</v>
      </c>
      <c r="O80" s="148"/>
      <c r="P80" s="148"/>
      <c r="Q80" s="148"/>
      <c r="R80" s="150"/>
      <c r="S80" s="150"/>
      <c r="T80" s="150"/>
      <c r="U80" s="150"/>
      <c r="V80" s="150"/>
      <c r="W80" s="150"/>
      <c r="X80" s="150"/>
      <c r="Y80" s="149"/>
      <c r="Z80" s="149">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1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64"/>
      <c r="B81" s="73">
        <f t="shared" si="94"/>
        <v>-59090.909090909088</v>
      </c>
      <c r="E81" s="158">
        <v>42826</v>
      </c>
      <c r="G81" s="145">
        <v>33</v>
      </c>
      <c r="H81" s="145">
        <v>0</v>
      </c>
      <c r="I81" s="49">
        <f t="shared" si="95"/>
        <v>46522</v>
      </c>
      <c r="J81" s="76">
        <v>1950000</v>
      </c>
      <c r="K81" s="40">
        <f t="shared" si="96"/>
        <v>33</v>
      </c>
      <c r="L81" s="74">
        <f t="shared" si="97"/>
        <v>1950000</v>
      </c>
      <c r="M81" s="76"/>
      <c r="N81" s="76">
        <f t="shared" si="98"/>
        <v>0</v>
      </c>
      <c r="O81" s="148"/>
      <c r="P81" s="148"/>
      <c r="Q81" s="148"/>
      <c r="R81" s="150"/>
      <c r="S81" s="150"/>
      <c r="T81" s="150"/>
      <c r="U81" s="150"/>
      <c r="V81" s="150"/>
      <c r="W81" s="150"/>
      <c r="X81" s="150"/>
      <c r="Y81" s="149"/>
      <c r="Z81" s="149">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1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64"/>
      <c r="B82" s="73">
        <f t="shared" si="94"/>
        <v>-59090.909090909088</v>
      </c>
      <c r="E82" s="158">
        <v>42826</v>
      </c>
      <c r="G82" s="145">
        <v>33</v>
      </c>
      <c r="H82" s="145">
        <v>0</v>
      </c>
      <c r="I82" s="49">
        <f t="shared" si="95"/>
        <v>46522</v>
      </c>
      <c r="J82" s="76">
        <v>1950000</v>
      </c>
      <c r="K82" s="40">
        <f t="shared" si="96"/>
        <v>33</v>
      </c>
      <c r="L82" s="74">
        <f t="shared" si="97"/>
        <v>1950000</v>
      </c>
      <c r="M82" s="76"/>
      <c r="N82" s="76">
        <f t="shared" si="98"/>
        <v>0</v>
      </c>
      <c r="O82" s="148"/>
      <c r="P82" s="148"/>
      <c r="Q82" s="148"/>
      <c r="R82" s="150"/>
      <c r="S82" s="150"/>
      <c r="T82" s="150"/>
      <c r="U82" s="150"/>
      <c r="V82" s="150"/>
      <c r="W82" s="150"/>
      <c r="X82" s="150"/>
      <c r="Y82" s="149"/>
      <c r="Z82" s="149">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1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64"/>
      <c r="B83" s="73">
        <f t="shared" si="94"/>
        <v>-59090.909090909088</v>
      </c>
      <c r="E83" s="158">
        <v>42826</v>
      </c>
      <c r="G83" s="145">
        <v>33</v>
      </c>
      <c r="H83" s="145">
        <v>0</v>
      </c>
      <c r="I83" s="49">
        <f t="shared" si="95"/>
        <v>46522</v>
      </c>
      <c r="J83" s="76">
        <v>1950000</v>
      </c>
      <c r="K83" s="40">
        <f t="shared" si="96"/>
        <v>33</v>
      </c>
      <c r="L83" s="74">
        <f t="shared" si="97"/>
        <v>1950000</v>
      </c>
      <c r="M83" s="76"/>
      <c r="N83" s="76">
        <f t="shared" si="98"/>
        <v>0</v>
      </c>
      <c r="O83" s="148"/>
      <c r="P83" s="148"/>
      <c r="Q83" s="148"/>
      <c r="R83" s="150"/>
      <c r="S83" s="150"/>
      <c r="T83" s="150"/>
      <c r="U83" s="150"/>
      <c r="V83" s="150"/>
      <c r="W83" s="150"/>
      <c r="X83" s="150"/>
      <c r="Y83" s="149"/>
      <c r="Z83" s="149">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1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64"/>
      <c r="B84" s="73">
        <f t="shared" si="94"/>
        <v>-59090.909090909088</v>
      </c>
      <c r="E84" s="158">
        <v>42826</v>
      </c>
      <c r="G84" s="145">
        <v>33</v>
      </c>
      <c r="H84" s="145">
        <v>0</v>
      </c>
      <c r="I84" s="49">
        <f t="shared" si="95"/>
        <v>46522</v>
      </c>
      <c r="J84" s="76">
        <v>1950000</v>
      </c>
      <c r="K84" s="40">
        <f t="shared" si="96"/>
        <v>33</v>
      </c>
      <c r="L84" s="74">
        <f t="shared" si="97"/>
        <v>1950000</v>
      </c>
      <c r="M84" s="76"/>
      <c r="N84" s="76">
        <f t="shared" si="98"/>
        <v>0</v>
      </c>
      <c r="O84" s="148"/>
      <c r="P84" s="148"/>
      <c r="Q84" s="148"/>
      <c r="R84" s="150"/>
      <c r="S84" s="150"/>
      <c r="T84" s="150"/>
      <c r="U84" s="150"/>
      <c r="V84" s="150"/>
      <c r="W84" s="150"/>
      <c r="X84" s="150"/>
      <c r="Y84" s="149"/>
      <c r="Z84" s="149">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1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64"/>
      <c r="B85" s="73">
        <f t="shared" si="94"/>
        <v>-59090.909090909088</v>
      </c>
      <c r="E85" s="158">
        <v>42826</v>
      </c>
      <c r="G85" s="145">
        <v>33</v>
      </c>
      <c r="H85" s="145">
        <v>0</v>
      </c>
      <c r="I85" s="49">
        <f t="shared" si="95"/>
        <v>46522</v>
      </c>
      <c r="J85" s="76">
        <v>1950000</v>
      </c>
      <c r="K85" s="40">
        <f t="shared" si="96"/>
        <v>33</v>
      </c>
      <c r="L85" s="74">
        <f t="shared" si="97"/>
        <v>1950000</v>
      </c>
      <c r="M85" s="76"/>
      <c r="N85" s="76">
        <f t="shared" si="98"/>
        <v>0</v>
      </c>
      <c r="O85" s="148"/>
      <c r="P85" s="148"/>
      <c r="Q85" s="148"/>
      <c r="R85" s="150"/>
      <c r="S85" s="150"/>
      <c r="T85" s="150"/>
      <c r="U85" s="150"/>
      <c r="V85" s="150"/>
      <c r="W85" s="150"/>
      <c r="X85" s="150"/>
      <c r="Y85" s="149"/>
      <c r="Z85" s="149">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1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64"/>
      <c r="B86" s="73">
        <f t="shared" si="94"/>
        <v>-59090.909090909088</v>
      </c>
      <c r="E86" s="158">
        <v>42826</v>
      </c>
      <c r="G86" s="145">
        <v>33</v>
      </c>
      <c r="H86" s="145">
        <v>0</v>
      </c>
      <c r="I86" s="49">
        <f t="shared" si="95"/>
        <v>46522</v>
      </c>
      <c r="J86" s="76">
        <v>1950000</v>
      </c>
      <c r="K86" s="40">
        <f t="shared" si="96"/>
        <v>33</v>
      </c>
      <c r="L86" s="74">
        <f t="shared" si="97"/>
        <v>1950000</v>
      </c>
      <c r="M86" s="76"/>
      <c r="N86" s="76">
        <f t="shared" si="98"/>
        <v>0</v>
      </c>
      <c r="O86" s="148"/>
      <c r="P86" s="148"/>
      <c r="Q86" s="148"/>
      <c r="R86" s="150"/>
      <c r="S86" s="150"/>
      <c r="T86" s="150"/>
      <c r="U86" s="150"/>
      <c r="V86" s="150"/>
      <c r="W86" s="150"/>
      <c r="X86" s="150"/>
      <c r="Y86" s="149"/>
      <c r="Z86" s="149">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1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64"/>
      <c r="B87" s="73">
        <f t="shared" si="94"/>
        <v>-59090.909090909088</v>
      </c>
      <c r="E87" s="158">
        <v>42826</v>
      </c>
      <c r="G87" s="145">
        <v>33</v>
      </c>
      <c r="H87" s="145">
        <v>0</v>
      </c>
      <c r="I87" s="49">
        <f t="shared" si="95"/>
        <v>46522</v>
      </c>
      <c r="J87" s="76">
        <v>1950000</v>
      </c>
      <c r="K87" s="40">
        <f t="shared" si="96"/>
        <v>33</v>
      </c>
      <c r="L87" s="74">
        <f t="shared" si="97"/>
        <v>1950000</v>
      </c>
      <c r="M87" s="76"/>
      <c r="N87" s="76">
        <f t="shared" si="98"/>
        <v>0</v>
      </c>
      <c r="O87" s="148"/>
      <c r="P87" s="148"/>
      <c r="Q87" s="148"/>
      <c r="R87" s="150"/>
      <c r="S87" s="150"/>
      <c r="T87" s="150"/>
      <c r="U87" s="150"/>
      <c r="V87" s="150"/>
      <c r="W87" s="150"/>
      <c r="X87" s="150"/>
      <c r="Y87" s="149"/>
      <c r="Z87" s="149">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1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64"/>
      <c r="B88" s="73">
        <f t="shared" si="94"/>
        <v>-59090.909090909088</v>
      </c>
      <c r="E88" s="158">
        <v>42826</v>
      </c>
      <c r="G88" s="145">
        <v>33</v>
      </c>
      <c r="H88" s="145">
        <v>0</v>
      </c>
      <c r="I88" s="49">
        <f t="shared" si="95"/>
        <v>46522</v>
      </c>
      <c r="J88" s="76">
        <v>1950000</v>
      </c>
      <c r="K88" s="40">
        <f t="shared" si="96"/>
        <v>33</v>
      </c>
      <c r="L88" s="74">
        <f t="shared" si="97"/>
        <v>1950000</v>
      </c>
      <c r="M88" s="76"/>
      <c r="N88" s="76">
        <f t="shared" si="98"/>
        <v>0</v>
      </c>
      <c r="O88" s="148"/>
      <c r="P88" s="148"/>
      <c r="Q88" s="148"/>
      <c r="R88" s="150"/>
      <c r="S88" s="150"/>
      <c r="T88" s="150"/>
      <c r="U88" s="150"/>
      <c r="V88" s="150"/>
      <c r="W88" s="150"/>
      <c r="X88" s="150"/>
      <c r="Y88" s="149"/>
      <c r="Z88" s="149">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1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64"/>
      <c r="B89" s="73">
        <f t="shared" si="94"/>
        <v>-59090.909090909088</v>
      </c>
      <c r="E89" s="158">
        <v>42826</v>
      </c>
      <c r="G89" s="145">
        <v>33</v>
      </c>
      <c r="H89" s="145">
        <v>0</v>
      </c>
      <c r="I89" s="49">
        <f t="shared" si="95"/>
        <v>46522</v>
      </c>
      <c r="J89" s="76">
        <v>1950000</v>
      </c>
      <c r="K89" s="40">
        <f t="shared" si="96"/>
        <v>33</v>
      </c>
      <c r="L89" s="74">
        <f t="shared" si="97"/>
        <v>1950000</v>
      </c>
      <c r="M89" s="76"/>
      <c r="N89" s="76">
        <f t="shared" si="98"/>
        <v>0</v>
      </c>
      <c r="O89" s="148"/>
      <c r="P89" s="148"/>
      <c r="Q89" s="148"/>
      <c r="R89" s="150"/>
      <c r="S89" s="150"/>
      <c r="T89" s="150"/>
      <c r="U89" s="150"/>
      <c r="V89" s="150"/>
      <c r="W89" s="150"/>
      <c r="X89" s="150"/>
      <c r="Y89" s="149"/>
      <c r="Z89" s="149">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1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64"/>
      <c r="B90" s="73">
        <f t="shared" si="94"/>
        <v>-59090.909090909088</v>
      </c>
      <c r="E90" s="158">
        <v>42826</v>
      </c>
      <c r="G90" s="145">
        <v>33</v>
      </c>
      <c r="H90" s="145">
        <v>0</v>
      </c>
      <c r="I90" s="49">
        <f t="shared" si="95"/>
        <v>46522</v>
      </c>
      <c r="J90" s="76">
        <v>1950000</v>
      </c>
      <c r="K90" s="40">
        <f t="shared" si="96"/>
        <v>33</v>
      </c>
      <c r="L90" s="74">
        <f t="shared" si="97"/>
        <v>1950000</v>
      </c>
      <c r="M90" s="76"/>
      <c r="N90" s="76">
        <f t="shared" si="98"/>
        <v>0</v>
      </c>
      <c r="O90" s="148"/>
      <c r="P90" s="148"/>
      <c r="Q90" s="148"/>
      <c r="R90" s="150"/>
      <c r="S90" s="150"/>
      <c r="T90" s="150"/>
      <c r="U90" s="150"/>
      <c r="V90" s="150"/>
      <c r="W90" s="150"/>
      <c r="X90" s="150"/>
      <c r="Y90" s="149"/>
      <c r="Z90" s="149">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1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64"/>
      <c r="B91" s="73">
        <f t="shared" si="94"/>
        <v>-59090.909090909088</v>
      </c>
      <c r="E91" s="158">
        <v>42826</v>
      </c>
      <c r="G91" s="145">
        <v>33</v>
      </c>
      <c r="H91" s="145">
        <v>0</v>
      </c>
      <c r="I91" s="49">
        <f t="shared" si="95"/>
        <v>46522</v>
      </c>
      <c r="J91" s="76">
        <v>1950000</v>
      </c>
      <c r="K91" s="40">
        <f t="shared" si="96"/>
        <v>33</v>
      </c>
      <c r="L91" s="74">
        <f t="shared" si="97"/>
        <v>1950000</v>
      </c>
      <c r="M91" s="76"/>
      <c r="N91" s="76">
        <f t="shared" si="98"/>
        <v>0</v>
      </c>
      <c r="O91" s="148"/>
      <c r="P91" s="148"/>
      <c r="Q91" s="148"/>
      <c r="R91" s="150"/>
      <c r="S91" s="150"/>
      <c r="T91" s="150"/>
      <c r="U91" s="150"/>
      <c r="V91" s="150"/>
      <c r="W91" s="150"/>
      <c r="X91" s="150"/>
      <c r="Y91" s="149"/>
      <c r="Z91" s="149">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1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64"/>
      <c r="B92" s="73">
        <f t="shared" si="94"/>
        <v>-59090.909090909088</v>
      </c>
      <c r="E92" s="158">
        <v>42826</v>
      </c>
      <c r="G92" s="145">
        <v>33</v>
      </c>
      <c r="H92" s="145">
        <v>0</v>
      </c>
      <c r="I92" s="49">
        <f t="shared" si="95"/>
        <v>46522</v>
      </c>
      <c r="J92" s="76">
        <v>1950000</v>
      </c>
      <c r="K92" s="40">
        <f t="shared" si="96"/>
        <v>33</v>
      </c>
      <c r="L92" s="74">
        <f t="shared" si="97"/>
        <v>1950000</v>
      </c>
      <c r="M92" s="76"/>
      <c r="N92" s="76">
        <f t="shared" si="98"/>
        <v>0</v>
      </c>
      <c r="O92" s="148"/>
      <c r="P92" s="148"/>
      <c r="Q92" s="148"/>
      <c r="R92" s="150"/>
      <c r="S92" s="150"/>
      <c r="T92" s="150"/>
      <c r="U92" s="150"/>
      <c r="V92" s="150"/>
      <c r="W92" s="150"/>
      <c r="X92" s="150"/>
      <c r="Y92" s="149"/>
      <c r="Z92" s="149">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1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64"/>
      <c r="B93" s="73">
        <f t="shared" ref="B93:B156" si="119">(N93+F93-J93)/K93</f>
        <v>-59090.909090909088</v>
      </c>
      <c r="E93" s="158">
        <v>42826</v>
      </c>
      <c r="G93" s="145">
        <v>33</v>
      </c>
      <c r="H93" s="145">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8"/>
      <c r="P93" s="148"/>
      <c r="Q93" s="148"/>
      <c r="R93" s="150"/>
      <c r="S93" s="150"/>
      <c r="T93" s="150"/>
      <c r="U93" s="150"/>
      <c r="V93" s="150"/>
      <c r="W93" s="150"/>
      <c r="X93" s="150"/>
      <c r="Y93" s="149"/>
      <c r="Z93" s="149">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1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64"/>
      <c r="B94" s="73">
        <f t="shared" si="119"/>
        <v>-59090.909090909088</v>
      </c>
      <c r="E94" s="158">
        <v>42826</v>
      </c>
      <c r="G94" s="145">
        <v>33</v>
      </c>
      <c r="H94" s="145">
        <v>0</v>
      </c>
      <c r="I94" s="49">
        <f t="shared" si="120"/>
        <v>46522</v>
      </c>
      <c r="J94" s="76">
        <v>1950000</v>
      </c>
      <c r="K94" s="40">
        <f t="shared" si="121"/>
        <v>33</v>
      </c>
      <c r="L94" s="74">
        <f t="shared" si="122"/>
        <v>1950000</v>
      </c>
      <c r="M94" s="76"/>
      <c r="N94" s="76">
        <f t="shared" si="123"/>
        <v>0</v>
      </c>
      <c r="O94" s="148"/>
      <c r="P94" s="148"/>
      <c r="Q94" s="148"/>
      <c r="R94" s="150"/>
      <c r="S94" s="150"/>
      <c r="T94" s="150"/>
      <c r="U94" s="150"/>
      <c r="V94" s="150"/>
      <c r="W94" s="150"/>
      <c r="X94" s="150"/>
      <c r="Y94" s="149"/>
      <c r="Z94" s="149">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1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64"/>
      <c r="B95" s="73">
        <f t="shared" si="119"/>
        <v>-59090.909090909088</v>
      </c>
      <c r="E95" s="158">
        <v>42826</v>
      </c>
      <c r="G95" s="145">
        <v>33</v>
      </c>
      <c r="H95" s="145">
        <v>0</v>
      </c>
      <c r="I95" s="49">
        <f t="shared" si="120"/>
        <v>46522</v>
      </c>
      <c r="J95" s="76">
        <v>1950000</v>
      </c>
      <c r="K95" s="40">
        <f t="shared" si="121"/>
        <v>33</v>
      </c>
      <c r="L95" s="74">
        <f t="shared" si="122"/>
        <v>1950000</v>
      </c>
      <c r="M95" s="76"/>
      <c r="N95" s="76">
        <f t="shared" si="123"/>
        <v>0</v>
      </c>
      <c r="O95" s="148"/>
      <c r="P95" s="148"/>
      <c r="Q95" s="148"/>
      <c r="R95" s="150"/>
      <c r="S95" s="150"/>
      <c r="T95" s="150"/>
      <c r="U95" s="150"/>
      <c r="V95" s="150"/>
      <c r="W95" s="150"/>
      <c r="X95" s="150"/>
      <c r="Y95" s="149"/>
      <c r="Z95" s="149">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1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64"/>
      <c r="B96" s="73">
        <f t="shared" si="119"/>
        <v>-59090.909090909088</v>
      </c>
      <c r="E96" s="158">
        <v>42826</v>
      </c>
      <c r="G96" s="145">
        <v>33</v>
      </c>
      <c r="H96" s="145">
        <v>0</v>
      </c>
      <c r="I96" s="49">
        <f t="shared" si="120"/>
        <v>46522</v>
      </c>
      <c r="J96" s="76">
        <v>1950000</v>
      </c>
      <c r="K96" s="40">
        <f t="shared" si="121"/>
        <v>33</v>
      </c>
      <c r="L96" s="74">
        <f t="shared" si="122"/>
        <v>1950000</v>
      </c>
      <c r="M96" s="76"/>
      <c r="N96" s="76">
        <f t="shared" si="123"/>
        <v>0</v>
      </c>
      <c r="O96" s="148"/>
      <c r="P96" s="148"/>
      <c r="Q96" s="148"/>
      <c r="R96" s="150"/>
      <c r="S96" s="150"/>
      <c r="T96" s="150"/>
      <c r="U96" s="150"/>
      <c r="V96" s="150"/>
      <c r="W96" s="150"/>
      <c r="X96" s="150"/>
      <c r="Y96" s="149"/>
      <c r="Z96" s="149">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1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64"/>
      <c r="B97" s="73">
        <f t="shared" si="119"/>
        <v>-59090.909090909088</v>
      </c>
      <c r="E97" s="158">
        <v>42826</v>
      </c>
      <c r="G97" s="145">
        <v>33</v>
      </c>
      <c r="H97" s="145">
        <v>0</v>
      </c>
      <c r="I97" s="49">
        <f t="shared" si="120"/>
        <v>46522</v>
      </c>
      <c r="J97" s="76">
        <v>1950000</v>
      </c>
      <c r="K97" s="40">
        <f t="shared" si="121"/>
        <v>33</v>
      </c>
      <c r="L97" s="74">
        <f t="shared" si="122"/>
        <v>1950000</v>
      </c>
      <c r="M97" s="76"/>
      <c r="N97" s="76">
        <f t="shared" si="123"/>
        <v>0</v>
      </c>
      <c r="O97" s="148"/>
      <c r="P97" s="148"/>
      <c r="Q97" s="148"/>
      <c r="R97" s="150"/>
      <c r="S97" s="150"/>
      <c r="T97" s="150"/>
      <c r="U97" s="150"/>
      <c r="V97" s="150"/>
      <c r="W97" s="150"/>
      <c r="X97" s="150"/>
      <c r="Y97" s="149"/>
      <c r="Z97" s="149">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1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64"/>
      <c r="B98" s="73">
        <f t="shared" si="119"/>
        <v>-59090.909090909088</v>
      </c>
      <c r="E98" s="158">
        <v>42826</v>
      </c>
      <c r="G98" s="145">
        <v>33</v>
      </c>
      <c r="H98" s="145">
        <v>0</v>
      </c>
      <c r="I98" s="49">
        <f t="shared" si="120"/>
        <v>46522</v>
      </c>
      <c r="J98" s="76">
        <v>1950000</v>
      </c>
      <c r="K98" s="40">
        <f t="shared" si="121"/>
        <v>33</v>
      </c>
      <c r="L98" s="74">
        <f t="shared" si="122"/>
        <v>1950000</v>
      </c>
      <c r="M98" s="76"/>
      <c r="N98" s="76">
        <f t="shared" si="123"/>
        <v>0</v>
      </c>
      <c r="O98" s="148"/>
      <c r="P98" s="148"/>
      <c r="Q98" s="148"/>
      <c r="R98" s="150"/>
      <c r="S98" s="150"/>
      <c r="T98" s="150"/>
      <c r="U98" s="150"/>
      <c r="V98" s="150"/>
      <c r="W98" s="150"/>
      <c r="X98" s="150"/>
      <c r="Y98" s="149"/>
      <c r="Z98" s="149">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1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64"/>
      <c r="B99" s="73">
        <f t="shared" si="119"/>
        <v>-59090.909090909088</v>
      </c>
      <c r="E99" s="158">
        <v>42826</v>
      </c>
      <c r="G99" s="145">
        <v>33</v>
      </c>
      <c r="H99" s="145">
        <v>0</v>
      </c>
      <c r="I99" s="49">
        <f t="shared" si="120"/>
        <v>46522</v>
      </c>
      <c r="J99" s="76">
        <v>1950000</v>
      </c>
      <c r="K99" s="40">
        <f t="shared" si="121"/>
        <v>33</v>
      </c>
      <c r="L99" s="74">
        <f t="shared" si="122"/>
        <v>1950000</v>
      </c>
      <c r="M99" s="76"/>
      <c r="N99" s="76">
        <f t="shared" si="123"/>
        <v>0</v>
      </c>
      <c r="O99" s="148"/>
      <c r="P99" s="148"/>
      <c r="Q99" s="148"/>
      <c r="R99" s="150"/>
      <c r="S99" s="150"/>
      <c r="T99" s="150"/>
      <c r="U99" s="150"/>
      <c r="V99" s="150"/>
      <c r="W99" s="150"/>
      <c r="X99" s="150"/>
      <c r="Y99" s="149"/>
      <c r="Z99" s="149">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1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64"/>
      <c r="B100" s="73">
        <f t="shared" si="119"/>
        <v>-59090.909090909088</v>
      </c>
      <c r="E100" s="158">
        <v>42826</v>
      </c>
      <c r="G100" s="145">
        <v>33</v>
      </c>
      <c r="H100" s="145">
        <v>0</v>
      </c>
      <c r="I100" s="49">
        <f t="shared" si="120"/>
        <v>46522</v>
      </c>
      <c r="J100" s="76">
        <v>1950000</v>
      </c>
      <c r="K100" s="40">
        <f t="shared" si="121"/>
        <v>33</v>
      </c>
      <c r="L100" s="74">
        <f t="shared" si="122"/>
        <v>1950000</v>
      </c>
      <c r="M100" s="76"/>
      <c r="N100" s="76">
        <f t="shared" si="123"/>
        <v>0</v>
      </c>
      <c r="O100" s="148"/>
      <c r="P100" s="148"/>
      <c r="Q100" s="148"/>
      <c r="R100" s="150"/>
      <c r="S100" s="150"/>
      <c r="T100" s="150"/>
      <c r="U100" s="150"/>
      <c r="V100" s="150"/>
      <c r="W100" s="150"/>
      <c r="X100" s="150"/>
      <c r="Y100" s="149"/>
      <c r="Z100" s="149">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1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64"/>
      <c r="B101" s="73">
        <f t="shared" si="119"/>
        <v>-59090.909090909088</v>
      </c>
      <c r="E101" s="158">
        <v>42826</v>
      </c>
      <c r="G101" s="145">
        <v>33</v>
      </c>
      <c r="H101" s="145">
        <v>0</v>
      </c>
      <c r="I101" s="49">
        <f t="shared" si="120"/>
        <v>46522</v>
      </c>
      <c r="J101" s="76">
        <v>1950000</v>
      </c>
      <c r="K101" s="40">
        <f t="shared" si="121"/>
        <v>33</v>
      </c>
      <c r="L101" s="74">
        <f t="shared" si="122"/>
        <v>1950000</v>
      </c>
      <c r="M101" s="76"/>
      <c r="N101" s="76">
        <f t="shared" si="123"/>
        <v>0</v>
      </c>
      <c r="O101" s="148"/>
      <c r="P101" s="148"/>
      <c r="Q101" s="148"/>
      <c r="R101" s="150"/>
      <c r="S101" s="150"/>
      <c r="T101" s="150"/>
      <c r="U101" s="150"/>
      <c r="V101" s="150"/>
      <c r="W101" s="150"/>
      <c r="X101" s="150"/>
      <c r="Y101" s="149"/>
      <c r="Z101" s="149">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1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64"/>
      <c r="B102" s="73">
        <f t="shared" si="119"/>
        <v>-59090.909090909088</v>
      </c>
      <c r="E102" s="158">
        <v>42826</v>
      </c>
      <c r="G102" s="145">
        <v>33</v>
      </c>
      <c r="H102" s="145">
        <v>0</v>
      </c>
      <c r="I102" s="49">
        <f t="shared" si="120"/>
        <v>46522</v>
      </c>
      <c r="J102" s="76">
        <v>1950000</v>
      </c>
      <c r="K102" s="40">
        <f t="shared" si="121"/>
        <v>33</v>
      </c>
      <c r="L102" s="74">
        <f t="shared" si="122"/>
        <v>1950000</v>
      </c>
      <c r="M102" s="76"/>
      <c r="N102" s="76">
        <f t="shared" si="123"/>
        <v>0</v>
      </c>
      <c r="O102" s="148"/>
      <c r="P102" s="148"/>
      <c r="Q102" s="148"/>
      <c r="R102" s="150"/>
      <c r="S102" s="150"/>
      <c r="T102" s="150"/>
      <c r="U102" s="150"/>
      <c r="V102" s="150"/>
      <c r="W102" s="150"/>
      <c r="X102" s="150"/>
      <c r="Y102" s="149"/>
      <c r="Z102" s="149">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1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64"/>
      <c r="B103" s="73">
        <f t="shared" si="119"/>
        <v>-59090.909090909088</v>
      </c>
      <c r="E103" s="158">
        <v>42826</v>
      </c>
      <c r="G103" s="145">
        <v>33</v>
      </c>
      <c r="H103" s="145">
        <v>0</v>
      </c>
      <c r="I103" s="49">
        <f t="shared" si="120"/>
        <v>46522</v>
      </c>
      <c r="J103" s="76">
        <v>1950000</v>
      </c>
      <c r="K103" s="40">
        <f t="shared" si="121"/>
        <v>33</v>
      </c>
      <c r="L103" s="74">
        <f t="shared" si="122"/>
        <v>1950000</v>
      </c>
      <c r="M103" s="76"/>
      <c r="N103" s="76">
        <f t="shared" si="123"/>
        <v>0</v>
      </c>
      <c r="O103" s="148"/>
      <c r="P103" s="148"/>
      <c r="Q103" s="148"/>
      <c r="R103" s="150"/>
      <c r="S103" s="150"/>
      <c r="T103" s="150"/>
      <c r="U103" s="150"/>
      <c r="V103" s="150"/>
      <c r="W103" s="150"/>
      <c r="X103" s="150"/>
      <c r="Y103" s="149"/>
      <c r="Z103" s="149">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1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64"/>
      <c r="B104" s="73">
        <f t="shared" si="119"/>
        <v>-59090.909090909088</v>
      </c>
      <c r="E104" s="158">
        <v>42826</v>
      </c>
      <c r="G104" s="145">
        <v>33</v>
      </c>
      <c r="H104" s="145">
        <v>0</v>
      </c>
      <c r="I104" s="49">
        <f t="shared" si="120"/>
        <v>46522</v>
      </c>
      <c r="J104" s="76">
        <v>1950000</v>
      </c>
      <c r="K104" s="40">
        <f t="shared" si="121"/>
        <v>33</v>
      </c>
      <c r="L104" s="74">
        <f t="shared" si="122"/>
        <v>1950000</v>
      </c>
      <c r="M104" s="76"/>
      <c r="N104" s="76">
        <f t="shared" si="123"/>
        <v>0</v>
      </c>
      <c r="O104" s="148"/>
      <c r="P104" s="148"/>
      <c r="Q104" s="148"/>
      <c r="R104" s="150"/>
      <c r="S104" s="150"/>
      <c r="T104" s="150"/>
      <c r="U104" s="150"/>
      <c r="V104" s="150"/>
      <c r="W104" s="150"/>
      <c r="X104" s="150"/>
      <c r="Y104" s="149"/>
      <c r="Z104" s="149">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1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64"/>
      <c r="B105" s="73">
        <f t="shared" si="119"/>
        <v>-59090.909090909088</v>
      </c>
      <c r="E105" s="158">
        <v>42826</v>
      </c>
      <c r="G105" s="145">
        <v>33</v>
      </c>
      <c r="H105" s="145">
        <v>0</v>
      </c>
      <c r="I105" s="49">
        <f t="shared" si="120"/>
        <v>46522</v>
      </c>
      <c r="J105" s="76">
        <v>1950000</v>
      </c>
      <c r="K105" s="40">
        <f t="shared" si="121"/>
        <v>33</v>
      </c>
      <c r="L105" s="74">
        <f t="shared" si="122"/>
        <v>1950000</v>
      </c>
      <c r="M105" s="76"/>
      <c r="N105" s="76">
        <f t="shared" si="123"/>
        <v>0</v>
      </c>
      <c r="O105" s="148"/>
      <c r="P105" s="148"/>
      <c r="Q105" s="148"/>
      <c r="R105" s="150"/>
      <c r="S105" s="150"/>
      <c r="T105" s="150"/>
      <c r="U105" s="150"/>
      <c r="V105" s="150"/>
      <c r="W105" s="150"/>
      <c r="X105" s="150"/>
      <c r="Y105" s="149"/>
      <c r="Z105" s="149">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1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64"/>
      <c r="B106" s="73">
        <f t="shared" si="119"/>
        <v>-59090.909090909088</v>
      </c>
      <c r="E106" s="158">
        <v>42826</v>
      </c>
      <c r="G106" s="145">
        <v>33</v>
      </c>
      <c r="H106" s="145">
        <v>0</v>
      </c>
      <c r="I106" s="49">
        <f t="shared" si="120"/>
        <v>46522</v>
      </c>
      <c r="J106" s="76">
        <v>1950000</v>
      </c>
      <c r="K106" s="40">
        <f t="shared" si="121"/>
        <v>33</v>
      </c>
      <c r="L106" s="74">
        <f t="shared" si="122"/>
        <v>1950000</v>
      </c>
      <c r="M106" s="76"/>
      <c r="N106" s="76">
        <f t="shared" si="123"/>
        <v>0</v>
      </c>
      <c r="O106" s="148"/>
      <c r="P106" s="148"/>
      <c r="Q106" s="148"/>
      <c r="R106" s="150"/>
      <c r="S106" s="150"/>
      <c r="T106" s="150"/>
      <c r="U106" s="150"/>
      <c r="V106" s="150"/>
      <c r="W106" s="150"/>
      <c r="X106" s="150"/>
      <c r="Y106" s="149"/>
      <c r="Z106" s="149">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1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64"/>
      <c r="B107" s="73">
        <f t="shared" si="119"/>
        <v>-59090.909090909088</v>
      </c>
      <c r="E107" s="158">
        <v>42826</v>
      </c>
      <c r="G107" s="145">
        <v>33</v>
      </c>
      <c r="H107" s="145">
        <v>0</v>
      </c>
      <c r="I107" s="49">
        <f t="shared" si="120"/>
        <v>46522</v>
      </c>
      <c r="J107" s="76">
        <v>1950000</v>
      </c>
      <c r="K107" s="40">
        <f t="shared" si="121"/>
        <v>33</v>
      </c>
      <c r="L107" s="74">
        <f t="shared" si="122"/>
        <v>1950000</v>
      </c>
      <c r="M107" s="76"/>
      <c r="N107" s="76">
        <f t="shared" si="123"/>
        <v>0</v>
      </c>
      <c r="O107" s="148"/>
      <c r="P107" s="148"/>
      <c r="Q107" s="148"/>
      <c r="R107" s="150"/>
      <c r="S107" s="150"/>
      <c r="T107" s="150"/>
      <c r="U107" s="150"/>
      <c r="V107" s="150"/>
      <c r="W107" s="150"/>
      <c r="X107" s="150"/>
      <c r="Y107" s="149"/>
      <c r="Z107" s="149">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1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64"/>
      <c r="B108" s="73">
        <f t="shared" si="119"/>
        <v>-59090.909090909088</v>
      </c>
      <c r="E108" s="158">
        <v>42826</v>
      </c>
      <c r="G108" s="145">
        <v>33</v>
      </c>
      <c r="H108" s="145">
        <v>0</v>
      </c>
      <c r="I108" s="49">
        <f t="shared" si="120"/>
        <v>46522</v>
      </c>
      <c r="J108" s="76">
        <v>1950000</v>
      </c>
      <c r="K108" s="40">
        <f t="shared" si="121"/>
        <v>33</v>
      </c>
      <c r="L108" s="74">
        <f t="shared" si="122"/>
        <v>1950000</v>
      </c>
      <c r="M108" s="76"/>
      <c r="N108" s="76">
        <f t="shared" si="123"/>
        <v>0</v>
      </c>
      <c r="O108" s="148"/>
      <c r="P108" s="148"/>
      <c r="Q108" s="148"/>
      <c r="R108" s="150"/>
      <c r="S108" s="150"/>
      <c r="T108" s="150"/>
      <c r="U108" s="150"/>
      <c r="V108" s="150"/>
      <c r="W108" s="150"/>
      <c r="X108" s="150"/>
      <c r="Y108" s="149"/>
      <c r="Z108" s="149">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1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64"/>
      <c r="B109" s="73">
        <f t="shared" si="119"/>
        <v>-59090.909090909088</v>
      </c>
      <c r="E109" s="158">
        <v>42826</v>
      </c>
      <c r="G109" s="145">
        <v>33</v>
      </c>
      <c r="H109" s="145">
        <v>0</v>
      </c>
      <c r="I109" s="49">
        <f t="shared" si="120"/>
        <v>46522</v>
      </c>
      <c r="J109" s="76">
        <v>1950000</v>
      </c>
      <c r="K109" s="40">
        <f t="shared" si="121"/>
        <v>33</v>
      </c>
      <c r="L109" s="74">
        <f t="shared" si="122"/>
        <v>1950000</v>
      </c>
      <c r="M109" s="76"/>
      <c r="N109" s="76">
        <f t="shared" si="123"/>
        <v>0</v>
      </c>
      <c r="O109" s="148"/>
      <c r="P109" s="148"/>
      <c r="Q109" s="148"/>
      <c r="R109" s="150"/>
      <c r="S109" s="150"/>
      <c r="T109" s="150"/>
      <c r="U109" s="150"/>
      <c r="V109" s="150"/>
      <c r="W109" s="150"/>
      <c r="X109" s="150"/>
      <c r="Y109" s="149"/>
      <c r="Z109" s="149">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1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64"/>
      <c r="B110" s="73">
        <f t="shared" si="119"/>
        <v>-59090.909090909088</v>
      </c>
      <c r="E110" s="158">
        <v>42826</v>
      </c>
      <c r="G110" s="145">
        <v>33</v>
      </c>
      <c r="H110" s="145">
        <v>0</v>
      </c>
      <c r="I110" s="49">
        <f t="shared" si="120"/>
        <v>46522</v>
      </c>
      <c r="J110" s="76">
        <v>1950000</v>
      </c>
      <c r="K110" s="40">
        <f t="shared" si="121"/>
        <v>33</v>
      </c>
      <c r="L110" s="74">
        <f t="shared" si="122"/>
        <v>1950000</v>
      </c>
      <c r="M110" s="76"/>
      <c r="N110" s="76">
        <f t="shared" si="123"/>
        <v>0</v>
      </c>
      <c r="O110" s="148"/>
      <c r="P110" s="148"/>
      <c r="Q110" s="148"/>
      <c r="R110" s="150"/>
      <c r="S110" s="150"/>
      <c r="T110" s="150"/>
      <c r="U110" s="150"/>
      <c r="V110" s="150"/>
      <c r="W110" s="150"/>
      <c r="X110" s="150"/>
      <c r="Y110" s="149"/>
      <c r="Z110" s="149">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1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64"/>
      <c r="B111" s="73">
        <f t="shared" si="119"/>
        <v>-59090.909090909088</v>
      </c>
      <c r="E111" s="158">
        <v>42826</v>
      </c>
      <c r="G111" s="145">
        <v>33</v>
      </c>
      <c r="H111" s="145">
        <v>0</v>
      </c>
      <c r="I111" s="49">
        <f t="shared" si="120"/>
        <v>46522</v>
      </c>
      <c r="J111" s="76">
        <v>1950000</v>
      </c>
      <c r="K111" s="40">
        <f t="shared" si="121"/>
        <v>33</v>
      </c>
      <c r="L111" s="74">
        <f t="shared" si="122"/>
        <v>1950000</v>
      </c>
      <c r="M111" s="76"/>
      <c r="N111" s="76">
        <f t="shared" si="123"/>
        <v>0</v>
      </c>
      <c r="O111" s="148"/>
      <c r="P111" s="148"/>
      <c r="Q111" s="148"/>
      <c r="R111" s="150"/>
      <c r="S111" s="150"/>
      <c r="T111" s="150"/>
      <c r="U111" s="150"/>
      <c r="V111" s="150"/>
      <c r="W111" s="150"/>
      <c r="X111" s="150"/>
      <c r="Y111" s="149"/>
      <c r="Z111" s="149">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1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64"/>
      <c r="B112" s="73">
        <f t="shared" si="119"/>
        <v>-59090.909090909088</v>
      </c>
      <c r="E112" s="158">
        <v>42826</v>
      </c>
      <c r="G112" s="145">
        <v>33</v>
      </c>
      <c r="H112" s="145">
        <v>0</v>
      </c>
      <c r="I112" s="49">
        <f t="shared" si="120"/>
        <v>46522</v>
      </c>
      <c r="J112" s="76">
        <v>1950000</v>
      </c>
      <c r="K112" s="40">
        <f t="shared" si="121"/>
        <v>33</v>
      </c>
      <c r="L112" s="74">
        <f t="shared" si="122"/>
        <v>1950000</v>
      </c>
      <c r="M112" s="76"/>
      <c r="N112" s="76">
        <f t="shared" si="123"/>
        <v>0</v>
      </c>
      <c r="O112" s="148"/>
      <c r="P112" s="148"/>
      <c r="Q112" s="148"/>
      <c r="R112" s="150"/>
      <c r="S112" s="150"/>
      <c r="T112" s="150"/>
      <c r="U112" s="150"/>
      <c r="V112" s="150"/>
      <c r="W112" s="150"/>
      <c r="X112" s="150"/>
      <c r="Y112" s="149"/>
      <c r="Z112" s="149">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1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64"/>
      <c r="B113" s="73">
        <f t="shared" si="119"/>
        <v>-59090.909090909088</v>
      </c>
      <c r="E113" s="158">
        <v>42826</v>
      </c>
      <c r="G113" s="145">
        <v>33</v>
      </c>
      <c r="H113" s="145">
        <v>0</v>
      </c>
      <c r="I113" s="49">
        <f t="shared" si="120"/>
        <v>46522</v>
      </c>
      <c r="J113" s="76">
        <v>1950000</v>
      </c>
      <c r="K113" s="40">
        <f t="shared" si="121"/>
        <v>33</v>
      </c>
      <c r="L113" s="74">
        <f t="shared" si="122"/>
        <v>1950000</v>
      </c>
      <c r="M113" s="76"/>
      <c r="N113" s="76">
        <f t="shared" si="123"/>
        <v>0</v>
      </c>
      <c r="O113" s="148"/>
      <c r="P113" s="148"/>
      <c r="Q113" s="148"/>
      <c r="R113" s="150"/>
      <c r="S113" s="150"/>
      <c r="T113" s="150"/>
      <c r="U113" s="150"/>
      <c r="V113" s="150"/>
      <c r="W113" s="150"/>
      <c r="X113" s="150"/>
      <c r="Y113" s="149"/>
      <c r="Z113" s="149">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1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64"/>
      <c r="B114" s="73">
        <f t="shared" si="119"/>
        <v>-59090.909090909088</v>
      </c>
      <c r="E114" s="158">
        <v>42826</v>
      </c>
      <c r="G114" s="145">
        <v>33</v>
      </c>
      <c r="H114" s="145">
        <v>0</v>
      </c>
      <c r="I114" s="49">
        <f t="shared" si="120"/>
        <v>46522</v>
      </c>
      <c r="J114" s="76">
        <v>1950000</v>
      </c>
      <c r="K114" s="40">
        <f t="shared" si="121"/>
        <v>33</v>
      </c>
      <c r="L114" s="74">
        <f t="shared" si="122"/>
        <v>1950000</v>
      </c>
      <c r="M114" s="76"/>
      <c r="N114" s="76">
        <f t="shared" si="123"/>
        <v>0</v>
      </c>
      <c r="O114" s="148"/>
      <c r="P114" s="148"/>
      <c r="Q114" s="148"/>
      <c r="R114" s="150"/>
      <c r="S114" s="150"/>
      <c r="T114" s="150"/>
      <c r="U114" s="150"/>
      <c r="V114" s="150"/>
      <c r="W114" s="150"/>
      <c r="X114" s="150"/>
      <c r="Y114" s="149"/>
      <c r="Z114" s="149">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1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64"/>
      <c r="B115" s="73">
        <f t="shared" si="119"/>
        <v>-59090.909090909088</v>
      </c>
      <c r="E115" s="158">
        <v>42826</v>
      </c>
      <c r="G115" s="145">
        <v>33</v>
      </c>
      <c r="H115" s="145">
        <v>0</v>
      </c>
      <c r="I115" s="49">
        <f t="shared" si="120"/>
        <v>46522</v>
      </c>
      <c r="J115" s="76">
        <v>1950000</v>
      </c>
      <c r="K115" s="40">
        <f t="shared" si="121"/>
        <v>33</v>
      </c>
      <c r="L115" s="74">
        <f t="shared" si="122"/>
        <v>1950000</v>
      </c>
      <c r="M115" s="76"/>
      <c r="N115" s="76">
        <f t="shared" si="123"/>
        <v>0</v>
      </c>
      <c r="O115" s="148"/>
      <c r="P115" s="148"/>
      <c r="Q115" s="148"/>
      <c r="R115" s="150"/>
      <c r="S115" s="150"/>
      <c r="T115" s="150"/>
      <c r="U115" s="150"/>
      <c r="V115" s="150"/>
      <c r="W115" s="150"/>
      <c r="X115" s="150"/>
      <c r="Y115" s="149"/>
      <c r="Z115" s="149">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1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64"/>
      <c r="B116" s="73">
        <f t="shared" si="119"/>
        <v>-59090.909090909088</v>
      </c>
      <c r="E116" s="158">
        <v>42826</v>
      </c>
      <c r="G116" s="145">
        <v>33</v>
      </c>
      <c r="H116" s="145">
        <v>0</v>
      </c>
      <c r="I116" s="49">
        <f t="shared" si="120"/>
        <v>46522</v>
      </c>
      <c r="J116" s="76">
        <v>1950000</v>
      </c>
      <c r="K116" s="40">
        <f t="shared" si="121"/>
        <v>33</v>
      </c>
      <c r="L116" s="74">
        <f t="shared" si="122"/>
        <v>1950000</v>
      </c>
      <c r="M116" s="76"/>
      <c r="N116" s="76">
        <f t="shared" si="123"/>
        <v>0</v>
      </c>
      <c r="O116" s="148"/>
      <c r="P116" s="148"/>
      <c r="Q116" s="148"/>
      <c r="R116" s="150"/>
      <c r="S116" s="150"/>
      <c r="T116" s="150"/>
      <c r="U116" s="150"/>
      <c r="V116" s="150"/>
      <c r="W116" s="150"/>
      <c r="X116" s="150"/>
      <c r="Y116" s="149"/>
      <c r="Z116" s="149">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1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64"/>
      <c r="B117" s="73">
        <f t="shared" si="119"/>
        <v>-59090.909090909088</v>
      </c>
      <c r="E117" s="158">
        <v>42826</v>
      </c>
      <c r="G117" s="145">
        <v>33</v>
      </c>
      <c r="H117" s="145">
        <v>0</v>
      </c>
      <c r="I117" s="49">
        <f t="shared" si="120"/>
        <v>46522</v>
      </c>
      <c r="J117" s="76">
        <v>1950000</v>
      </c>
      <c r="K117" s="40">
        <f t="shared" si="121"/>
        <v>33</v>
      </c>
      <c r="L117" s="74">
        <f t="shared" si="122"/>
        <v>1950000</v>
      </c>
      <c r="M117" s="76"/>
      <c r="N117" s="76">
        <f t="shared" si="123"/>
        <v>0</v>
      </c>
      <c r="O117" s="148"/>
      <c r="P117" s="148"/>
      <c r="Q117" s="148"/>
      <c r="R117" s="150"/>
      <c r="S117" s="150"/>
      <c r="T117" s="150"/>
      <c r="U117" s="150"/>
      <c r="V117" s="150"/>
      <c r="W117" s="150"/>
      <c r="X117" s="150"/>
      <c r="Y117" s="149"/>
      <c r="Z117" s="149">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1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64"/>
      <c r="B118" s="73">
        <f t="shared" si="119"/>
        <v>-59090.909090909088</v>
      </c>
      <c r="E118" s="158">
        <v>42826</v>
      </c>
      <c r="G118" s="145">
        <v>33</v>
      </c>
      <c r="H118" s="145">
        <v>0</v>
      </c>
      <c r="I118" s="49">
        <f t="shared" si="120"/>
        <v>46522</v>
      </c>
      <c r="J118" s="76">
        <v>1950000</v>
      </c>
      <c r="K118" s="40">
        <f t="shared" si="121"/>
        <v>33</v>
      </c>
      <c r="L118" s="74">
        <f t="shared" si="122"/>
        <v>1950000</v>
      </c>
      <c r="M118" s="76"/>
      <c r="N118" s="76">
        <f t="shared" si="123"/>
        <v>0</v>
      </c>
      <c r="O118" s="148"/>
      <c r="P118" s="148"/>
      <c r="Q118" s="148"/>
      <c r="R118" s="150"/>
      <c r="S118" s="150"/>
      <c r="T118" s="150"/>
      <c r="U118" s="150"/>
      <c r="V118" s="150"/>
      <c r="W118" s="150"/>
      <c r="X118" s="150"/>
      <c r="Y118" s="149"/>
      <c r="Z118" s="149">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1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64"/>
      <c r="B119" s="73">
        <f t="shared" si="119"/>
        <v>-59090.909090909088</v>
      </c>
      <c r="E119" s="158">
        <v>42826</v>
      </c>
      <c r="G119" s="145">
        <v>33</v>
      </c>
      <c r="H119" s="145">
        <v>0</v>
      </c>
      <c r="I119" s="49">
        <f t="shared" si="120"/>
        <v>46522</v>
      </c>
      <c r="J119" s="76">
        <v>1950000</v>
      </c>
      <c r="K119" s="40">
        <f t="shared" si="121"/>
        <v>33</v>
      </c>
      <c r="L119" s="74">
        <f t="shared" si="122"/>
        <v>1950000</v>
      </c>
      <c r="M119" s="76"/>
      <c r="N119" s="76">
        <f t="shared" si="123"/>
        <v>0</v>
      </c>
      <c r="O119" s="148"/>
      <c r="P119" s="148"/>
      <c r="Q119" s="148"/>
      <c r="R119" s="150"/>
      <c r="S119" s="150"/>
      <c r="T119" s="150"/>
      <c r="U119" s="150"/>
      <c r="V119" s="150"/>
      <c r="W119" s="150"/>
      <c r="X119" s="150"/>
      <c r="Y119" s="149"/>
      <c r="Z119" s="149">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1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64"/>
      <c r="B120" s="73">
        <f t="shared" si="119"/>
        <v>-59090.909090909088</v>
      </c>
      <c r="E120" s="158">
        <v>42826</v>
      </c>
      <c r="G120" s="145">
        <v>33</v>
      </c>
      <c r="H120" s="145">
        <v>0</v>
      </c>
      <c r="I120" s="49">
        <f t="shared" si="120"/>
        <v>46522</v>
      </c>
      <c r="J120" s="76">
        <v>1950000</v>
      </c>
      <c r="K120" s="40">
        <f t="shared" si="121"/>
        <v>33</v>
      </c>
      <c r="L120" s="74">
        <f t="shared" si="122"/>
        <v>1950000</v>
      </c>
      <c r="M120" s="76"/>
      <c r="N120" s="76">
        <f t="shared" si="123"/>
        <v>0</v>
      </c>
      <c r="O120" s="148"/>
      <c r="P120" s="148"/>
      <c r="Q120" s="148"/>
      <c r="R120" s="150"/>
      <c r="S120" s="150"/>
      <c r="T120" s="150"/>
      <c r="U120" s="150"/>
      <c r="V120" s="150"/>
      <c r="W120" s="150"/>
      <c r="X120" s="150"/>
      <c r="Y120" s="149"/>
      <c r="Z120" s="149">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1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64"/>
      <c r="B121" s="73">
        <f t="shared" si="119"/>
        <v>-59090.909090909088</v>
      </c>
      <c r="E121" s="158">
        <v>42826</v>
      </c>
      <c r="G121" s="145">
        <v>33</v>
      </c>
      <c r="H121" s="145">
        <v>0</v>
      </c>
      <c r="I121" s="49">
        <f t="shared" si="120"/>
        <v>46522</v>
      </c>
      <c r="J121" s="76">
        <v>1950000</v>
      </c>
      <c r="K121" s="40">
        <f t="shared" si="121"/>
        <v>33</v>
      </c>
      <c r="L121" s="74">
        <f t="shared" si="122"/>
        <v>1950000</v>
      </c>
      <c r="M121" s="76"/>
      <c r="N121" s="76">
        <f t="shared" si="123"/>
        <v>0</v>
      </c>
      <c r="O121" s="148"/>
      <c r="P121" s="148"/>
      <c r="Q121" s="148"/>
      <c r="R121" s="150"/>
      <c r="S121" s="150"/>
      <c r="T121" s="150"/>
      <c r="U121" s="150"/>
      <c r="V121" s="150"/>
      <c r="W121" s="150"/>
      <c r="X121" s="150"/>
      <c r="Y121" s="149"/>
      <c r="Z121" s="149">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1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64"/>
      <c r="B122" s="73">
        <f t="shared" si="119"/>
        <v>-59090.909090909088</v>
      </c>
      <c r="E122" s="158">
        <v>42826</v>
      </c>
      <c r="G122" s="145">
        <v>33</v>
      </c>
      <c r="H122" s="145">
        <v>0</v>
      </c>
      <c r="I122" s="49">
        <f t="shared" si="120"/>
        <v>46522</v>
      </c>
      <c r="J122" s="76">
        <v>1950000</v>
      </c>
      <c r="K122" s="40">
        <f t="shared" si="121"/>
        <v>33</v>
      </c>
      <c r="L122" s="74">
        <f t="shared" si="122"/>
        <v>1950000</v>
      </c>
      <c r="M122" s="76"/>
      <c r="N122" s="76">
        <f t="shared" si="123"/>
        <v>0</v>
      </c>
      <c r="O122" s="148"/>
      <c r="P122" s="148"/>
      <c r="Q122" s="148"/>
      <c r="R122" s="150"/>
      <c r="S122" s="150"/>
      <c r="T122" s="150"/>
      <c r="U122" s="150"/>
      <c r="V122" s="150"/>
      <c r="W122" s="150"/>
      <c r="X122" s="150"/>
      <c r="Y122" s="149"/>
      <c r="Z122" s="149">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1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64"/>
      <c r="B123" s="73">
        <f t="shared" si="119"/>
        <v>-59090.909090909088</v>
      </c>
      <c r="E123" s="158">
        <v>42826</v>
      </c>
      <c r="G123" s="145">
        <v>33</v>
      </c>
      <c r="H123" s="145">
        <v>0</v>
      </c>
      <c r="I123" s="49">
        <f t="shared" si="120"/>
        <v>46522</v>
      </c>
      <c r="J123" s="76">
        <v>1950000</v>
      </c>
      <c r="K123" s="40">
        <f t="shared" si="121"/>
        <v>33</v>
      </c>
      <c r="L123" s="74">
        <f t="shared" si="122"/>
        <v>1950000</v>
      </c>
      <c r="M123" s="76"/>
      <c r="N123" s="76">
        <f t="shared" si="123"/>
        <v>0</v>
      </c>
      <c r="O123" s="148"/>
      <c r="P123" s="148"/>
      <c r="Q123" s="148"/>
      <c r="R123" s="150"/>
      <c r="S123" s="150"/>
      <c r="T123" s="150"/>
      <c r="U123" s="150"/>
      <c r="V123" s="150"/>
      <c r="W123" s="150"/>
      <c r="X123" s="150"/>
      <c r="Y123" s="149"/>
      <c r="Z123" s="149">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1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64"/>
      <c r="B124" s="73">
        <f t="shared" si="119"/>
        <v>-59090.909090909088</v>
      </c>
      <c r="E124" s="158">
        <v>42826</v>
      </c>
      <c r="G124" s="145">
        <v>33</v>
      </c>
      <c r="H124" s="145">
        <v>0</v>
      </c>
      <c r="I124" s="49">
        <f t="shared" si="120"/>
        <v>46522</v>
      </c>
      <c r="J124" s="76">
        <v>1950000</v>
      </c>
      <c r="K124" s="40">
        <f t="shared" si="121"/>
        <v>33</v>
      </c>
      <c r="L124" s="74">
        <f t="shared" si="122"/>
        <v>1950000</v>
      </c>
      <c r="M124" s="76"/>
      <c r="N124" s="76">
        <f t="shared" si="123"/>
        <v>0</v>
      </c>
      <c r="O124" s="148"/>
      <c r="P124" s="148"/>
      <c r="Q124" s="148"/>
      <c r="R124" s="150"/>
      <c r="S124" s="150"/>
      <c r="T124" s="150"/>
      <c r="U124" s="150"/>
      <c r="V124" s="150"/>
      <c r="W124" s="150"/>
      <c r="X124" s="150"/>
      <c r="Y124" s="149"/>
      <c r="Z124" s="149">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1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64"/>
      <c r="B125" s="73">
        <f t="shared" si="119"/>
        <v>-59090.909090909088</v>
      </c>
      <c r="E125" s="158">
        <v>42826</v>
      </c>
      <c r="G125" s="145">
        <v>33</v>
      </c>
      <c r="H125" s="145">
        <v>0</v>
      </c>
      <c r="I125" s="49">
        <f t="shared" si="120"/>
        <v>46522</v>
      </c>
      <c r="J125" s="76">
        <v>1950000</v>
      </c>
      <c r="K125" s="40">
        <f t="shared" si="121"/>
        <v>33</v>
      </c>
      <c r="L125" s="74">
        <f t="shared" si="122"/>
        <v>1950000</v>
      </c>
      <c r="M125" s="76"/>
      <c r="N125" s="76">
        <f t="shared" si="123"/>
        <v>0</v>
      </c>
      <c r="O125" s="148"/>
      <c r="P125" s="148"/>
      <c r="Q125" s="148"/>
      <c r="R125" s="150"/>
      <c r="S125" s="150"/>
      <c r="T125" s="150"/>
      <c r="U125" s="150"/>
      <c r="V125" s="150"/>
      <c r="W125" s="150"/>
      <c r="X125" s="150"/>
      <c r="Y125" s="149"/>
      <c r="Z125" s="149">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1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64"/>
      <c r="B126" s="73">
        <f t="shared" si="119"/>
        <v>-59090.909090909088</v>
      </c>
      <c r="E126" s="158">
        <v>42826</v>
      </c>
      <c r="G126" s="145">
        <v>33</v>
      </c>
      <c r="H126" s="145">
        <v>0</v>
      </c>
      <c r="I126" s="49">
        <f t="shared" si="120"/>
        <v>46522</v>
      </c>
      <c r="J126" s="76">
        <v>1950000</v>
      </c>
      <c r="K126" s="40">
        <f t="shared" si="121"/>
        <v>33</v>
      </c>
      <c r="L126" s="74">
        <f t="shared" si="122"/>
        <v>1950000</v>
      </c>
      <c r="M126" s="76"/>
      <c r="N126" s="76">
        <f t="shared" si="123"/>
        <v>0</v>
      </c>
      <c r="O126" s="148"/>
      <c r="P126" s="148"/>
      <c r="Q126" s="148"/>
      <c r="R126" s="150"/>
      <c r="S126" s="150"/>
      <c r="T126" s="150"/>
      <c r="U126" s="150"/>
      <c r="V126" s="150"/>
      <c r="W126" s="150"/>
      <c r="X126" s="150"/>
      <c r="Y126" s="149"/>
      <c r="Z126" s="149">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1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64"/>
      <c r="B127" s="73">
        <f t="shared" si="119"/>
        <v>-59090.909090909088</v>
      </c>
      <c r="E127" s="158">
        <v>42826</v>
      </c>
      <c r="G127" s="145">
        <v>33</v>
      </c>
      <c r="H127" s="145">
        <v>0</v>
      </c>
      <c r="I127" s="49">
        <f t="shared" si="120"/>
        <v>46522</v>
      </c>
      <c r="J127" s="76">
        <v>1950000</v>
      </c>
      <c r="K127" s="40">
        <f t="shared" si="121"/>
        <v>33</v>
      </c>
      <c r="L127" s="74">
        <f t="shared" si="122"/>
        <v>1950000</v>
      </c>
      <c r="M127" s="76"/>
      <c r="N127" s="76">
        <f t="shared" si="123"/>
        <v>0</v>
      </c>
      <c r="O127" s="148"/>
      <c r="P127" s="148"/>
      <c r="Q127" s="148"/>
      <c r="R127" s="150"/>
      <c r="S127" s="150"/>
      <c r="T127" s="150"/>
      <c r="U127" s="150"/>
      <c r="V127" s="150"/>
      <c r="W127" s="150"/>
      <c r="X127" s="150"/>
      <c r="Y127" s="149"/>
      <c r="Z127" s="149">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1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64"/>
      <c r="B128" s="73">
        <f t="shared" si="119"/>
        <v>-59090.909090909088</v>
      </c>
      <c r="E128" s="158">
        <v>42826</v>
      </c>
      <c r="G128" s="145">
        <v>33</v>
      </c>
      <c r="H128" s="145">
        <v>0</v>
      </c>
      <c r="I128" s="49">
        <f t="shared" si="120"/>
        <v>46522</v>
      </c>
      <c r="J128" s="76">
        <v>1950000</v>
      </c>
      <c r="K128" s="40">
        <f t="shared" si="121"/>
        <v>33</v>
      </c>
      <c r="L128" s="74">
        <f t="shared" si="122"/>
        <v>1950000</v>
      </c>
      <c r="M128" s="76"/>
      <c r="N128" s="76">
        <f t="shared" si="123"/>
        <v>0</v>
      </c>
      <c r="O128" s="148"/>
      <c r="P128" s="148"/>
      <c r="Q128" s="148"/>
      <c r="R128" s="150"/>
      <c r="S128" s="150"/>
      <c r="T128" s="150"/>
      <c r="U128" s="150"/>
      <c r="V128" s="150"/>
      <c r="W128" s="150"/>
      <c r="X128" s="150"/>
      <c r="Y128" s="149"/>
      <c r="Z128" s="149">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1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64"/>
      <c r="B129" s="73">
        <f t="shared" si="119"/>
        <v>-59090.909090909088</v>
      </c>
      <c r="E129" s="158">
        <v>42826</v>
      </c>
      <c r="G129" s="145">
        <v>33</v>
      </c>
      <c r="H129" s="145">
        <v>0</v>
      </c>
      <c r="I129" s="49">
        <f t="shared" si="120"/>
        <v>46522</v>
      </c>
      <c r="J129" s="76">
        <v>1950000</v>
      </c>
      <c r="K129" s="40">
        <f t="shared" si="121"/>
        <v>33</v>
      </c>
      <c r="L129" s="74">
        <f t="shared" si="122"/>
        <v>1950000</v>
      </c>
      <c r="M129" s="76"/>
      <c r="N129" s="76">
        <f t="shared" si="123"/>
        <v>0</v>
      </c>
      <c r="O129" s="148"/>
      <c r="P129" s="148"/>
      <c r="Q129" s="148"/>
      <c r="R129" s="150"/>
      <c r="S129" s="150"/>
      <c r="T129" s="150"/>
      <c r="U129" s="150"/>
      <c r="V129" s="150"/>
      <c r="W129" s="150"/>
      <c r="X129" s="150"/>
      <c r="Y129" s="149"/>
      <c r="Z129" s="149">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1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64"/>
      <c r="B130" s="73">
        <f t="shared" si="119"/>
        <v>-59090.909090909088</v>
      </c>
      <c r="E130" s="158">
        <v>42826</v>
      </c>
      <c r="G130" s="145">
        <v>33</v>
      </c>
      <c r="H130" s="145">
        <v>0</v>
      </c>
      <c r="I130" s="49">
        <f t="shared" si="120"/>
        <v>46522</v>
      </c>
      <c r="J130" s="76">
        <v>1950000</v>
      </c>
      <c r="K130" s="40">
        <f t="shared" si="121"/>
        <v>33</v>
      </c>
      <c r="L130" s="74">
        <f t="shared" si="122"/>
        <v>1950000</v>
      </c>
      <c r="M130" s="76"/>
      <c r="N130" s="76">
        <f t="shared" si="123"/>
        <v>0</v>
      </c>
      <c r="O130" s="148"/>
      <c r="P130" s="148"/>
      <c r="Q130" s="148"/>
      <c r="R130" s="150"/>
      <c r="S130" s="150"/>
      <c r="T130" s="150"/>
      <c r="U130" s="150"/>
      <c r="V130" s="150"/>
      <c r="W130" s="150"/>
      <c r="X130" s="150"/>
      <c r="Y130" s="149"/>
      <c r="Z130" s="149">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1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64"/>
      <c r="B131" s="73">
        <f t="shared" si="119"/>
        <v>-59090.909090909088</v>
      </c>
      <c r="E131" s="158">
        <v>42826</v>
      </c>
      <c r="G131" s="145">
        <v>33</v>
      </c>
      <c r="H131" s="145">
        <v>0</v>
      </c>
      <c r="I131" s="49">
        <f t="shared" si="120"/>
        <v>46522</v>
      </c>
      <c r="J131" s="76">
        <v>1950000</v>
      </c>
      <c r="K131" s="40">
        <f t="shared" si="121"/>
        <v>33</v>
      </c>
      <c r="L131" s="74">
        <f t="shared" si="122"/>
        <v>1950000</v>
      </c>
      <c r="M131" s="76"/>
      <c r="N131" s="76">
        <f t="shared" si="123"/>
        <v>0</v>
      </c>
      <c r="O131" s="148"/>
      <c r="P131" s="148"/>
      <c r="Q131" s="148"/>
      <c r="R131" s="150"/>
      <c r="S131" s="150"/>
      <c r="T131" s="150"/>
      <c r="U131" s="150"/>
      <c r="V131" s="150"/>
      <c r="W131" s="150"/>
      <c r="X131" s="150"/>
      <c r="Y131" s="149"/>
      <c r="Z131" s="149">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1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64"/>
      <c r="B132" s="73">
        <f t="shared" si="119"/>
        <v>-59090.909090909088</v>
      </c>
      <c r="E132" s="158">
        <v>42826</v>
      </c>
      <c r="G132" s="145">
        <v>33</v>
      </c>
      <c r="H132" s="145">
        <v>0</v>
      </c>
      <c r="I132" s="49">
        <f t="shared" si="120"/>
        <v>46522</v>
      </c>
      <c r="J132" s="76">
        <v>1950000</v>
      </c>
      <c r="K132" s="40">
        <f t="shared" si="121"/>
        <v>33</v>
      </c>
      <c r="L132" s="74">
        <f t="shared" si="122"/>
        <v>1950000</v>
      </c>
      <c r="M132" s="76"/>
      <c r="N132" s="76">
        <f t="shared" si="123"/>
        <v>0</v>
      </c>
      <c r="O132" s="148"/>
      <c r="P132" s="148"/>
      <c r="Q132" s="148"/>
      <c r="R132" s="150"/>
      <c r="S132" s="150"/>
      <c r="T132" s="150"/>
      <c r="U132" s="150"/>
      <c r="V132" s="150"/>
      <c r="W132" s="150"/>
      <c r="X132" s="150"/>
      <c r="Y132" s="149"/>
      <c r="Z132" s="149">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1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64"/>
      <c r="B133" s="73">
        <f t="shared" si="119"/>
        <v>-59090.909090909088</v>
      </c>
      <c r="E133" s="158">
        <v>42826</v>
      </c>
      <c r="G133" s="145">
        <v>33</v>
      </c>
      <c r="H133" s="145">
        <v>0</v>
      </c>
      <c r="I133" s="49">
        <f t="shared" si="120"/>
        <v>46522</v>
      </c>
      <c r="J133" s="76">
        <v>1950000</v>
      </c>
      <c r="K133" s="40">
        <f t="shared" si="121"/>
        <v>33</v>
      </c>
      <c r="L133" s="74">
        <f t="shared" si="122"/>
        <v>1950000</v>
      </c>
      <c r="M133" s="76"/>
      <c r="N133" s="76">
        <f t="shared" si="123"/>
        <v>0</v>
      </c>
      <c r="O133" s="148"/>
      <c r="P133" s="148"/>
      <c r="Q133" s="148"/>
      <c r="R133" s="150"/>
      <c r="S133" s="150"/>
      <c r="T133" s="150"/>
      <c r="U133" s="150"/>
      <c r="V133" s="150"/>
      <c r="W133" s="150"/>
      <c r="X133" s="150"/>
      <c r="Y133" s="149"/>
      <c r="Z133" s="149">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1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64"/>
      <c r="B134" s="73">
        <f t="shared" si="119"/>
        <v>-59090.909090909088</v>
      </c>
      <c r="E134" s="158">
        <v>42826</v>
      </c>
      <c r="G134" s="145">
        <v>33</v>
      </c>
      <c r="H134" s="145">
        <v>0</v>
      </c>
      <c r="I134" s="49">
        <f t="shared" si="120"/>
        <v>46522</v>
      </c>
      <c r="J134" s="76">
        <v>1950000</v>
      </c>
      <c r="K134" s="40">
        <f t="shared" si="121"/>
        <v>33</v>
      </c>
      <c r="L134" s="74">
        <f t="shared" si="122"/>
        <v>1950000</v>
      </c>
      <c r="M134" s="76"/>
      <c r="N134" s="76">
        <f t="shared" si="123"/>
        <v>0</v>
      </c>
      <c r="O134" s="148"/>
      <c r="P134" s="148"/>
      <c r="Q134" s="148"/>
      <c r="R134" s="150"/>
      <c r="S134" s="150"/>
      <c r="T134" s="150"/>
      <c r="U134" s="150"/>
      <c r="V134" s="150"/>
      <c r="W134" s="150"/>
      <c r="X134" s="150"/>
      <c r="Y134" s="149"/>
      <c r="Z134" s="149">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1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64"/>
      <c r="B135" s="73">
        <f t="shared" si="119"/>
        <v>-59090.909090909088</v>
      </c>
      <c r="E135" s="158">
        <v>42826</v>
      </c>
      <c r="G135" s="145">
        <v>33</v>
      </c>
      <c r="H135" s="145">
        <v>0</v>
      </c>
      <c r="I135" s="49">
        <f t="shared" si="120"/>
        <v>46522</v>
      </c>
      <c r="J135" s="76">
        <v>1950000</v>
      </c>
      <c r="K135" s="40">
        <f t="shared" si="121"/>
        <v>33</v>
      </c>
      <c r="L135" s="74">
        <f t="shared" si="122"/>
        <v>1950000</v>
      </c>
      <c r="M135" s="76"/>
      <c r="N135" s="76">
        <f t="shared" si="123"/>
        <v>0</v>
      </c>
      <c r="O135" s="148"/>
      <c r="P135" s="148"/>
      <c r="Q135" s="148"/>
      <c r="R135" s="150"/>
      <c r="S135" s="150"/>
      <c r="T135" s="150"/>
      <c r="U135" s="150"/>
      <c r="V135" s="150"/>
      <c r="W135" s="150"/>
      <c r="X135" s="150"/>
      <c r="Y135" s="149"/>
      <c r="Z135" s="149">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1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64"/>
      <c r="B136" s="73">
        <f t="shared" si="119"/>
        <v>-59090.909090909088</v>
      </c>
      <c r="E136" s="158">
        <v>42826</v>
      </c>
      <c r="G136" s="145">
        <v>33</v>
      </c>
      <c r="H136" s="145">
        <v>0</v>
      </c>
      <c r="I136" s="49">
        <f t="shared" si="120"/>
        <v>46522</v>
      </c>
      <c r="J136" s="76">
        <v>1950000</v>
      </c>
      <c r="K136" s="40">
        <f t="shared" si="121"/>
        <v>33</v>
      </c>
      <c r="L136" s="74">
        <f t="shared" si="122"/>
        <v>1950000</v>
      </c>
      <c r="M136" s="76"/>
      <c r="N136" s="76">
        <f t="shared" si="123"/>
        <v>0</v>
      </c>
      <c r="O136" s="148"/>
      <c r="P136" s="148"/>
      <c r="Q136" s="148"/>
      <c r="R136" s="150"/>
      <c r="S136" s="150"/>
      <c r="T136" s="150"/>
      <c r="U136" s="150"/>
      <c r="V136" s="150"/>
      <c r="W136" s="150"/>
      <c r="X136" s="150"/>
      <c r="Y136" s="149"/>
      <c r="Z136" s="149">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1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64"/>
      <c r="B137" s="73">
        <f t="shared" si="119"/>
        <v>-59090.909090909088</v>
      </c>
      <c r="E137" s="158">
        <v>42826</v>
      </c>
      <c r="G137" s="145">
        <v>33</v>
      </c>
      <c r="H137" s="145">
        <v>0</v>
      </c>
      <c r="I137" s="49">
        <f t="shared" si="120"/>
        <v>46522</v>
      </c>
      <c r="J137" s="76">
        <v>1950000</v>
      </c>
      <c r="K137" s="40">
        <f t="shared" si="121"/>
        <v>33</v>
      </c>
      <c r="L137" s="74">
        <f t="shared" si="122"/>
        <v>1950000</v>
      </c>
      <c r="M137" s="76"/>
      <c r="N137" s="76">
        <f t="shared" si="123"/>
        <v>0</v>
      </c>
      <c r="O137" s="148"/>
      <c r="P137" s="148"/>
      <c r="Q137" s="148"/>
      <c r="R137" s="150"/>
      <c r="S137" s="150"/>
      <c r="T137" s="150"/>
      <c r="U137" s="150"/>
      <c r="V137" s="150"/>
      <c r="W137" s="150"/>
      <c r="X137" s="150"/>
      <c r="Y137" s="149"/>
      <c r="Z137" s="149">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1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64"/>
      <c r="B138" s="73">
        <f t="shared" si="119"/>
        <v>-59090.909090909088</v>
      </c>
      <c r="E138" s="158">
        <v>42826</v>
      </c>
      <c r="G138" s="145">
        <v>33</v>
      </c>
      <c r="H138" s="145">
        <v>0</v>
      </c>
      <c r="I138" s="49">
        <f t="shared" si="120"/>
        <v>46522</v>
      </c>
      <c r="J138" s="76">
        <v>1950000</v>
      </c>
      <c r="K138" s="40">
        <f t="shared" si="121"/>
        <v>33</v>
      </c>
      <c r="L138" s="74">
        <f t="shared" si="122"/>
        <v>1950000</v>
      </c>
      <c r="M138" s="76"/>
      <c r="N138" s="76">
        <f t="shared" si="123"/>
        <v>0</v>
      </c>
      <c r="O138" s="148"/>
      <c r="P138" s="148"/>
      <c r="Q138" s="148"/>
      <c r="R138" s="150"/>
      <c r="S138" s="150"/>
      <c r="T138" s="150"/>
      <c r="U138" s="150"/>
      <c r="V138" s="150"/>
      <c r="W138" s="150"/>
      <c r="X138" s="150"/>
      <c r="Y138" s="149"/>
      <c r="Z138" s="149">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1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64"/>
      <c r="B139" s="73">
        <f t="shared" si="119"/>
        <v>-59090.909090909088</v>
      </c>
      <c r="E139" s="158">
        <v>42826</v>
      </c>
      <c r="G139" s="145">
        <v>33</v>
      </c>
      <c r="H139" s="145">
        <v>0</v>
      </c>
      <c r="I139" s="49">
        <f t="shared" si="120"/>
        <v>46522</v>
      </c>
      <c r="J139" s="76">
        <v>1950000</v>
      </c>
      <c r="K139" s="40">
        <f t="shared" si="121"/>
        <v>33</v>
      </c>
      <c r="L139" s="74">
        <f t="shared" si="122"/>
        <v>1950000</v>
      </c>
      <c r="M139" s="76"/>
      <c r="N139" s="76">
        <f t="shared" si="123"/>
        <v>0</v>
      </c>
      <c r="O139" s="148"/>
      <c r="P139" s="148"/>
      <c r="Q139" s="148"/>
      <c r="R139" s="150"/>
      <c r="S139" s="150"/>
      <c r="T139" s="150"/>
      <c r="U139" s="150"/>
      <c r="V139" s="150"/>
      <c r="W139" s="150"/>
      <c r="X139" s="150"/>
      <c r="Y139" s="149"/>
      <c r="Z139" s="149">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1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64"/>
      <c r="B140" s="73">
        <f t="shared" si="119"/>
        <v>-59090.909090909088</v>
      </c>
      <c r="E140" s="158">
        <v>42826</v>
      </c>
      <c r="G140" s="145">
        <v>33</v>
      </c>
      <c r="H140" s="145">
        <v>0</v>
      </c>
      <c r="I140" s="49">
        <f t="shared" si="120"/>
        <v>46522</v>
      </c>
      <c r="J140" s="76">
        <v>1950000</v>
      </c>
      <c r="K140" s="40">
        <f t="shared" si="121"/>
        <v>33</v>
      </c>
      <c r="L140" s="74">
        <f t="shared" si="122"/>
        <v>1950000</v>
      </c>
      <c r="M140" s="76"/>
      <c r="N140" s="76">
        <f t="shared" si="123"/>
        <v>0</v>
      </c>
      <c r="O140" s="148"/>
      <c r="P140" s="148"/>
      <c r="Q140" s="148"/>
      <c r="R140" s="150"/>
      <c r="S140" s="150"/>
      <c r="T140" s="150"/>
      <c r="U140" s="150"/>
      <c r="V140" s="150"/>
      <c r="W140" s="150"/>
      <c r="X140" s="150"/>
      <c r="Y140" s="149"/>
      <c r="Z140" s="149">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1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64"/>
      <c r="B141" s="73">
        <f t="shared" si="119"/>
        <v>-59090.909090909088</v>
      </c>
      <c r="E141" s="158">
        <v>42826</v>
      </c>
      <c r="G141" s="145">
        <v>33</v>
      </c>
      <c r="H141" s="145">
        <v>0</v>
      </c>
      <c r="I141" s="49">
        <f t="shared" si="120"/>
        <v>46522</v>
      </c>
      <c r="J141" s="76">
        <v>1950000</v>
      </c>
      <c r="K141" s="40">
        <f t="shared" si="121"/>
        <v>33</v>
      </c>
      <c r="L141" s="74">
        <f t="shared" si="122"/>
        <v>1950000</v>
      </c>
      <c r="M141" s="76"/>
      <c r="N141" s="76">
        <f t="shared" si="123"/>
        <v>0</v>
      </c>
      <c r="O141" s="148"/>
      <c r="P141" s="148"/>
      <c r="Q141" s="148"/>
      <c r="R141" s="150"/>
      <c r="S141" s="150"/>
      <c r="T141" s="150"/>
      <c r="U141" s="150"/>
      <c r="V141" s="150"/>
      <c r="W141" s="150"/>
      <c r="X141" s="150"/>
      <c r="Y141" s="149"/>
      <c r="Z141" s="149">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1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64"/>
      <c r="B142" s="73">
        <f t="shared" si="119"/>
        <v>-59090.909090909088</v>
      </c>
      <c r="E142" s="158">
        <v>42826</v>
      </c>
      <c r="G142" s="145">
        <v>33</v>
      </c>
      <c r="H142" s="145">
        <v>0</v>
      </c>
      <c r="I142" s="49">
        <f t="shared" si="120"/>
        <v>46522</v>
      </c>
      <c r="J142" s="76">
        <v>1950000</v>
      </c>
      <c r="K142" s="40">
        <f t="shared" si="121"/>
        <v>33</v>
      </c>
      <c r="L142" s="74">
        <f t="shared" si="122"/>
        <v>1950000</v>
      </c>
      <c r="M142" s="76"/>
      <c r="N142" s="76">
        <f t="shared" si="123"/>
        <v>0</v>
      </c>
      <c r="O142" s="148"/>
      <c r="P142" s="148"/>
      <c r="Q142" s="148"/>
      <c r="R142" s="150"/>
      <c r="S142" s="150"/>
      <c r="T142" s="150"/>
      <c r="U142" s="150"/>
      <c r="V142" s="150"/>
      <c r="W142" s="150"/>
      <c r="X142" s="150"/>
      <c r="Y142" s="149"/>
      <c r="Z142" s="149">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1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64"/>
      <c r="B143" s="73">
        <f t="shared" si="119"/>
        <v>-59090.909090909088</v>
      </c>
      <c r="E143" s="158">
        <v>42826</v>
      </c>
      <c r="G143" s="145">
        <v>33</v>
      </c>
      <c r="H143" s="145">
        <v>0</v>
      </c>
      <c r="I143" s="49">
        <f t="shared" si="120"/>
        <v>46522</v>
      </c>
      <c r="J143" s="76">
        <v>1950000</v>
      </c>
      <c r="K143" s="40">
        <f t="shared" si="121"/>
        <v>33</v>
      </c>
      <c r="L143" s="74">
        <f t="shared" si="122"/>
        <v>1950000</v>
      </c>
      <c r="M143" s="76"/>
      <c r="N143" s="76">
        <f t="shared" si="123"/>
        <v>0</v>
      </c>
      <c r="O143" s="148"/>
      <c r="P143" s="148"/>
      <c r="Q143" s="148"/>
      <c r="R143" s="150"/>
      <c r="S143" s="150"/>
      <c r="T143" s="150"/>
      <c r="U143" s="150"/>
      <c r="V143" s="150"/>
      <c r="W143" s="150"/>
      <c r="X143" s="150"/>
      <c r="Y143" s="149"/>
      <c r="Z143" s="149">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1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64"/>
      <c r="B144" s="73">
        <f t="shared" si="119"/>
        <v>-59090.909090909088</v>
      </c>
      <c r="E144" s="158">
        <v>42826</v>
      </c>
      <c r="G144" s="145">
        <v>33</v>
      </c>
      <c r="H144" s="145">
        <v>0</v>
      </c>
      <c r="I144" s="49">
        <f t="shared" si="120"/>
        <v>46522</v>
      </c>
      <c r="J144" s="76">
        <v>1950000</v>
      </c>
      <c r="K144" s="40">
        <f t="shared" si="121"/>
        <v>33</v>
      </c>
      <c r="L144" s="74">
        <f t="shared" si="122"/>
        <v>1950000</v>
      </c>
      <c r="M144" s="76"/>
      <c r="N144" s="76">
        <f t="shared" si="123"/>
        <v>0</v>
      </c>
      <c r="O144" s="148"/>
      <c r="P144" s="148"/>
      <c r="Q144" s="148"/>
      <c r="R144" s="150"/>
      <c r="S144" s="150"/>
      <c r="T144" s="150"/>
      <c r="U144" s="150"/>
      <c r="V144" s="150"/>
      <c r="W144" s="150"/>
      <c r="X144" s="150"/>
      <c r="Y144" s="149"/>
      <c r="Z144" s="149">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1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64"/>
      <c r="B145" s="73">
        <f t="shared" si="119"/>
        <v>-59090.909090909088</v>
      </c>
      <c r="E145" s="158">
        <v>42826</v>
      </c>
      <c r="G145" s="145">
        <v>33</v>
      </c>
      <c r="H145" s="145">
        <v>0</v>
      </c>
      <c r="I145" s="49">
        <f t="shared" si="120"/>
        <v>46522</v>
      </c>
      <c r="J145" s="76">
        <v>1950000</v>
      </c>
      <c r="K145" s="40">
        <f t="shared" si="121"/>
        <v>33</v>
      </c>
      <c r="L145" s="74">
        <f t="shared" si="122"/>
        <v>1950000</v>
      </c>
      <c r="M145" s="76"/>
      <c r="N145" s="76">
        <f t="shared" si="123"/>
        <v>0</v>
      </c>
      <c r="O145" s="148"/>
      <c r="P145" s="148"/>
      <c r="Q145" s="148"/>
      <c r="R145" s="150"/>
      <c r="S145" s="150"/>
      <c r="T145" s="150"/>
      <c r="U145" s="150"/>
      <c r="V145" s="150"/>
      <c r="W145" s="150"/>
      <c r="X145" s="150"/>
      <c r="Y145" s="149"/>
      <c r="Z145" s="149">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1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64"/>
      <c r="B146" s="73">
        <f t="shared" si="119"/>
        <v>-59090.909090909088</v>
      </c>
      <c r="E146" s="158">
        <v>42826</v>
      </c>
      <c r="G146" s="145">
        <v>33</v>
      </c>
      <c r="H146" s="145">
        <v>0</v>
      </c>
      <c r="I146" s="49">
        <f t="shared" si="120"/>
        <v>46522</v>
      </c>
      <c r="J146" s="76">
        <v>1950000</v>
      </c>
      <c r="K146" s="40">
        <f t="shared" si="121"/>
        <v>33</v>
      </c>
      <c r="L146" s="74">
        <f t="shared" si="122"/>
        <v>1950000</v>
      </c>
      <c r="M146" s="76"/>
      <c r="N146" s="76">
        <f t="shared" si="123"/>
        <v>0</v>
      </c>
      <c r="O146" s="148"/>
      <c r="P146" s="148"/>
      <c r="Q146" s="148"/>
      <c r="R146" s="150"/>
      <c r="S146" s="150"/>
      <c r="T146" s="150"/>
      <c r="U146" s="150"/>
      <c r="V146" s="150"/>
      <c r="W146" s="150"/>
      <c r="X146" s="150"/>
      <c r="Y146" s="149"/>
      <c r="Z146" s="149">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1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64"/>
      <c r="B147" s="73">
        <f t="shared" si="119"/>
        <v>-59090.909090909088</v>
      </c>
      <c r="E147" s="158">
        <v>42826</v>
      </c>
      <c r="G147" s="145">
        <v>33</v>
      </c>
      <c r="H147" s="145">
        <v>0</v>
      </c>
      <c r="I147" s="49">
        <f t="shared" si="120"/>
        <v>46522</v>
      </c>
      <c r="J147" s="76">
        <v>1950000</v>
      </c>
      <c r="K147" s="40">
        <f t="shared" si="121"/>
        <v>33</v>
      </c>
      <c r="L147" s="74">
        <f t="shared" si="122"/>
        <v>1950000</v>
      </c>
      <c r="M147" s="76"/>
      <c r="N147" s="76">
        <f t="shared" si="123"/>
        <v>0</v>
      </c>
      <c r="O147" s="148"/>
      <c r="P147" s="148"/>
      <c r="Q147" s="148"/>
      <c r="R147" s="150"/>
      <c r="S147" s="150"/>
      <c r="T147" s="150"/>
      <c r="U147" s="150"/>
      <c r="V147" s="150"/>
      <c r="W147" s="150"/>
      <c r="X147" s="150"/>
      <c r="Y147" s="149"/>
      <c r="Z147" s="149">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1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64"/>
      <c r="B148" s="73">
        <f t="shared" si="119"/>
        <v>-59090.909090909088</v>
      </c>
      <c r="E148" s="158">
        <v>42826</v>
      </c>
      <c r="G148" s="145">
        <v>33</v>
      </c>
      <c r="H148" s="145">
        <v>0</v>
      </c>
      <c r="I148" s="49">
        <f t="shared" si="120"/>
        <v>46522</v>
      </c>
      <c r="J148" s="76">
        <v>1950000</v>
      </c>
      <c r="K148" s="40">
        <f t="shared" si="121"/>
        <v>33</v>
      </c>
      <c r="L148" s="74">
        <f t="shared" si="122"/>
        <v>1950000</v>
      </c>
      <c r="M148" s="76"/>
      <c r="N148" s="76">
        <f t="shared" si="123"/>
        <v>0</v>
      </c>
      <c r="O148" s="148"/>
      <c r="P148" s="148"/>
      <c r="Q148" s="148"/>
      <c r="R148" s="150"/>
      <c r="S148" s="150"/>
      <c r="T148" s="150"/>
      <c r="U148" s="150"/>
      <c r="V148" s="150"/>
      <c r="W148" s="150"/>
      <c r="X148" s="150"/>
      <c r="Y148" s="149"/>
      <c r="Z148" s="149">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1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64"/>
      <c r="B149" s="73">
        <f t="shared" si="119"/>
        <v>-59090.909090909088</v>
      </c>
      <c r="E149" s="158">
        <v>42826</v>
      </c>
      <c r="G149" s="145">
        <v>33</v>
      </c>
      <c r="H149" s="145">
        <v>0</v>
      </c>
      <c r="I149" s="49">
        <f t="shared" si="120"/>
        <v>46522</v>
      </c>
      <c r="J149" s="76">
        <v>1950000</v>
      </c>
      <c r="K149" s="40">
        <f t="shared" si="121"/>
        <v>33</v>
      </c>
      <c r="L149" s="74">
        <f t="shared" si="122"/>
        <v>1950000</v>
      </c>
      <c r="M149" s="76"/>
      <c r="N149" s="76">
        <f t="shared" si="123"/>
        <v>0</v>
      </c>
      <c r="O149" s="148"/>
      <c r="P149" s="148"/>
      <c r="Q149" s="148"/>
      <c r="R149" s="150"/>
      <c r="S149" s="150"/>
      <c r="T149" s="150"/>
      <c r="U149" s="150"/>
      <c r="V149" s="150"/>
      <c r="W149" s="150"/>
      <c r="X149" s="150"/>
      <c r="Y149" s="149"/>
      <c r="Z149" s="149">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1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64"/>
      <c r="B150" s="73">
        <f t="shared" si="119"/>
        <v>-59090.909090909088</v>
      </c>
      <c r="E150" s="158">
        <v>42826</v>
      </c>
      <c r="G150" s="145">
        <v>33</v>
      </c>
      <c r="H150" s="145">
        <v>0</v>
      </c>
      <c r="I150" s="49">
        <f t="shared" si="120"/>
        <v>46522</v>
      </c>
      <c r="J150" s="76">
        <v>1950000</v>
      </c>
      <c r="K150" s="40">
        <f t="shared" si="121"/>
        <v>33</v>
      </c>
      <c r="L150" s="74">
        <f t="shared" si="122"/>
        <v>1950000</v>
      </c>
      <c r="M150" s="76"/>
      <c r="N150" s="76">
        <f t="shared" si="123"/>
        <v>0</v>
      </c>
      <c r="O150" s="148"/>
      <c r="P150" s="148"/>
      <c r="Q150" s="148"/>
      <c r="R150" s="150"/>
      <c r="S150" s="150"/>
      <c r="T150" s="150"/>
      <c r="U150" s="150"/>
      <c r="V150" s="150"/>
      <c r="W150" s="150"/>
      <c r="X150" s="150"/>
      <c r="Y150" s="149"/>
      <c r="Z150" s="149">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1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64"/>
      <c r="B151" s="73">
        <f t="shared" si="119"/>
        <v>-59090.909090909088</v>
      </c>
      <c r="E151" s="158">
        <v>42826</v>
      </c>
      <c r="G151" s="145">
        <v>33</v>
      </c>
      <c r="H151" s="145">
        <v>0</v>
      </c>
      <c r="I151" s="49">
        <f t="shared" si="120"/>
        <v>46522</v>
      </c>
      <c r="J151" s="76">
        <v>1950000</v>
      </c>
      <c r="K151" s="40">
        <f t="shared" si="121"/>
        <v>33</v>
      </c>
      <c r="L151" s="74">
        <f t="shared" si="122"/>
        <v>1950000</v>
      </c>
      <c r="M151" s="76"/>
      <c r="N151" s="76">
        <f t="shared" si="123"/>
        <v>0</v>
      </c>
      <c r="O151" s="148"/>
      <c r="P151" s="148"/>
      <c r="Q151" s="148"/>
      <c r="R151" s="150"/>
      <c r="S151" s="150"/>
      <c r="T151" s="150"/>
      <c r="U151" s="150"/>
      <c r="V151" s="150"/>
      <c r="W151" s="150"/>
      <c r="X151" s="150"/>
      <c r="Y151" s="149"/>
      <c r="Z151" s="149">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1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64"/>
      <c r="B152" s="73">
        <f t="shared" si="119"/>
        <v>-59090.909090909088</v>
      </c>
      <c r="E152" s="158">
        <v>42826</v>
      </c>
      <c r="G152" s="145">
        <v>33</v>
      </c>
      <c r="H152" s="145">
        <v>0</v>
      </c>
      <c r="I152" s="49">
        <f t="shared" si="120"/>
        <v>46522</v>
      </c>
      <c r="J152" s="76">
        <v>1950000</v>
      </c>
      <c r="K152" s="40">
        <f t="shared" si="121"/>
        <v>33</v>
      </c>
      <c r="L152" s="74">
        <f t="shared" si="122"/>
        <v>1950000</v>
      </c>
      <c r="M152" s="76"/>
      <c r="N152" s="76">
        <f t="shared" si="123"/>
        <v>0</v>
      </c>
      <c r="O152" s="148"/>
      <c r="P152" s="148"/>
      <c r="Q152" s="148"/>
      <c r="R152" s="150"/>
      <c r="S152" s="150"/>
      <c r="T152" s="150"/>
      <c r="U152" s="150"/>
      <c r="V152" s="150"/>
      <c r="W152" s="150"/>
      <c r="X152" s="150"/>
      <c r="Y152" s="149"/>
      <c r="Z152" s="149">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1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64"/>
      <c r="B153" s="73">
        <f t="shared" si="119"/>
        <v>-59090.909090909088</v>
      </c>
      <c r="E153" s="158">
        <v>42826</v>
      </c>
      <c r="G153" s="145">
        <v>33</v>
      </c>
      <c r="H153" s="145">
        <v>0</v>
      </c>
      <c r="I153" s="49">
        <f t="shared" si="120"/>
        <v>46522</v>
      </c>
      <c r="J153" s="76">
        <v>1950000</v>
      </c>
      <c r="K153" s="40">
        <f t="shared" si="121"/>
        <v>33</v>
      </c>
      <c r="L153" s="74">
        <f t="shared" si="122"/>
        <v>1950000</v>
      </c>
      <c r="M153" s="76"/>
      <c r="N153" s="76">
        <f t="shared" si="123"/>
        <v>0</v>
      </c>
      <c r="O153" s="148"/>
      <c r="P153" s="148"/>
      <c r="Q153" s="148"/>
      <c r="R153" s="150"/>
      <c r="S153" s="150"/>
      <c r="T153" s="150"/>
      <c r="U153" s="150"/>
      <c r="V153" s="150"/>
      <c r="W153" s="150"/>
      <c r="X153" s="150"/>
      <c r="Y153" s="149"/>
      <c r="Z153" s="149">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1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64"/>
      <c r="B154" s="73">
        <f t="shared" si="119"/>
        <v>-59090.909090909088</v>
      </c>
      <c r="E154" s="158">
        <v>42826</v>
      </c>
      <c r="G154" s="145">
        <v>33</v>
      </c>
      <c r="H154" s="145">
        <v>0</v>
      </c>
      <c r="I154" s="49">
        <f t="shared" si="120"/>
        <v>46522</v>
      </c>
      <c r="J154" s="76">
        <v>1950000</v>
      </c>
      <c r="K154" s="40">
        <f t="shared" si="121"/>
        <v>33</v>
      </c>
      <c r="L154" s="74">
        <f t="shared" si="122"/>
        <v>1950000</v>
      </c>
      <c r="M154" s="76"/>
      <c r="N154" s="76">
        <f t="shared" si="123"/>
        <v>0</v>
      </c>
      <c r="O154" s="148"/>
      <c r="P154" s="148"/>
      <c r="Q154" s="148"/>
      <c r="R154" s="150"/>
      <c r="S154" s="150"/>
      <c r="T154" s="150"/>
      <c r="U154" s="150"/>
      <c r="V154" s="150"/>
      <c r="W154" s="150"/>
      <c r="X154" s="150"/>
      <c r="Y154" s="149"/>
      <c r="Z154" s="149">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1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64"/>
      <c r="B155" s="73">
        <f t="shared" si="119"/>
        <v>-59090.909090909088</v>
      </c>
      <c r="E155" s="158">
        <v>42826</v>
      </c>
      <c r="G155" s="145">
        <v>33</v>
      </c>
      <c r="H155" s="145">
        <v>0</v>
      </c>
      <c r="I155" s="49">
        <f t="shared" si="120"/>
        <v>46522</v>
      </c>
      <c r="J155" s="76">
        <v>1950000</v>
      </c>
      <c r="K155" s="40">
        <f t="shared" si="121"/>
        <v>33</v>
      </c>
      <c r="L155" s="74">
        <f t="shared" si="122"/>
        <v>1950000</v>
      </c>
      <c r="M155" s="76"/>
      <c r="N155" s="76">
        <f t="shared" si="123"/>
        <v>0</v>
      </c>
      <c r="O155" s="148"/>
      <c r="P155" s="148"/>
      <c r="Q155" s="148"/>
      <c r="R155" s="150"/>
      <c r="S155" s="150"/>
      <c r="T155" s="150"/>
      <c r="U155" s="150"/>
      <c r="V155" s="150"/>
      <c r="W155" s="150"/>
      <c r="X155" s="150"/>
      <c r="Y155" s="149"/>
      <c r="Z155" s="149">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1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64"/>
      <c r="B156" s="73">
        <f t="shared" si="119"/>
        <v>-59090.909090909088</v>
      </c>
      <c r="E156" s="158">
        <v>42826</v>
      </c>
      <c r="G156" s="145">
        <v>33</v>
      </c>
      <c r="H156" s="145">
        <v>0</v>
      </c>
      <c r="I156" s="49">
        <f t="shared" si="120"/>
        <v>46522</v>
      </c>
      <c r="J156" s="76">
        <v>1950000</v>
      </c>
      <c r="K156" s="40">
        <f t="shared" si="121"/>
        <v>33</v>
      </c>
      <c r="L156" s="74">
        <f t="shared" si="122"/>
        <v>1950000</v>
      </c>
      <c r="M156" s="76"/>
      <c r="N156" s="76">
        <f t="shared" si="123"/>
        <v>0</v>
      </c>
      <c r="O156" s="148"/>
      <c r="P156" s="148"/>
      <c r="Q156" s="148"/>
      <c r="R156" s="150"/>
      <c r="S156" s="150"/>
      <c r="T156" s="150"/>
      <c r="U156" s="150"/>
      <c r="V156" s="150"/>
      <c r="W156" s="150"/>
      <c r="X156" s="150"/>
      <c r="Y156" s="149"/>
      <c r="Z156" s="149">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1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64"/>
      <c r="B157" s="73">
        <f t="shared" ref="B157:B203" si="144">(N157+F157-J157)/K157</f>
        <v>-59090.909090909088</v>
      </c>
      <c r="E157" s="158">
        <v>42826</v>
      </c>
      <c r="G157" s="145">
        <v>33</v>
      </c>
      <c r="H157" s="145">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8"/>
      <c r="P157" s="148"/>
      <c r="Q157" s="148"/>
      <c r="R157" s="150"/>
      <c r="S157" s="150"/>
      <c r="T157" s="150"/>
      <c r="U157" s="150"/>
      <c r="V157" s="150"/>
      <c r="W157" s="150"/>
      <c r="X157" s="150"/>
      <c r="Y157" s="149"/>
      <c r="Z157" s="149">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1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64"/>
      <c r="B158" s="73">
        <f t="shared" si="144"/>
        <v>-59090.909090909088</v>
      </c>
      <c r="E158" s="158">
        <v>42826</v>
      </c>
      <c r="G158" s="145">
        <v>33</v>
      </c>
      <c r="H158" s="145">
        <v>0</v>
      </c>
      <c r="I158" s="49">
        <f t="shared" si="145"/>
        <v>46522</v>
      </c>
      <c r="J158" s="76">
        <v>1950000</v>
      </c>
      <c r="K158" s="40">
        <f t="shared" si="146"/>
        <v>33</v>
      </c>
      <c r="L158" s="74">
        <f t="shared" si="147"/>
        <v>1950000</v>
      </c>
      <c r="M158" s="76"/>
      <c r="N158" s="76">
        <f t="shared" si="148"/>
        <v>0</v>
      </c>
      <c r="O158" s="148"/>
      <c r="P158" s="148"/>
      <c r="Q158" s="148"/>
      <c r="R158" s="150"/>
      <c r="S158" s="150"/>
      <c r="T158" s="150"/>
      <c r="U158" s="150"/>
      <c r="V158" s="150"/>
      <c r="W158" s="150"/>
      <c r="X158" s="150"/>
      <c r="Y158" s="149"/>
      <c r="Z158" s="149">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1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64"/>
      <c r="B159" s="73">
        <f t="shared" si="144"/>
        <v>-59090.909090909088</v>
      </c>
      <c r="E159" s="158">
        <v>42826</v>
      </c>
      <c r="G159" s="145">
        <v>33</v>
      </c>
      <c r="H159" s="145">
        <v>0</v>
      </c>
      <c r="I159" s="49">
        <f t="shared" si="145"/>
        <v>46522</v>
      </c>
      <c r="J159" s="76">
        <v>1950000</v>
      </c>
      <c r="K159" s="40">
        <f t="shared" si="146"/>
        <v>33</v>
      </c>
      <c r="L159" s="74">
        <f t="shared" si="147"/>
        <v>1950000</v>
      </c>
      <c r="M159" s="76"/>
      <c r="N159" s="76">
        <f t="shared" si="148"/>
        <v>0</v>
      </c>
      <c r="O159" s="148"/>
      <c r="P159" s="148"/>
      <c r="Q159" s="148"/>
      <c r="R159" s="150"/>
      <c r="S159" s="150"/>
      <c r="T159" s="150"/>
      <c r="U159" s="150"/>
      <c r="V159" s="150"/>
      <c r="W159" s="150"/>
      <c r="X159" s="150"/>
      <c r="Y159" s="149"/>
      <c r="Z159" s="149">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1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64"/>
      <c r="B160" s="73">
        <f t="shared" si="144"/>
        <v>-59090.909090909088</v>
      </c>
      <c r="E160" s="158">
        <v>42826</v>
      </c>
      <c r="G160" s="145">
        <v>33</v>
      </c>
      <c r="H160" s="145">
        <v>0</v>
      </c>
      <c r="I160" s="49">
        <f t="shared" si="145"/>
        <v>46522</v>
      </c>
      <c r="J160" s="76">
        <v>1950000</v>
      </c>
      <c r="K160" s="40">
        <f t="shared" si="146"/>
        <v>33</v>
      </c>
      <c r="L160" s="74">
        <f t="shared" si="147"/>
        <v>1950000</v>
      </c>
      <c r="M160" s="76"/>
      <c r="N160" s="76">
        <f t="shared" si="148"/>
        <v>0</v>
      </c>
      <c r="O160" s="148"/>
      <c r="P160" s="148"/>
      <c r="Q160" s="148"/>
      <c r="R160" s="150"/>
      <c r="S160" s="150"/>
      <c r="T160" s="150"/>
      <c r="U160" s="150"/>
      <c r="V160" s="150"/>
      <c r="W160" s="150"/>
      <c r="X160" s="150"/>
      <c r="Y160" s="149"/>
      <c r="Z160" s="149">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1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64"/>
      <c r="B161" s="73">
        <f t="shared" si="144"/>
        <v>-59090.909090909088</v>
      </c>
      <c r="E161" s="158">
        <v>42826</v>
      </c>
      <c r="G161" s="145">
        <v>33</v>
      </c>
      <c r="H161" s="145">
        <v>0</v>
      </c>
      <c r="I161" s="49">
        <f t="shared" si="145"/>
        <v>46522</v>
      </c>
      <c r="J161" s="76">
        <v>1950000</v>
      </c>
      <c r="K161" s="40">
        <f t="shared" si="146"/>
        <v>33</v>
      </c>
      <c r="L161" s="74">
        <f t="shared" si="147"/>
        <v>1950000</v>
      </c>
      <c r="M161" s="76"/>
      <c r="N161" s="76">
        <f t="shared" si="148"/>
        <v>0</v>
      </c>
      <c r="O161" s="148"/>
      <c r="P161" s="148"/>
      <c r="Q161" s="148"/>
      <c r="R161" s="150"/>
      <c r="S161" s="150"/>
      <c r="T161" s="150"/>
      <c r="U161" s="150"/>
      <c r="V161" s="150"/>
      <c r="W161" s="150"/>
      <c r="X161" s="150"/>
      <c r="Y161" s="149"/>
      <c r="Z161" s="149">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1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64"/>
      <c r="B162" s="73">
        <f t="shared" si="144"/>
        <v>-59090.909090909088</v>
      </c>
      <c r="E162" s="158">
        <v>42826</v>
      </c>
      <c r="G162" s="145">
        <v>33</v>
      </c>
      <c r="H162" s="145">
        <v>0</v>
      </c>
      <c r="I162" s="49">
        <f t="shared" si="145"/>
        <v>46522</v>
      </c>
      <c r="J162" s="76">
        <v>1950000</v>
      </c>
      <c r="K162" s="40">
        <f t="shared" si="146"/>
        <v>33</v>
      </c>
      <c r="L162" s="74">
        <f t="shared" si="147"/>
        <v>1950000</v>
      </c>
      <c r="M162" s="76"/>
      <c r="N162" s="76">
        <f t="shared" si="148"/>
        <v>0</v>
      </c>
      <c r="O162" s="148"/>
      <c r="P162" s="148"/>
      <c r="Q162" s="148"/>
      <c r="R162" s="150"/>
      <c r="S162" s="150"/>
      <c r="T162" s="150"/>
      <c r="U162" s="150"/>
      <c r="V162" s="150"/>
      <c r="W162" s="150"/>
      <c r="X162" s="150"/>
      <c r="Y162" s="149"/>
      <c r="Z162" s="149">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1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64"/>
      <c r="B163" s="73">
        <f t="shared" si="144"/>
        <v>-59090.909090909088</v>
      </c>
      <c r="E163" s="158">
        <v>42826</v>
      </c>
      <c r="G163" s="145">
        <v>33</v>
      </c>
      <c r="H163" s="145">
        <v>0</v>
      </c>
      <c r="I163" s="49">
        <f t="shared" si="145"/>
        <v>46522</v>
      </c>
      <c r="J163" s="76">
        <v>1950000</v>
      </c>
      <c r="K163" s="40">
        <f t="shared" si="146"/>
        <v>33</v>
      </c>
      <c r="L163" s="74">
        <f t="shared" si="147"/>
        <v>1950000</v>
      </c>
      <c r="M163" s="76"/>
      <c r="N163" s="76">
        <f t="shared" si="148"/>
        <v>0</v>
      </c>
      <c r="O163" s="148"/>
      <c r="P163" s="148"/>
      <c r="Q163" s="148"/>
      <c r="R163" s="150"/>
      <c r="S163" s="150"/>
      <c r="T163" s="150"/>
      <c r="U163" s="150"/>
      <c r="V163" s="150"/>
      <c r="W163" s="150"/>
      <c r="X163" s="150"/>
      <c r="Y163" s="149"/>
      <c r="Z163" s="149">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1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64"/>
      <c r="B164" s="73">
        <f t="shared" si="144"/>
        <v>-59090.909090909088</v>
      </c>
      <c r="E164" s="158">
        <v>42826</v>
      </c>
      <c r="G164" s="145">
        <v>33</v>
      </c>
      <c r="H164" s="145">
        <v>0</v>
      </c>
      <c r="I164" s="49">
        <f t="shared" si="145"/>
        <v>46522</v>
      </c>
      <c r="J164" s="76">
        <v>1950000</v>
      </c>
      <c r="K164" s="40">
        <f t="shared" si="146"/>
        <v>33</v>
      </c>
      <c r="L164" s="74">
        <f t="shared" si="147"/>
        <v>1950000</v>
      </c>
      <c r="M164" s="76"/>
      <c r="N164" s="76">
        <f t="shared" si="148"/>
        <v>0</v>
      </c>
      <c r="O164" s="148"/>
      <c r="P164" s="148"/>
      <c r="Q164" s="148"/>
      <c r="R164" s="150"/>
      <c r="S164" s="150"/>
      <c r="T164" s="150"/>
      <c r="U164" s="150"/>
      <c r="V164" s="150"/>
      <c r="W164" s="150"/>
      <c r="X164" s="150"/>
      <c r="Y164" s="149"/>
      <c r="Z164" s="149">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1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64"/>
      <c r="B165" s="73">
        <f t="shared" si="144"/>
        <v>-59090.909090909088</v>
      </c>
      <c r="E165" s="158">
        <v>42826</v>
      </c>
      <c r="G165" s="145">
        <v>33</v>
      </c>
      <c r="H165" s="145">
        <v>0</v>
      </c>
      <c r="I165" s="49">
        <f t="shared" si="145"/>
        <v>46522</v>
      </c>
      <c r="J165" s="76">
        <v>1950000</v>
      </c>
      <c r="K165" s="40">
        <f t="shared" si="146"/>
        <v>33</v>
      </c>
      <c r="L165" s="74">
        <f t="shared" si="147"/>
        <v>1950000</v>
      </c>
      <c r="M165" s="76"/>
      <c r="N165" s="76">
        <f t="shared" si="148"/>
        <v>0</v>
      </c>
      <c r="O165" s="148"/>
      <c r="P165" s="148"/>
      <c r="Q165" s="148"/>
      <c r="R165" s="150"/>
      <c r="S165" s="150"/>
      <c r="T165" s="150"/>
      <c r="U165" s="150"/>
      <c r="V165" s="150"/>
      <c r="W165" s="150"/>
      <c r="X165" s="150"/>
      <c r="Y165" s="149"/>
      <c r="Z165" s="149">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1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64"/>
      <c r="B166" s="73">
        <f t="shared" si="144"/>
        <v>-59090.909090909088</v>
      </c>
      <c r="E166" s="158">
        <v>42826</v>
      </c>
      <c r="G166" s="145">
        <v>33</v>
      </c>
      <c r="H166" s="145">
        <v>0</v>
      </c>
      <c r="I166" s="49">
        <f t="shared" si="145"/>
        <v>46522</v>
      </c>
      <c r="J166" s="76">
        <v>1950000</v>
      </c>
      <c r="K166" s="40">
        <f t="shared" si="146"/>
        <v>33</v>
      </c>
      <c r="L166" s="74">
        <f t="shared" si="147"/>
        <v>1950000</v>
      </c>
      <c r="M166" s="76"/>
      <c r="N166" s="76">
        <f t="shared" si="148"/>
        <v>0</v>
      </c>
      <c r="O166" s="148"/>
      <c r="P166" s="148"/>
      <c r="Q166" s="148"/>
      <c r="R166" s="150"/>
      <c r="S166" s="150"/>
      <c r="T166" s="150"/>
      <c r="U166" s="150"/>
      <c r="V166" s="150"/>
      <c r="W166" s="150"/>
      <c r="X166" s="150"/>
      <c r="Y166" s="149"/>
      <c r="Z166" s="149">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1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64"/>
      <c r="B167" s="73">
        <f t="shared" si="144"/>
        <v>-59090.909090909088</v>
      </c>
      <c r="E167" s="158">
        <v>42826</v>
      </c>
      <c r="G167" s="145">
        <v>33</v>
      </c>
      <c r="H167" s="145">
        <v>0</v>
      </c>
      <c r="I167" s="49">
        <f t="shared" si="145"/>
        <v>46522</v>
      </c>
      <c r="J167" s="76">
        <v>1950000</v>
      </c>
      <c r="K167" s="40">
        <f t="shared" si="146"/>
        <v>33</v>
      </c>
      <c r="L167" s="74">
        <f t="shared" si="147"/>
        <v>1950000</v>
      </c>
      <c r="M167" s="76"/>
      <c r="N167" s="76">
        <f t="shared" si="148"/>
        <v>0</v>
      </c>
      <c r="O167" s="148"/>
      <c r="P167" s="148"/>
      <c r="Q167" s="148"/>
      <c r="R167" s="150"/>
      <c r="S167" s="150"/>
      <c r="T167" s="150"/>
      <c r="U167" s="150"/>
      <c r="V167" s="150"/>
      <c r="W167" s="150"/>
      <c r="X167" s="150"/>
      <c r="Y167" s="149"/>
      <c r="Z167" s="149">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1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64"/>
      <c r="B168" s="73">
        <f t="shared" si="144"/>
        <v>-59090.909090909088</v>
      </c>
      <c r="E168" s="158">
        <v>42826</v>
      </c>
      <c r="G168" s="145">
        <v>33</v>
      </c>
      <c r="H168" s="145">
        <v>0</v>
      </c>
      <c r="I168" s="49">
        <f t="shared" si="145"/>
        <v>46522</v>
      </c>
      <c r="J168" s="76">
        <v>1950000</v>
      </c>
      <c r="K168" s="40">
        <f t="shared" si="146"/>
        <v>33</v>
      </c>
      <c r="L168" s="74">
        <f t="shared" si="147"/>
        <v>1950000</v>
      </c>
      <c r="M168" s="76"/>
      <c r="N168" s="76">
        <f t="shared" si="148"/>
        <v>0</v>
      </c>
      <c r="O168" s="148"/>
      <c r="P168" s="148"/>
      <c r="Q168" s="148"/>
      <c r="R168" s="150"/>
      <c r="S168" s="150"/>
      <c r="T168" s="150"/>
      <c r="U168" s="150"/>
      <c r="V168" s="150"/>
      <c r="W168" s="150"/>
      <c r="X168" s="150"/>
      <c r="Y168" s="149"/>
      <c r="Z168" s="149">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1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64"/>
      <c r="B169" s="73">
        <f t="shared" si="144"/>
        <v>-59090.909090909088</v>
      </c>
      <c r="E169" s="158">
        <v>42826</v>
      </c>
      <c r="G169" s="145">
        <v>33</v>
      </c>
      <c r="H169" s="145">
        <v>0</v>
      </c>
      <c r="I169" s="49">
        <f t="shared" si="145"/>
        <v>46522</v>
      </c>
      <c r="J169" s="76">
        <v>1950000</v>
      </c>
      <c r="K169" s="40">
        <f t="shared" si="146"/>
        <v>33</v>
      </c>
      <c r="L169" s="74">
        <f t="shared" si="147"/>
        <v>1950000</v>
      </c>
      <c r="M169" s="76"/>
      <c r="N169" s="76">
        <f t="shared" si="148"/>
        <v>0</v>
      </c>
      <c r="O169" s="148"/>
      <c r="P169" s="148"/>
      <c r="Q169" s="148"/>
      <c r="R169" s="150"/>
      <c r="S169" s="150"/>
      <c r="T169" s="150"/>
      <c r="U169" s="150"/>
      <c r="V169" s="150"/>
      <c r="W169" s="150"/>
      <c r="X169" s="150"/>
      <c r="Y169" s="149"/>
      <c r="Z169" s="149">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1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64"/>
      <c r="B170" s="73">
        <f t="shared" si="144"/>
        <v>-59090.909090909088</v>
      </c>
      <c r="E170" s="158">
        <v>42826</v>
      </c>
      <c r="G170" s="145">
        <v>33</v>
      </c>
      <c r="H170" s="145">
        <v>0</v>
      </c>
      <c r="I170" s="49">
        <f t="shared" si="145"/>
        <v>46522</v>
      </c>
      <c r="J170" s="76">
        <v>1950000</v>
      </c>
      <c r="K170" s="40">
        <f t="shared" si="146"/>
        <v>33</v>
      </c>
      <c r="L170" s="74">
        <f t="shared" si="147"/>
        <v>1950000</v>
      </c>
      <c r="M170" s="76"/>
      <c r="N170" s="76">
        <f t="shared" si="148"/>
        <v>0</v>
      </c>
      <c r="O170" s="148"/>
      <c r="P170" s="148"/>
      <c r="Q170" s="148"/>
      <c r="R170" s="150"/>
      <c r="S170" s="150"/>
      <c r="T170" s="150"/>
      <c r="U170" s="150"/>
      <c r="V170" s="150"/>
      <c r="W170" s="150"/>
      <c r="X170" s="150"/>
      <c r="Y170" s="149"/>
      <c r="Z170" s="149">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1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64"/>
      <c r="B171" s="73">
        <f t="shared" si="144"/>
        <v>-59090.909090909088</v>
      </c>
      <c r="E171" s="158">
        <v>42826</v>
      </c>
      <c r="G171" s="145">
        <v>33</v>
      </c>
      <c r="H171" s="145">
        <v>0</v>
      </c>
      <c r="I171" s="49">
        <f t="shared" si="145"/>
        <v>46522</v>
      </c>
      <c r="J171" s="76">
        <v>1950000</v>
      </c>
      <c r="K171" s="40">
        <f t="shared" si="146"/>
        <v>33</v>
      </c>
      <c r="L171" s="74">
        <f t="shared" si="147"/>
        <v>1950000</v>
      </c>
      <c r="M171" s="76"/>
      <c r="N171" s="76">
        <f t="shared" si="148"/>
        <v>0</v>
      </c>
      <c r="O171" s="148"/>
      <c r="P171" s="148"/>
      <c r="Q171" s="148"/>
      <c r="R171" s="150"/>
      <c r="S171" s="150"/>
      <c r="T171" s="150"/>
      <c r="U171" s="150"/>
      <c r="V171" s="150"/>
      <c r="W171" s="150"/>
      <c r="X171" s="150"/>
      <c r="Y171" s="149"/>
      <c r="Z171" s="149">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1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64"/>
      <c r="B172" s="73">
        <f t="shared" si="144"/>
        <v>-59090.909090909088</v>
      </c>
      <c r="E172" s="158">
        <v>42826</v>
      </c>
      <c r="G172" s="145">
        <v>33</v>
      </c>
      <c r="H172" s="145">
        <v>0</v>
      </c>
      <c r="I172" s="49">
        <f t="shared" si="145"/>
        <v>46522</v>
      </c>
      <c r="J172" s="76">
        <v>1950000</v>
      </c>
      <c r="K172" s="40">
        <f t="shared" si="146"/>
        <v>33</v>
      </c>
      <c r="L172" s="74">
        <f t="shared" si="147"/>
        <v>1950000</v>
      </c>
      <c r="M172" s="76"/>
      <c r="N172" s="76">
        <f t="shared" si="148"/>
        <v>0</v>
      </c>
      <c r="O172" s="148"/>
      <c r="P172" s="148"/>
      <c r="Q172" s="148"/>
      <c r="R172" s="150"/>
      <c r="S172" s="150"/>
      <c r="T172" s="150"/>
      <c r="U172" s="150"/>
      <c r="V172" s="150"/>
      <c r="W172" s="150"/>
      <c r="X172" s="150"/>
      <c r="Y172" s="149"/>
      <c r="Z172" s="149">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1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64"/>
      <c r="B173" s="73">
        <f t="shared" si="144"/>
        <v>-59090.909090909088</v>
      </c>
      <c r="E173" s="158">
        <v>42826</v>
      </c>
      <c r="G173" s="145">
        <v>33</v>
      </c>
      <c r="H173" s="145">
        <v>0</v>
      </c>
      <c r="I173" s="49">
        <f t="shared" si="145"/>
        <v>46522</v>
      </c>
      <c r="J173" s="76">
        <v>1950000</v>
      </c>
      <c r="K173" s="40">
        <f t="shared" si="146"/>
        <v>33</v>
      </c>
      <c r="L173" s="74">
        <f t="shared" si="147"/>
        <v>1950000</v>
      </c>
      <c r="M173" s="76"/>
      <c r="N173" s="76">
        <f t="shared" si="148"/>
        <v>0</v>
      </c>
      <c r="O173" s="148"/>
      <c r="P173" s="148"/>
      <c r="Q173" s="148"/>
      <c r="R173" s="150"/>
      <c r="S173" s="150"/>
      <c r="T173" s="150"/>
      <c r="U173" s="150"/>
      <c r="V173" s="150"/>
      <c r="W173" s="150"/>
      <c r="X173" s="150"/>
      <c r="Y173" s="149"/>
      <c r="Z173" s="149">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1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64"/>
      <c r="B174" s="73">
        <f t="shared" si="144"/>
        <v>-59090.909090909088</v>
      </c>
      <c r="E174" s="158">
        <v>42826</v>
      </c>
      <c r="G174" s="145">
        <v>33</v>
      </c>
      <c r="H174" s="145">
        <v>0</v>
      </c>
      <c r="I174" s="49">
        <f t="shared" si="145"/>
        <v>46522</v>
      </c>
      <c r="J174" s="76">
        <v>1950000</v>
      </c>
      <c r="K174" s="40">
        <f t="shared" si="146"/>
        <v>33</v>
      </c>
      <c r="L174" s="74">
        <f t="shared" si="147"/>
        <v>1950000</v>
      </c>
      <c r="M174" s="76"/>
      <c r="N174" s="76">
        <f t="shared" si="148"/>
        <v>0</v>
      </c>
      <c r="O174" s="148"/>
      <c r="P174" s="148"/>
      <c r="Q174" s="148"/>
      <c r="R174" s="150"/>
      <c r="S174" s="150"/>
      <c r="T174" s="150"/>
      <c r="U174" s="150"/>
      <c r="V174" s="150"/>
      <c r="W174" s="150"/>
      <c r="X174" s="150"/>
      <c r="Y174" s="149"/>
      <c r="Z174" s="149">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1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64"/>
      <c r="B175" s="73">
        <f t="shared" si="144"/>
        <v>-59090.909090909088</v>
      </c>
      <c r="E175" s="158">
        <v>42826</v>
      </c>
      <c r="G175" s="145">
        <v>33</v>
      </c>
      <c r="H175" s="145">
        <v>0</v>
      </c>
      <c r="I175" s="49">
        <f t="shared" si="145"/>
        <v>46522</v>
      </c>
      <c r="J175" s="76">
        <v>1950000</v>
      </c>
      <c r="K175" s="40">
        <f t="shared" si="146"/>
        <v>33</v>
      </c>
      <c r="L175" s="74">
        <f t="shared" si="147"/>
        <v>1950000</v>
      </c>
      <c r="M175" s="76"/>
      <c r="N175" s="76">
        <f t="shared" si="148"/>
        <v>0</v>
      </c>
      <c r="O175" s="148"/>
      <c r="P175" s="148"/>
      <c r="Q175" s="148"/>
      <c r="R175" s="150"/>
      <c r="S175" s="150"/>
      <c r="T175" s="150"/>
      <c r="U175" s="150"/>
      <c r="V175" s="150"/>
      <c r="W175" s="150"/>
      <c r="X175" s="150"/>
      <c r="Y175" s="149"/>
      <c r="Z175" s="149">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1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64"/>
      <c r="B176" s="73">
        <f t="shared" si="144"/>
        <v>-59090.909090909088</v>
      </c>
      <c r="E176" s="158">
        <v>42826</v>
      </c>
      <c r="G176" s="145">
        <v>33</v>
      </c>
      <c r="H176" s="145">
        <v>0</v>
      </c>
      <c r="I176" s="49">
        <f t="shared" si="145"/>
        <v>46522</v>
      </c>
      <c r="J176" s="76">
        <v>1950000</v>
      </c>
      <c r="K176" s="40">
        <f t="shared" si="146"/>
        <v>33</v>
      </c>
      <c r="L176" s="74">
        <f t="shared" si="147"/>
        <v>1950000</v>
      </c>
      <c r="M176" s="76"/>
      <c r="N176" s="76">
        <f t="shared" si="148"/>
        <v>0</v>
      </c>
      <c r="O176" s="148"/>
      <c r="P176" s="148"/>
      <c r="Q176" s="148"/>
      <c r="R176" s="150"/>
      <c r="S176" s="150"/>
      <c r="T176" s="150"/>
      <c r="U176" s="150"/>
      <c r="V176" s="150"/>
      <c r="W176" s="150"/>
      <c r="X176" s="150"/>
      <c r="Y176" s="149"/>
      <c r="Z176" s="149">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1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64"/>
      <c r="B177" s="73">
        <f t="shared" si="144"/>
        <v>-59090.909090909088</v>
      </c>
      <c r="E177" s="158">
        <v>42826</v>
      </c>
      <c r="G177" s="145">
        <v>33</v>
      </c>
      <c r="H177" s="145">
        <v>0</v>
      </c>
      <c r="I177" s="49">
        <f t="shared" si="145"/>
        <v>46522</v>
      </c>
      <c r="J177" s="76">
        <v>1950000</v>
      </c>
      <c r="K177" s="40">
        <f t="shared" si="146"/>
        <v>33</v>
      </c>
      <c r="L177" s="74">
        <f t="shared" si="147"/>
        <v>1950000</v>
      </c>
      <c r="M177" s="76"/>
      <c r="N177" s="76">
        <f t="shared" si="148"/>
        <v>0</v>
      </c>
      <c r="O177" s="148"/>
      <c r="P177" s="148"/>
      <c r="Q177" s="148"/>
      <c r="R177" s="150"/>
      <c r="S177" s="150"/>
      <c r="T177" s="150"/>
      <c r="U177" s="150"/>
      <c r="V177" s="150"/>
      <c r="W177" s="150"/>
      <c r="X177" s="150"/>
      <c r="Y177" s="149"/>
      <c r="Z177" s="149">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1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64"/>
      <c r="B178" s="73">
        <f t="shared" si="144"/>
        <v>-59090.909090909088</v>
      </c>
      <c r="E178" s="158">
        <v>42826</v>
      </c>
      <c r="G178" s="145">
        <v>33</v>
      </c>
      <c r="H178" s="145">
        <v>0</v>
      </c>
      <c r="I178" s="49">
        <f t="shared" si="145"/>
        <v>46522</v>
      </c>
      <c r="J178" s="76">
        <v>1950000</v>
      </c>
      <c r="K178" s="40">
        <f t="shared" si="146"/>
        <v>33</v>
      </c>
      <c r="L178" s="74">
        <f t="shared" si="147"/>
        <v>1950000</v>
      </c>
      <c r="M178" s="76"/>
      <c r="N178" s="76">
        <f t="shared" si="148"/>
        <v>0</v>
      </c>
      <c r="O178" s="148"/>
      <c r="P178" s="148"/>
      <c r="Q178" s="148"/>
      <c r="R178" s="150"/>
      <c r="S178" s="150"/>
      <c r="T178" s="150"/>
      <c r="U178" s="150"/>
      <c r="V178" s="150"/>
      <c r="W178" s="150"/>
      <c r="X178" s="150"/>
      <c r="Y178" s="149"/>
      <c r="Z178" s="149">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1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64"/>
      <c r="B179" s="73">
        <f t="shared" si="144"/>
        <v>-59090.909090909088</v>
      </c>
      <c r="E179" s="158">
        <v>42826</v>
      </c>
      <c r="G179" s="145">
        <v>33</v>
      </c>
      <c r="H179" s="145">
        <v>0</v>
      </c>
      <c r="I179" s="49">
        <f t="shared" si="145"/>
        <v>46522</v>
      </c>
      <c r="J179" s="76">
        <v>1950000</v>
      </c>
      <c r="K179" s="40">
        <f t="shared" si="146"/>
        <v>33</v>
      </c>
      <c r="L179" s="74">
        <f t="shared" si="147"/>
        <v>1950000</v>
      </c>
      <c r="M179" s="76"/>
      <c r="N179" s="76">
        <f t="shared" si="148"/>
        <v>0</v>
      </c>
      <c r="O179" s="148"/>
      <c r="P179" s="148"/>
      <c r="Q179" s="148"/>
      <c r="R179" s="150"/>
      <c r="S179" s="150"/>
      <c r="T179" s="150"/>
      <c r="U179" s="150"/>
      <c r="V179" s="150"/>
      <c r="W179" s="150"/>
      <c r="X179" s="150"/>
      <c r="Y179" s="149"/>
      <c r="Z179" s="149">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1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64"/>
      <c r="B180" s="73">
        <f t="shared" si="144"/>
        <v>-59090.909090909088</v>
      </c>
      <c r="E180" s="158">
        <v>42826</v>
      </c>
      <c r="G180" s="145">
        <v>33</v>
      </c>
      <c r="H180" s="145">
        <v>0</v>
      </c>
      <c r="I180" s="49">
        <f t="shared" si="145"/>
        <v>46522</v>
      </c>
      <c r="J180" s="76">
        <v>1950000</v>
      </c>
      <c r="K180" s="40">
        <f t="shared" si="146"/>
        <v>33</v>
      </c>
      <c r="L180" s="74">
        <f t="shared" si="147"/>
        <v>1950000</v>
      </c>
      <c r="M180" s="76"/>
      <c r="N180" s="76">
        <f t="shared" si="148"/>
        <v>0</v>
      </c>
      <c r="O180" s="148"/>
      <c r="P180" s="148"/>
      <c r="Q180" s="148"/>
      <c r="R180" s="150"/>
      <c r="S180" s="150"/>
      <c r="T180" s="150"/>
      <c r="U180" s="150"/>
      <c r="V180" s="150"/>
      <c r="W180" s="150"/>
      <c r="X180" s="150"/>
      <c r="Y180" s="149"/>
      <c r="Z180" s="149">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1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64"/>
      <c r="B181" s="73">
        <f t="shared" si="144"/>
        <v>-59090.909090909088</v>
      </c>
      <c r="E181" s="158">
        <v>42826</v>
      </c>
      <c r="G181" s="145">
        <v>33</v>
      </c>
      <c r="H181" s="145">
        <v>0</v>
      </c>
      <c r="I181" s="49">
        <f t="shared" si="145"/>
        <v>46522</v>
      </c>
      <c r="J181" s="76">
        <v>1950000</v>
      </c>
      <c r="K181" s="40">
        <f t="shared" si="146"/>
        <v>33</v>
      </c>
      <c r="L181" s="74">
        <f t="shared" si="147"/>
        <v>1950000</v>
      </c>
      <c r="M181" s="76"/>
      <c r="N181" s="76">
        <f t="shared" si="148"/>
        <v>0</v>
      </c>
      <c r="O181" s="148"/>
      <c r="P181" s="148"/>
      <c r="Q181" s="148"/>
      <c r="R181" s="150"/>
      <c r="S181" s="150"/>
      <c r="T181" s="150"/>
      <c r="U181" s="150"/>
      <c r="V181" s="150"/>
      <c r="W181" s="150"/>
      <c r="X181" s="150"/>
      <c r="Y181" s="149"/>
      <c r="Z181" s="149">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1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64"/>
      <c r="B182" s="73">
        <f t="shared" si="144"/>
        <v>-59090.909090909088</v>
      </c>
      <c r="E182" s="158">
        <v>42826</v>
      </c>
      <c r="G182" s="145">
        <v>33</v>
      </c>
      <c r="H182" s="145">
        <v>0</v>
      </c>
      <c r="I182" s="49">
        <f t="shared" si="145"/>
        <v>46522</v>
      </c>
      <c r="J182" s="76">
        <v>1950000</v>
      </c>
      <c r="K182" s="40">
        <f t="shared" si="146"/>
        <v>33</v>
      </c>
      <c r="L182" s="74">
        <f t="shared" si="147"/>
        <v>1950000</v>
      </c>
      <c r="M182" s="76"/>
      <c r="N182" s="76">
        <f t="shared" si="148"/>
        <v>0</v>
      </c>
      <c r="O182" s="148"/>
      <c r="P182" s="148"/>
      <c r="Q182" s="148"/>
      <c r="R182" s="150"/>
      <c r="S182" s="150"/>
      <c r="T182" s="150"/>
      <c r="U182" s="150"/>
      <c r="V182" s="150"/>
      <c r="W182" s="150"/>
      <c r="X182" s="150"/>
      <c r="Y182" s="149"/>
      <c r="Z182" s="149">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1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64"/>
      <c r="B183" s="73">
        <f t="shared" si="144"/>
        <v>-59090.909090909088</v>
      </c>
      <c r="E183" s="158">
        <v>42826</v>
      </c>
      <c r="G183" s="145">
        <v>33</v>
      </c>
      <c r="H183" s="145">
        <v>0</v>
      </c>
      <c r="I183" s="49">
        <f t="shared" si="145"/>
        <v>46522</v>
      </c>
      <c r="J183" s="76">
        <v>1950000</v>
      </c>
      <c r="K183" s="40">
        <f t="shared" si="146"/>
        <v>33</v>
      </c>
      <c r="L183" s="74">
        <f t="shared" si="147"/>
        <v>1950000</v>
      </c>
      <c r="M183" s="76"/>
      <c r="N183" s="76">
        <f t="shared" si="148"/>
        <v>0</v>
      </c>
      <c r="O183" s="148"/>
      <c r="P183" s="148"/>
      <c r="Q183" s="148"/>
      <c r="R183" s="150"/>
      <c r="S183" s="150"/>
      <c r="T183" s="150"/>
      <c r="U183" s="150"/>
      <c r="V183" s="150"/>
      <c r="W183" s="150"/>
      <c r="X183" s="150"/>
      <c r="Y183" s="149"/>
      <c r="Z183" s="149">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1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64"/>
      <c r="B184" s="73">
        <f t="shared" si="144"/>
        <v>-59090.909090909088</v>
      </c>
      <c r="E184" s="158">
        <v>42826</v>
      </c>
      <c r="G184" s="145">
        <v>33</v>
      </c>
      <c r="H184" s="145">
        <v>0</v>
      </c>
      <c r="I184" s="49">
        <f t="shared" si="145"/>
        <v>46522</v>
      </c>
      <c r="J184" s="76">
        <v>1950000</v>
      </c>
      <c r="K184" s="40">
        <f t="shared" si="146"/>
        <v>33</v>
      </c>
      <c r="L184" s="74">
        <f t="shared" si="147"/>
        <v>1950000</v>
      </c>
      <c r="M184" s="76"/>
      <c r="N184" s="76">
        <f t="shared" si="148"/>
        <v>0</v>
      </c>
      <c r="O184" s="148"/>
      <c r="P184" s="148"/>
      <c r="Q184" s="148"/>
      <c r="R184" s="150"/>
      <c r="S184" s="150"/>
      <c r="T184" s="150"/>
      <c r="U184" s="150"/>
      <c r="V184" s="150"/>
      <c r="W184" s="150"/>
      <c r="X184" s="150"/>
      <c r="Y184" s="149"/>
      <c r="Z184" s="149">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1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64"/>
      <c r="B185" s="73">
        <f t="shared" si="144"/>
        <v>-59090.909090909088</v>
      </c>
      <c r="E185" s="158">
        <v>42826</v>
      </c>
      <c r="G185" s="145">
        <v>33</v>
      </c>
      <c r="H185" s="145">
        <v>0</v>
      </c>
      <c r="I185" s="49">
        <f t="shared" si="145"/>
        <v>46522</v>
      </c>
      <c r="J185" s="76">
        <v>1950000</v>
      </c>
      <c r="K185" s="40">
        <f t="shared" si="146"/>
        <v>33</v>
      </c>
      <c r="L185" s="74">
        <f t="shared" si="147"/>
        <v>1950000</v>
      </c>
      <c r="M185" s="76"/>
      <c r="N185" s="76">
        <f t="shared" si="148"/>
        <v>0</v>
      </c>
      <c r="O185" s="148"/>
      <c r="P185" s="148"/>
      <c r="Q185" s="148"/>
      <c r="R185" s="150"/>
      <c r="S185" s="150"/>
      <c r="T185" s="150"/>
      <c r="U185" s="150"/>
      <c r="V185" s="150"/>
      <c r="W185" s="150"/>
      <c r="X185" s="150"/>
      <c r="Y185" s="149"/>
      <c r="Z185" s="149">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1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64"/>
      <c r="B186" s="73">
        <f t="shared" si="144"/>
        <v>-59090.909090909088</v>
      </c>
      <c r="E186" s="158">
        <v>42826</v>
      </c>
      <c r="G186" s="145">
        <v>33</v>
      </c>
      <c r="H186" s="145">
        <v>0</v>
      </c>
      <c r="I186" s="49">
        <f t="shared" si="145"/>
        <v>46522</v>
      </c>
      <c r="J186" s="76">
        <v>1950000</v>
      </c>
      <c r="K186" s="40">
        <f t="shared" si="146"/>
        <v>33</v>
      </c>
      <c r="L186" s="74">
        <f t="shared" si="147"/>
        <v>1950000</v>
      </c>
      <c r="M186" s="76"/>
      <c r="N186" s="76">
        <f t="shared" si="148"/>
        <v>0</v>
      </c>
      <c r="O186" s="148"/>
      <c r="P186" s="148"/>
      <c r="Q186" s="148"/>
      <c r="R186" s="150"/>
      <c r="S186" s="150"/>
      <c r="T186" s="150"/>
      <c r="U186" s="150"/>
      <c r="V186" s="150"/>
      <c r="W186" s="150"/>
      <c r="X186" s="150"/>
      <c r="Y186" s="149"/>
      <c r="Z186" s="149">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1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64"/>
      <c r="B187" s="73">
        <f t="shared" si="144"/>
        <v>-59090.909090909088</v>
      </c>
      <c r="E187" s="158">
        <v>42826</v>
      </c>
      <c r="G187" s="145">
        <v>33</v>
      </c>
      <c r="H187" s="145">
        <v>0</v>
      </c>
      <c r="I187" s="49">
        <f t="shared" si="145"/>
        <v>46522</v>
      </c>
      <c r="J187" s="76">
        <v>1950000</v>
      </c>
      <c r="K187" s="40">
        <f t="shared" si="146"/>
        <v>33</v>
      </c>
      <c r="L187" s="74">
        <f t="shared" si="147"/>
        <v>1950000</v>
      </c>
      <c r="M187" s="76"/>
      <c r="N187" s="76">
        <f t="shared" si="148"/>
        <v>0</v>
      </c>
      <c r="O187" s="148"/>
      <c r="P187" s="148"/>
      <c r="Q187" s="148"/>
      <c r="R187" s="150"/>
      <c r="S187" s="150"/>
      <c r="T187" s="150"/>
      <c r="U187" s="150"/>
      <c r="V187" s="150"/>
      <c r="W187" s="150"/>
      <c r="X187" s="150"/>
      <c r="Y187" s="149"/>
      <c r="Z187" s="149">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1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64"/>
      <c r="B188" s="73">
        <f t="shared" si="144"/>
        <v>-59090.909090909088</v>
      </c>
      <c r="E188" s="158">
        <v>42826</v>
      </c>
      <c r="G188" s="145">
        <v>33</v>
      </c>
      <c r="H188" s="145">
        <v>0</v>
      </c>
      <c r="I188" s="49">
        <f t="shared" si="145"/>
        <v>46522</v>
      </c>
      <c r="J188" s="76">
        <v>1950000</v>
      </c>
      <c r="K188" s="40">
        <f t="shared" si="146"/>
        <v>33</v>
      </c>
      <c r="L188" s="74">
        <f t="shared" si="147"/>
        <v>1950000</v>
      </c>
      <c r="M188" s="76"/>
      <c r="N188" s="76">
        <f t="shared" si="148"/>
        <v>0</v>
      </c>
      <c r="O188" s="148"/>
      <c r="P188" s="148"/>
      <c r="Q188" s="148"/>
      <c r="R188" s="150"/>
      <c r="S188" s="150"/>
      <c r="T188" s="150"/>
      <c r="U188" s="150"/>
      <c r="V188" s="150"/>
      <c r="W188" s="150"/>
      <c r="X188" s="150"/>
      <c r="Y188" s="149"/>
      <c r="Z188" s="149">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1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64"/>
      <c r="B189" s="73">
        <f t="shared" si="144"/>
        <v>-59090.909090909088</v>
      </c>
      <c r="E189" s="158">
        <v>42826</v>
      </c>
      <c r="G189" s="145">
        <v>33</v>
      </c>
      <c r="H189" s="145">
        <v>0</v>
      </c>
      <c r="I189" s="49">
        <f t="shared" si="145"/>
        <v>46522</v>
      </c>
      <c r="J189" s="76">
        <v>1950000</v>
      </c>
      <c r="K189" s="40">
        <f t="shared" si="146"/>
        <v>33</v>
      </c>
      <c r="L189" s="74">
        <f t="shared" si="147"/>
        <v>1950000</v>
      </c>
      <c r="M189" s="76"/>
      <c r="N189" s="76">
        <f t="shared" si="148"/>
        <v>0</v>
      </c>
      <c r="O189" s="148"/>
      <c r="P189" s="148"/>
      <c r="Q189" s="148"/>
      <c r="R189" s="150"/>
      <c r="S189" s="150"/>
      <c r="T189" s="150"/>
      <c r="U189" s="150"/>
      <c r="V189" s="150"/>
      <c r="W189" s="150"/>
      <c r="X189" s="150"/>
      <c r="Y189" s="149"/>
      <c r="Z189" s="149">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1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64"/>
      <c r="B190" s="73">
        <f t="shared" si="144"/>
        <v>-59090.909090909088</v>
      </c>
      <c r="E190" s="158">
        <v>42826</v>
      </c>
      <c r="G190" s="145">
        <v>33</v>
      </c>
      <c r="H190" s="145">
        <v>0</v>
      </c>
      <c r="I190" s="49">
        <f t="shared" si="145"/>
        <v>46522</v>
      </c>
      <c r="J190" s="76">
        <v>1950000</v>
      </c>
      <c r="K190" s="40">
        <f t="shared" si="146"/>
        <v>33</v>
      </c>
      <c r="L190" s="74">
        <f t="shared" si="147"/>
        <v>1950000</v>
      </c>
      <c r="M190" s="76"/>
      <c r="N190" s="76">
        <f t="shared" si="148"/>
        <v>0</v>
      </c>
      <c r="O190" s="148"/>
      <c r="P190" s="148"/>
      <c r="Q190" s="148"/>
      <c r="R190" s="150"/>
      <c r="S190" s="150"/>
      <c r="T190" s="150"/>
      <c r="U190" s="150"/>
      <c r="V190" s="150"/>
      <c r="W190" s="150"/>
      <c r="X190" s="150"/>
      <c r="Y190" s="149"/>
      <c r="Z190" s="149">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1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64"/>
      <c r="B191" s="73">
        <f t="shared" si="144"/>
        <v>-59090.909090909088</v>
      </c>
      <c r="E191" s="158">
        <v>42826</v>
      </c>
      <c r="G191" s="145">
        <v>33</v>
      </c>
      <c r="H191" s="145">
        <v>0</v>
      </c>
      <c r="I191" s="49">
        <f t="shared" si="145"/>
        <v>46522</v>
      </c>
      <c r="J191" s="76">
        <v>1950000</v>
      </c>
      <c r="K191" s="40">
        <f t="shared" si="146"/>
        <v>33</v>
      </c>
      <c r="L191" s="74">
        <f t="shared" si="147"/>
        <v>1950000</v>
      </c>
      <c r="M191" s="76"/>
      <c r="N191" s="76">
        <f t="shared" si="148"/>
        <v>0</v>
      </c>
      <c r="O191" s="148"/>
      <c r="P191" s="148"/>
      <c r="Q191" s="148"/>
      <c r="R191" s="150"/>
      <c r="S191" s="150"/>
      <c r="T191" s="150"/>
      <c r="U191" s="150"/>
      <c r="V191" s="150"/>
      <c r="W191" s="150"/>
      <c r="X191" s="150"/>
      <c r="Y191" s="149"/>
      <c r="Z191" s="149">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1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64"/>
      <c r="B192" s="73">
        <f t="shared" si="144"/>
        <v>-59090.909090909088</v>
      </c>
      <c r="E192" s="158">
        <v>42826</v>
      </c>
      <c r="G192" s="145">
        <v>33</v>
      </c>
      <c r="H192" s="145">
        <v>0</v>
      </c>
      <c r="I192" s="49">
        <f t="shared" si="145"/>
        <v>46522</v>
      </c>
      <c r="J192" s="76">
        <v>1950000</v>
      </c>
      <c r="K192" s="40">
        <f t="shared" si="146"/>
        <v>33</v>
      </c>
      <c r="L192" s="74">
        <f t="shared" si="147"/>
        <v>1950000</v>
      </c>
      <c r="M192" s="76"/>
      <c r="N192" s="76">
        <f t="shared" si="148"/>
        <v>0</v>
      </c>
      <c r="O192" s="148"/>
      <c r="P192" s="148"/>
      <c r="Q192" s="148"/>
      <c r="R192" s="150"/>
      <c r="S192" s="150"/>
      <c r="T192" s="150"/>
      <c r="U192" s="150"/>
      <c r="V192" s="150"/>
      <c r="W192" s="150"/>
      <c r="X192" s="150"/>
      <c r="Y192" s="149"/>
      <c r="Z192" s="149">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1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64"/>
      <c r="B193" s="73">
        <f t="shared" si="144"/>
        <v>-59090.909090909088</v>
      </c>
      <c r="E193" s="158">
        <v>42826</v>
      </c>
      <c r="G193" s="145">
        <v>33</v>
      </c>
      <c r="H193" s="145">
        <v>0</v>
      </c>
      <c r="I193" s="49">
        <f t="shared" si="145"/>
        <v>46522</v>
      </c>
      <c r="J193" s="76">
        <v>1950000</v>
      </c>
      <c r="K193" s="40">
        <f t="shared" si="146"/>
        <v>33</v>
      </c>
      <c r="L193" s="74">
        <f t="shared" si="147"/>
        <v>1950000</v>
      </c>
      <c r="M193" s="76"/>
      <c r="N193" s="76">
        <f t="shared" si="148"/>
        <v>0</v>
      </c>
      <c r="O193" s="148"/>
      <c r="P193" s="148"/>
      <c r="Q193" s="148"/>
      <c r="R193" s="150"/>
      <c r="S193" s="150"/>
      <c r="T193" s="150"/>
      <c r="U193" s="150"/>
      <c r="V193" s="150"/>
      <c r="W193" s="150"/>
      <c r="X193" s="150"/>
      <c r="Y193" s="149"/>
      <c r="Z193" s="149">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1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64"/>
      <c r="B194" s="73">
        <f t="shared" si="144"/>
        <v>-59090.909090909088</v>
      </c>
      <c r="E194" s="158">
        <v>42826</v>
      </c>
      <c r="G194" s="145">
        <v>33</v>
      </c>
      <c r="H194" s="145">
        <v>0</v>
      </c>
      <c r="I194" s="49">
        <f t="shared" si="145"/>
        <v>46522</v>
      </c>
      <c r="J194" s="76">
        <v>1950000</v>
      </c>
      <c r="K194" s="40">
        <f t="shared" si="146"/>
        <v>33</v>
      </c>
      <c r="L194" s="74">
        <f t="shared" si="147"/>
        <v>1950000</v>
      </c>
      <c r="M194" s="76"/>
      <c r="N194" s="76">
        <f t="shared" si="148"/>
        <v>0</v>
      </c>
      <c r="O194" s="148"/>
      <c r="P194" s="148"/>
      <c r="Q194" s="148"/>
      <c r="R194" s="150"/>
      <c r="S194" s="150"/>
      <c r="T194" s="150"/>
      <c r="U194" s="150"/>
      <c r="V194" s="150"/>
      <c r="W194" s="150"/>
      <c r="X194" s="150"/>
      <c r="Y194" s="149"/>
      <c r="Z194" s="149">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1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64"/>
      <c r="B195" s="73">
        <f t="shared" si="144"/>
        <v>-59090.909090909088</v>
      </c>
      <c r="E195" s="158">
        <v>42826</v>
      </c>
      <c r="G195" s="145">
        <v>33</v>
      </c>
      <c r="H195" s="145">
        <v>0</v>
      </c>
      <c r="I195" s="49">
        <f t="shared" si="145"/>
        <v>46522</v>
      </c>
      <c r="J195" s="76">
        <v>1950000</v>
      </c>
      <c r="K195" s="40">
        <f t="shared" si="146"/>
        <v>33</v>
      </c>
      <c r="L195" s="74">
        <f t="shared" si="147"/>
        <v>1950000</v>
      </c>
      <c r="M195" s="76"/>
      <c r="N195" s="76">
        <f t="shared" si="148"/>
        <v>0</v>
      </c>
      <c r="O195" s="148"/>
      <c r="P195" s="148"/>
      <c r="Q195" s="148"/>
      <c r="R195" s="150"/>
      <c r="S195" s="150"/>
      <c r="T195" s="150"/>
      <c r="U195" s="150"/>
      <c r="V195" s="150"/>
      <c r="W195" s="150"/>
      <c r="X195" s="150"/>
      <c r="Y195" s="149"/>
      <c r="Z195" s="149">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1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64"/>
      <c r="B196" s="73">
        <f t="shared" si="144"/>
        <v>-59090.909090909088</v>
      </c>
      <c r="E196" s="158">
        <v>42826</v>
      </c>
      <c r="G196" s="145">
        <v>33</v>
      </c>
      <c r="H196" s="145">
        <v>0</v>
      </c>
      <c r="I196" s="49">
        <f t="shared" si="145"/>
        <v>46522</v>
      </c>
      <c r="J196" s="76">
        <v>1950000</v>
      </c>
      <c r="K196" s="40">
        <f t="shared" si="146"/>
        <v>33</v>
      </c>
      <c r="L196" s="74">
        <f t="shared" si="147"/>
        <v>1950000</v>
      </c>
      <c r="M196" s="76"/>
      <c r="N196" s="76">
        <f t="shared" si="148"/>
        <v>0</v>
      </c>
      <c r="O196" s="148"/>
      <c r="P196" s="148"/>
      <c r="Q196" s="148"/>
      <c r="R196" s="150"/>
      <c r="S196" s="150"/>
      <c r="T196" s="150"/>
      <c r="U196" s="150"/>
      <c r="V196" s="150"/>
      <c r="W196" s="150"/>
      <c r="X196" s="150"/>
      <c r="Y196" s="149"/>
      <c r="Z196" s="149">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1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64"/>
      <c r="B197" s="73">
        <f t="shared" si="144"/>
        <v>-59090.909090909088</v>
      </c>
      <c r="E197" s="158">
        <v>42826</v>
      </c>
      <c r="G197" s="145">
        <v>33</v>
      </c>
      <c r="H197" s="145">
        <v>0</v>
      </c>
      <c r="I197" s="49">
        <f t="shared" si="145"/>
        <v>46522</v>
      </c>
      <c r="J197" s="76">
        <v>1950000</v>
      </c>
      <c r="K197" s="40">
        <f t="shared" si="146"/>
        <v>33</v>
      </c>
      <c r="L197" s="74">
        <f t="shared" si="147"/>
        <v>1950000</v>
      </c>
      <c r="M197" s="76"/>
      <c r="N197" s="76">
        <f t="shared" si="148"/>
        <v>0</v>
      </c>
      <c r="O197" s="148"/>
      <c r="P197" s="148"/>
      <c r="Q197" s="148"/>
      <c r="R197" s="150"/>
      <c r="S197" s="150"/>
      <c r="T197" s="150"/>
      <c r="U197" s="150"/>
      <c r="V197" s="150"/>
      <c r="W197" s="150"/>
      <c r="X197" s="150"/>
      <c r="Y197" s="149"/>
      <c r="Z197" s="149">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1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64"/>
      <c r="B198" s="73">
        <f t="shared" si="144"/>
        <v>-59090.909090909088</v>
      </c>
      <c r="E198" s="158">
        <v>42826</v>
      </c>
      <c r="G198" s="145">
        <v>33</v>
      </c>
      <c r="H198" s="145">
        <v>0</v>
      </c>
      <c r="I198" s="49">
        <f t="shared" si="145"/>
        <v>46522</v>
      </c>
      <c r="J198" s="76">
        <v>1950000</v>
      </c>
      <c r="K198" s="40">
        <f t="shared" si="146"/>
        <v>33</v>
      </c>
      <c r="L198" s="74">
        <f t="shared" si="147"/>
        <v>1950000</v>
      </c>
      <c r="M198" s="76"/>
      <c r="N198" s="76">
        <f t="shared" si="148"/>
        <v>0</v>
      </c>
      <c r="O198" s="148"/>
      <c r="P198" s="148"/>
      <c r="Q198" s="148"/>
      <c r="R198" s="150"/>
      <c r="S198" s="150"/>
      <c r="T198" s="150"/>
      <c r="U198" s="150"/>
      <c r="V198" s="150"/>
      <c r="W198" s="150"/>
      <c r="X198" s="150"/>
      <c r="Y198" s="149"/>
      <c r="Z198" s="149">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1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64"/>
      <c r="B199" s="73">
        <f t="shared" si="144"/>
        <v>-59090.909090909088</v>
      </c>
      <c r="E199" s="158">
        <v>42826</v>
      </c>
      <c r="G199" s="145">
        <v>33</v>
      </c>
      <c r="H199" s="145">
        <v>0</v>
      </c>
      <c r="I199" s="49">
        <f t="shared" si="145"/>
        <v>46522</v>
      </c>
      <c r="J199" s="76">
        <v>1950000</v>
      </c>
      <c r="K199" s="40">
        <f t="shared" si="146"/>
        <v>33</v>
      </c>
      <c r="L199" s="74">
        <f t="shared" si="147"/>
        <v>1950000</v>
      </c>
      <c r="M199" s="76"/>
      <c r="N199" s="76">
        <f t="shared" si="148"/>
        <v>0</v>
      </c>
      <c r="O199" s="148"/>
      <c r="P199" s="148"/>
      <c r="Q199" s="148"/>
      <c r="R199" s="150"/>
      <c r="S199" s="150"/>
      <c r="T199" s="150"/>
      <c r="U199" s="150"/>
      <c r="V199" s="150"/>
      <c r="W199" s="150"/>
      <c r="X199" s="150"/>
      <c r="Y199" s="149"/>
      <c r="Z199" s="149">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1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64"/>
      <c r="B200" s="73">
        <f t="shared" si="144"/>
        <v>-59090.909090909088</v>
      </c>
      <c r="E200" s="158">
        <v>42826</v>
      </c>
      <c r="G200" s="145">
        <v>33</v>
      </c>
      <c r="H200" s="145">
        <v>0</v>
      </c>
      <c r="I200" s="49">
        <f t="shared" si="145"/>
        <v>46522</v>
      </c>
      <c r="J200" s="76">
        <v>1950000</v>
      </c>
      <c r="K200" s="40">
        <f t="shared" si="146"/>
        <v>33</v>
      </c>
      <c r="L200" s="74">
        <f t="shared" si="147"/>
        <v>1950000</v>
      </c>
      <c r="M200" s="76"/>
      <c r="N200" s="76">
        <f t="shared" si="148"/>
        <v>0</v>
      </c>
      <c r="O200" s="148"/>
      <c r="P200" s="148"/>
      <c r="Q200" s="148"/>
      <c r="R200" s="150"/>
      <c r="S200" s="150"/>
      <c r="T200" s="150"/>
      <c r="U200" s="150"/>
      <c r="V200" s="150"/>
      <c r="W200" s="150"/>
      <c r="X200" s="150"/>
      <c r="Y200" s="149"/>
      <c r="Z200" s="149">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1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64"/>
      <c r="B201" s="73">
        <f t="shared" si="144"/>
        <v>-59090.909090909088</v>
      </c>
      <c r="E201" s="158">
        <v>42826</v>
      </c>
      <c r="G201" s="145">
        <v>33</v>
      </c>
      <c r="H201" s="145">
        <v>0</v>
      </c>
      <c r="I201" s="49">
        <f t="shared" si="145"/>
        <v>46522</v>
      </c>
      <c r="J201" s="76">
        <v>1950000</v>
      </c>
      <c r="K201" s="40">
        <f t="shared" si="146"/>
        <v>33</v>
      </c>
      <c r="L201" s="74">
        <f t="shared" si="147"/>
        <v>1950000</v>
      </c>
      <c r="M201" s="76"/>
      <c r="N201" s="76">
        <f t="shared" si="148"/>
        <v>0</v>
      </c>
      <c r="O201" s="148"/>
      <c r="P201" s="148"/>
      <c r="Q201" s="148"/>
      <c r="R201" s="150"/>
      <c r="S201" s="150"/>
      <c r="T201" s="150"/>
      <c r="U201" s="150"/>
      <c r="V201" s="150"/>
      <c r="W201" s="150"/>
      <c r="X201" s="150"/>
      <c r="Y201" s="149"/>
      <c r="Z201" s="149">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1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64"/>
      <c r="B202" s="73">
        <f t="shared" si="144"/>
        <v>-59090.909090909088</v>
      </c>
      <c r="E202" s="158">
        <v>42826</v>
      </c>
      <c r="G202" s="145">
        <v>33</v>
      </c>
      <c r="H202" s="145">
        <v>0</v>
      </c>
      <c r="I202" s="49">
        <f t="shared" si="145"/>
        <v>46522</v>
      </c>
      <c r="J202" s="76">
        <v>1950000</v>
      </c>
      <c r="K202" s="40">
        <f t="shared" si="146"/>
        <v>33</v>
      </c>
      <c r="L202" s="74">
        <f t="shared" si="147"/>
        <v>1950000</v>
      </c>
      <c r="M202" s="76"/>
      <c r="N202" s="76">
        <f t="shared" si="148"/>
        <v>0</v>
      </c>
      <c r="O202" s="148"/>
      <c r="P202" s="148"/>
      <c r="Q202" s="148"/>
      <c r="R202" s="150"/>
      <c r="S202" s="150"/>
      <c r="T202" s="150"/>
      <c r="U202" s="150"/>
      <c r="V202" s="150"/>
      <c r="W202" s="150"/>
      <c r="X202" s="150"/>
      <c r="Y202" s="149"/>
      <c r="Z202" s="149">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1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64"/>
      <c r="B203" s="73">
        <f t="shared" si="144"/>
        <v>-59090.909090909088</v>
      </c>
      <c r="E203" s="158">
        <v>42826</v>
      </c>
      <c r="G203" s="145">
        <v>33</v>
      </c>
      <c r="H203" s="145">
        <v>0</v>
      </c>
      <c r="I203" s="49">
        <f t="shared" si="145"/>
        <v>46522</v>
      </c>
      <c r="J203" s="76">
        <v>1950000</v>
      </c>
      <c r="K203" s="40">
        <f t="shared" si="146"/>
        <v>33</v>
      </c>
      <c r="L203" s="74">
        <f t="shared" si="147"/>
        <v>1950000</v>
      </c>
      <c r="M203" s="76"/>
      <c r="N203" s="76">
        <f t="shared" si="148"/>
        <v>0</v>
      </c>
      <c r="O203" s="148"/>
      <c r="P203" s="148"/>
      <c r="Q203" s="148"/>
      <c r="R203" s="150"/>
      <c r="S203" s="150"/>
      <c r="T203" s="150"/>
      <c r="U203" s="150"/>
      <c r="V203" s="150"/>
      <c r="W203" s="150"/>
      <c r="X203" s="150"/>
      <c r="Y203" s="149"/>
      <c r="Z203" s="149">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1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6"/>
  <sheetViews>
    <sheetView workbookViewId="0">
      <selection activeCell="V16" sqref="V16"/>
    </sheetView>
  </sheetViews>
  <sheetFormatPr baseColWidth="10" defaultColWidth="11.42578125" defaultRowHeight="15" x14ac:dyDescent="0.25"/>
  <cols>
    <col min="1" max="1" width="5.140625" bestFit="1" customWidth="1"/>
    <col min="2" max="2" width="9.85546875" style="69" bestFit="1" customWidth="1"/>
    <col min="3" max="3" width="21.28515625" style="69" bestFit="1" customWidth="1"/>
    <col min="4" max="4" width="6.140625" style="69" bestFit="1" customWidth="1"/>
    <col min="5" max="5" width="8.140625" style="69" bestFit="1" customWidth="1"/>
    <col min="6" max="6" width="16.42578125" style="69" bestFit="1" customWidth="1"/>
    <col min="7" max="7" width="4.5703125" style="69" bestFit="1" customWidth="1"/>
    <col min="8" max="8" width="7.42578125" style="69" bestFit="1" customWidth="1"/>
    <col min="9" max="9" width="5.42578125" style="69" bestFit="1" customWidth="1"/>
    <col min="10" max="13" width="4.5703125" style="69" bestFit="1" customWidth="1"/>
    <col min="14" max="14" width="7.28515625" style="69" bestFit="1" customWidth="1"/>
    <col min="15" max="15" width="12.85546875" style="69" bestFit="1" customWidth="1"/>
    <col min="16" max="16" width="5" bestFit="1" customWidth="1"/>
    <col min="17" max="17" width="5.140625" bestFit="1" customWidth="1"/>
    <col min="18" max="18" width="9.85546875" bestFit="1" customWidth="1"/>
    <col min="19" max="19" width="21.28515625" bestFit="1" customWidth="1"/>
    <col min="20" max="20" width="5.5703125" bestFit="1" customWidth="1"/>
    <col min="21" max="21" width="5" bestFit="1" customWidth="1"/>
    <col min="22" max="29" width="4.5703125" bestFit="1" customWidth="1"/>
    <col min="30" max="30" width="7.28515625" bestFit="1" customWidth="1"/>
    <col min="31" max="31" width="13.42578125" style="69" bestFit="1" customWidth="1"/>
    <col min="32" max="32" width="6.7109375" style="69" bestFit="1" customWidth="1"/>
    <col min="33" max="33" width="7" style="69" bestFit="1" customWidth="1"/>
  </cols>
  <sheetData>
    <row r="1" spans="1:31" x14ac:dyDescent="0.25">
      <c r="A1" s="119"/>
      <c r="B1" s="155"/>
      <c r="C1" s="259"/>
      <c r="D1" s="259"/>
      <c r="E1" s="259"/>
      <c r="F1" s="259"/>
      <c r="G1" s="259"/>
      <c r="H1" s="259"/>
      <c r="I1" s="259"/>
      <c r="V1" s="119"/>
    </row>
    <row r="2" spans="1:31" x14ac:dyDescent="0.25">
      <c r="A2" s="119"/>
      <c r="B2" s="120" t="s">
        <v>180</v>
      </c>
      <c r="C2" s="120" t="s">
        <v>28</v>
      </c>
      <c r="D2" s="120" t="s">
        <v>188</v>
      </c>
      <c r="E2" s="120" t="s">
        <v>189</v>
      </c>
      <c r="F2" s="120" t="s">
        <v>191</v>
      </c>
      <c r="G2" s="120" t="s">
        <v>190</v>
      </c>
      <c r="H2" s="120" t="s">
        <v>192</v>
      </c>
      <c r="I2" s="126" t="s">
        <v>181</v>
      </c>
    </row>
    <row r="3" spans="1:31" x14ac:dyDescent="0.25">
      <c r="A3" s="119"/>
      <c r="B3" s="126" t="s">
        <v>221</v>
      </c>
      <c r="C3" s="127">
        <v>1</v>
      </c>
      <c r="D3" s="127">
        <v>3</v>
      </c>
      <c r="E3" s="127">
        <v>3</v>
      </c>
      <c r="F3" s="127">
        <v>3</v>
      </c>
      <c r="G3" s="127">
        <v>2</v>
      </c>
      <c r="H3" s="127">
        <v>4</v>
      </c>
      <c r="I3" s="127">
        <f>SUM(C3:H3)</f>
        <v>16</v>
      </c>
    </row>
    <row r="4" spans="1:31" x14ac:dyDescent="0.25">
      <c r="A4" s="119"/>
      <c r="B4" s="126" t="s">
        <v>208</v>
      </c>
      <c r="C4" s="127">
        <v>1</v>
      </c>
      <c r="D4" s="127">
        <v>3</v>
      </c>
      <c r="E4" s="127">
        <v>3</v>
      </c>
      <c r="F4" s="127">
        <v>3</v>
      </c>
      <c r="G4" s="127">
        <v>2</v>
      </c>
      <c r="H4" s="127">
        <v>4</v>
      </c>
      <c r="I4" s="127">
        <f t="shared" ref="I4:I5" si="0">SUM(C4:H4)</f>
        <v>16</v>
      </c>
    </row>
    <row r="5" spans="1:31" x14ac:dyDescent="0.25">
      <c r="A5" s="119"/>
      <c r="B5" s="125" t="s">
        <v>182</v>
      </c>
      <c r="C5" s="125">
        <f t="shared" ref="C5:H5" si="1">MAX(C2:C4)</f>
        <v>1</v>
      </c>
      <c r="D5" s="125">
        <f t="shared" si="1"/>
        <v>3</v>
      </c>
      <c r="E5" s="125">
        <f t="shared" si="1"/>
        <v>3</v>
      </c>
      <c r="F5" s="125">
        <f t="shared" si="1"/>
        <v>3</v>
      </c>
      <c r="G5" s="125">
        <f t="shared" si="1"/>
        <v>2</v>
      </c>
      <c r="H5" s="125">
        <f t="shared" si="1"/>
        <v>4</v>
      </c>
      <c r="I5" s="127">
        <f t="shared" si="0"/>
        <v>16</v>
      </c>
    </row>
    <row r="6" spans="1:31" x14ac:dyDescent="0.25">
      <c r="N6" s="51">
        <f>SUM(N8:N21)</f>
        <v>368036.54999999993</v>
      </c>
      <c r="O6" s="51">
        <f>SUM(O8:O21)</f>
        <v>441643.85999999993</v>
      </c>
      <c r="R6" s="69"/>
      <c r="S6" s="69"/>
      <c r="T6" s="69"/>
      <c r="U6" s="69"/>
      <c r="V6" s="69"/>
      <c r="W6" s="69"/>
      <c r="X6" s="69"/>
      <c r="Y6" s="69"/>
      <c r="Z6" s="69"/>
      <c r="AA6" s="69"/>
      <c r="AB6" s="69"/>
      <c r="AC6" s="69"/>
      <c r="AD6" s="51">
        <f>SUM(AD8:AD22)</f>
        <v>345486</v>
      </c>
    </row>
    <row r="7" spans="1:31" x14ac:dyDescent="0.25">
      <c r="A7" s="13" t="s">
        <v>183</v>
      </c>
      <c r="B7" s="11" t="s">
        <v>2</v>
      </c>
      <c r="C7" s="11" t="s">
        <v>184</v>
      </c>
      <c r="D7" s="11" t="s">
        <v>4</v>
      </c>
      <c r="E7" s="11" t="s">
        <v>5</v>
      </c>
      <c r="F7" s="11" t="s">
        <v>88</v>
      </c>
      <c r="G7" s="11" t="s">
        <v>15</v>
      </c>
      <c r="H7" s="11" t="s">
        <v>16</v>
      </c>
      <c r="I7" s="11" t="s">
        <v>17</v>
      </c>
      <c r="J7" s="11" t="s">
        <v>18</v>
      </c>
      <c r="K7" s="11" t="s">
        <v>19</v>
      </c>
      <c r="L7" s="11" t="s">
        <v>20</v>
      </c>
      <c r="M7" s="11" t="s">
        <v>6</v>
      </c>
      <c r="N7" s="11" t="s">
        <v>70</v>
      </c>
      <c r="O7" s="37" t="s">
        <v>187</v>
      </c>
      <c r="Q7" s="13" t="s">
        <v>183</v>
      </c>
      <c r="R7" s="11" t="s">
        <v>2</v>
      </c>
      <c r="S7" s="11" t="s">
        <v>184</v>
      </c>
      <c r="T7" s="11" t="s">
        <v>4</v>
      </c>
      <c r="U7" s="11" t="s">
        <v>5</v>
      </c>
      <c r="V7" s="11" t="s">
        <v>88</v>
      </c>
      <c r="W7" s="11" t="s">
        <v>15</v>
      </c>
      <c r="X7" s="11" t="s">
        <v>16</v>
      </c>
      <c r="Y7" s="11" t="s">
        <v>17</v>
      </c>
      <c r="Z7" s="11" t="s">
        <v>18</v>
      </c>
      <c r="AA7" s="11" t="s">
        <v>19</v>
      </c>
      <c r="AB7" s="11" t="s">
        <v>20</v>
      </c>
      <c r="AC7" s="11" t="s">
        <v>6</v>
      </c>
      <c r="AD7" s="11" t="s">
        <v>70</v>
      </c>
    </row>
    <row r="8" spans="1:31" x14ac:dyDescent="0.25">
      <c r="A8" s="121" t="s">
        <v>29</v>
      </c>
      <c r="B8" s="122" t="s">
        <v>28</v>
      </c>
      <c r="C8" s="156"/>
      <c r="D8" s="128"/>
      <c r="E8" s="128"/>
      <c r="F8" s="20"/>
      <c r="G8" s="123">
        <v>14</v>
      </c>
      <c r="H8" s="21">
        <v>12</v>
      </c>
      <c r="I8" s="123">
        <v>0</v>
      </c>
      <c r="J8" s="21">
        <v>0</v>
      </c>
      <c r="K8" s="123">
        <v>0</v>
      </c>
      <c r="L8" s="21">
        <v>0</v>
      </c>
      <c r="M8" s="123">
        <v>19</v>
      </c>
      <c r="N8" s="51">
        <f>(18290+3505)*1.06</f>
        <v>23102.7</v>
      </c>
      <c r="O8" s="51">
        <f>N8*1.2</f>
        <v>27723.24</v>
      </c>
      <c r="Q8" s="121" t="s">
        <v>29</v>
      </c>
      <c r="R8" s="122" t="s">
        <v>28</v>
      </c>
      <c r="S8" s="151" t="str">
        <f>PLANTILLA!D4</f>
        <v>Damián Sala</v>
      </c>
      <c r="T8" s="128">
        <f>PLANTILLA!E4</f>
        <v>30</v>
      </c>
      <c r="U8" s="128">
        <f ca="1">PLANTILLA!F4</f>
        <v>21</v>
      </c>
      <c r="V8" s="128"/>
      <c r="W8" s="123">
        <f>PLANTILLA!X4</f>
        <v>14</v>
      </c>
      <c r="X8" s="123">
        <f>PLANTILLA!Y4</f>
        <v>11.066666666666666</v>
      </c>
      <c r="Y8" s="123">
        <f>PLANTILLA!Z4</f>
        <v>0.17999999999999997</v>
      </c>
      <c r="Z8" s="123">
        <f>PLANTILLA!AA4</f>
        <v>0.01</v>
      </c>
      <c r="AA8" s="123">
        <f>PLANTILLA!AB4</f>
        <v>2.3299999999999996</v>
      </c>
      <c r="AB8" s="123">
        <f>PLANTILLA!AC4</f>
        <v>1.8100000000000005</v>
      </c>
      <c r="AC8" s="123">
        <f>PLANTILLA!AD4</f>
        <v>19.149999999999999</v>
      </c>
      <c r="AD8" s="51">
        <f>PLANTILLA!V4</f>
        <v>16820</v>
      </c>
    </row>
    <row r="9" spans="1:31" x14ac:dyDescent="0.25">
      <c r="A9" s="121" t="s">
        <v>32</v>
      </c>
      <c r="B9" s="122" t="s">
        <v>190</v>
      </c>
      <c r="C9" s="157"/>
      <c r="D9" s="129"/>
      <c r="E9" s="129"/>
      <c r="F9" s="4" t="s">
        <v>210</v>
      </c>
      <c r="G9" s="124">
        <v>0</v>
      </c>
      <c r="H9" s="27">
        <v>14</v>
      </c>
      <c r="I9" s="124">
        <v>2</v>
      </c>
      <c r="J9" s="27">
        <v>12</v>
      </c>
      <c r="K9" s="124">
        <v>8</v>
      </c>
      <c r="L9" s="27">
        <v>2</v>
      </c>
      <c r="M9" s="124">
        <v>19</v>
      </c>
      <c r="N9" s="51">
        <f>(18370+2235+135)*1.06</f>
        <v>21984.400000000001</v>
      </c>
      <c r="O9" s="51">
        <f t="shared" ref="O9:O22" si="2">N9*1.2</f>
        <v>26381.280000000002</v>
      </c>
      <c r="Q9" s="121" t="s">
        <v>32</v>
      </c>
      <c r="R9" s="122" t="s">
        <v>190</v>
      </c>
      <c r="S9" s="151" t="str">
        <f>PLANTILLA!D5</f>
        <v>Mario Omarini</v>
      </c>
      <c r="T9" s="128">
        <f>PLANTILLA!E5</f>
        <v>31</v>
      </c>
      <c r="U9" s="128">
        <f ca="1">PLANTILLA!F5</f>
        <v>103</v>
      </c>
      <c r="V9" s="128" t="str">
        <f>PLANTILLA!G5</f>
        <v>TEC</v>
      </c>
      <c r="W9" s="123">
        <f>PLANTILLA!X5</f>
        <v>0</v>
      </c>
      <c r="X9" s="123">
        <f>PLANTILLA!Y5</f>
        <v>14</v>
      </c>
      <c r="Y9" s="123">
        <f>PLANTILLA!Z5</f>
        <v>7.1099999999999994</v>
      </c>
      <c r="Z9" s="123">
        <f>PLANTILLA!AA5</f>
        <v>11.035714285714286</v>
      </c>
      <c r="AA9" s="123">
        <f>PLANTILLA!AB5</f>
        <v>7.0499999999999989</v>
      </c>
      <c r="AB9" s="123">
        <f>PLANTILLA!AC5</f>
        <v>2.0099999999999998</v>
      </c>
      <c r="AC9" s="123">
        <f>PLANTILLA!AD5</f>
        <v>15.333333333333332</v>
      </c>
      <c r="AD9" s="51">
        <f>PLANTILLA!V5</f>
        <v>18012</v>
      </c>
    </row>
    <row r="10" spans="1:31" x14ac:dyDescent="0.25">
      <c r="A10" s="121" t="s">
        <v>33</v>
      </c>
      <c r="B10" s="122" t="s">
        <v>190</v>
      </c>
      <c r="C10" s="157"/>
      <c r="D10" s="129"/>
      <c r="E10" s="129"/>
      <c r="F10" s="4" t="s">
        <v>210</v>
      </c>
      <c r="G10" s="124">
        <v>0</v>
      </c>
      <c r="H10" s="27">
        <v>14</v>
      </c>
      <c r="I10" s="124">
        <v>2</v>
      </c>
      <c r="J10" s="27">
        <v>12</v>
      </c>
      <c r="K10" s="124">
        <v>8</v>
      </c>
      <c r="L10" s="27">
        <v>2</v>
      </c>
      <c r="M10" s="124">
        <v>19</v>
      </c>
      <c r="N10" s="51">
        <f t="shared" ref="N10:N11" si="3">(18370+2235+135)*1.06</f>
        <v>21984.400000000001</v>
      </c>
      <c r="O10" s="51">
        <f t="shared" si="2"/>
        <v>26381.280000000002</v>
      </c>
      <c r="Q10" s="121" t="s">
        <v>33</v>
      </c>
      <c r="R10" s="122" t="s">
        <v>190</v>
      </c>
      <c r="S10" s="151" t="str">
        <f>PLANTILLA!D6</f>
        <v>Csaba Mező</v>
      </c>
      <c r="T10" s="128">
        <f>PLANTILLA!E6</f>
        <v>31</v>
      </c>
      <c r="U10" s="128">
        <f ca="1">PLANTILLA!F6</f>
        <v>81</v>
      </c>
      <c r="V10" s="128"/>
      <c r="W10" s="123">
        <f>PLANTILLA!X6</f>
        <v>0</v>
      </c>
      <c r="X10" s="123">
        <f>PLANTILLA!Y6</f>
        <v>13.05</v>
      </c>
      <c r="Y10" s="123">
        <f>PLANTILLA!Z6</f>
        <v>3.18</v>
      </c>
      <c r="Z10" s="123">
        <f>PLANTILLA!AA6</f>
        <v>12.033333333333333</v>
      </c>
      <c r="AA10" s="123">
        <f>PLANTILLA!AB6</f>
        <v>9.0399999999999991</v>
      </c>
      <c r="AB10" s="123">
        <f>PLANTILLA!AC6</f>
        <v>4.01</v>
      </c>
      <c r="AC10" s="123">
        <f>PLANTILLA!AD6</f>
        <v>10</v>
      </c>
      <c r="AD10" s="51">
        <f>PLANTILLA!V6</f>
        <v>13584</v>
      </c>
    </row>
    <row r="11" spans="1:31" x14ac:dyDescent="0.25">
      <c r="A11" s="121" t="s">
        <v>39</v>
      </c>
      <c r="B11" s="122" t="s">
        <v>190</v>
      </c>
      <c r="C11" s="157"/>
      <c r="D11" s="129"/>
      <c r="E11" s="129"/>
      <c r="F11" s="4" t="s">
        <v>210</v>
      </c>
      <c r="G11" s="124">
        <v>0</v>
      </c>
      <c r="H11" s="27">
        <v>14</v>
      </c>
      <c r="I11" s="124">
        <v>2</v>
      </c>
      <c r="J11" s="27">
        <v>12</v>
      </c>
      <c r="K11" s="124">
        <v>8</v>
      </c>
      <c r="L11" s="27">
        <v>2</v>
      </c>
      <c r="M11" s="124">
        <v>19</v>
      </c>
      <c r="N11" s="51">
        <f t="shared" si="3"/>
        <v>21984.400000000001</v>
      </c>
      <c r="O11" s="51">
        <f t="shared" si="2"/>
        <v>26381.280000000002</v>
      </c>
      <c r="Q11" s="121" t="s">
        <v>39</v>
      </c>
      <c r="R11" s="122" t="s">
        <v>190</v>
      </c>
      <c r="S11" s="151" t="str">
        <f>PLANTILLA!D8</f>
        <v>Andrea Califano</v>
      </c>
      <c r="T11" s="128">
        <f>PLANTILLA!E8</f>
        <v>31</v>
      </c>
      <c r="U11" s="130">
        <f ca="1">PLANTILLA!F8</f>
        <v>8</v>
      </c>
      <c r="V11" s="128"/>
      <c r="W11" s="123">
        <f>PLANTILLA!X8</f>
        <v>0</v>
      </c>
      <c r="X11" s="123">
        <f>PLANTILLA!Y8</f>
        <v>14</v>
      </c>
      <c r="Y11" s="123">
        <f>PLANTILLA!Z8</f>
        <v>3.02</v>
      </c>
      <c r="Z11" s="123">
        <f>PLANTILLA!AA8</f>
        <v>3.01</v>
      </c>
      <c r="AA11" s="123">
        <f>PLANTILLA!AB8</f>
        <v>10.01</v>
      </c>
      <c r="AB11" s="123">
        <f>PLANTILLA!AC8</f>
        <v>3</v>
      </c>
      <c r="AC11" s="123">
        <f>PLANTILLA!AD8</f>
        <v>17</v>
      </c>
      <c r="AD11" s="51">
        <f>PLANTILLA!V8</f>
        <v>20832</v>
      </c>
    </row>
    <row r="12" spans="1:31" x14ac:dyDescent="0.25">
      <c r="A12" s="121" t="s">
        <v>41</v>
      </c>
      <c r="B12" s="122" t="s">
        <v>189</v>
      </c>
      <c r="C12" s="157"/>
      <c r="D12" s="129"/>
      <c r="E12" s="129"/>
      <c r="F12" s="4" t="s">
        <v>211</v>
      </c>
      <c r="G12" s="124">
        <v>0</v>
      </c>
      <c r="H12" s="27">
        <v>14.1</v>
      </c>
      <c r="I12" s="124">
        <v>14</v>
      </c>
      <c r="J12" s="27">
        <v>2</v>
      </c>
      <c r="K12" s="124">
        <v>8</v>
      </c>
      <c r="L12" s="27">
        <v>2</v>
      </c>
      <c r="M12" s="124">
        <v>10</v>
      </c>
      <c r="N12" s="51">
        <f>(18370+11230+135)*1.03</f>
        <v>30627.05</v>
      </c>
      <c r="O12" s="51">
        <f t="shared" si="2"/>
        <v>36752.46</v>
      </c>
      <c r="Q12" s="121" t="s">
        <v>41</v>
      </c>
      <c r="R12" s="122" t="s">
        <v>189</v>
      </c>
      <c r="S12" s="151" t="str">
        <f>PLANTILLA!D10</f>
        <v>Jorge W. Whitaker</v>
      </c>
      <c r="T12" s="128">
        <f>PLANTILLA!E10</f>
        <v>31</v>
      </c>
      <c r="U12" s="130">
        <f ca="1">PLANTILLA!F10</f>
        <v>95</v>
      </c>
      <c r="V12" s="128" t="str">
        <f>PLANTILLA!G10</f>
        <v>POT</v>
      </c>
      <c r="W12" s="123">
        <f>PLANTILLA!X10</f>
        <v>0</v>
      </c>
      <c r="X12" s="123">
        <f>PLANTILLA!Y10</f>
        <v>12</v>
      </c>
      <c r="Y12" s="123">
        <f>PLANTILLA!Z10</f>
        <v>15.04</v>
      </c>
      <c r="Z12" s="123">
        <f>PLANTILLA!AA10</f>
        <v>2.0099999999999998</v>
      </c>
      <c r="AA12" s="123">
        <f>PLANTILLA!AB10</f>
        <v>8.3488888888888884</v>
      </c>
      <c r="AB12" s="123">
        <f>PLANTILLA!AC10</f>
        <v>2.1666666666666665</v>
      </c>
      <c r="AC12" s="123">
        <f>PLANTILLA!AD10</f>
        <v>8.4</v>
      </c>
      <c r="AD12" s="51">
        <f>PLANTILLA!V10</f>
        <v>32700</v>
      </c>
    </row>
    <row r="13" spans="1:31" x14ac:dyDescent="0.25">
      <c r="A13" s="121" t="s">
        <v>38</v>
      </c>
      <c r="B13" s="122" t="s">
        <v>189</v>
      </c>
      <c r="C13" s="157"/>
      <c r="D13" s="128"/>
      <c r="E13" s="128"/>
      <c r="F13" s="4" t="s">
        <v>211</v>
      </c>
      <c r="G13" s="123">
        <v>0</v>
      </c>
      <c r="H13" s="21">
        <v>14.1</v>
      </c>
      <c r="I13" s="123">
        <v>14</v>
      </c>
      <c r="J13" s="21">
        <v>2</v>
      </c>
      <c r="K13" s="123">
        <v>8</v>
      </c>
      <c r="L13" s="21">
        <v>2</v>
      </c>
      <c r="M13" s="123">
        <v>10</v>
      </c>
      <c r="N13" s="51">
        <f>(18370+11230+135)*1.03</f>
        <v>30627.05</v>
      </c>
      <c r="O13" s="51">
        <f t="shared" si="2"/>
        <v>36752.46</v>
      </c>
      <c r="Q13" s="121" t="s">
        <v>38</v>
      </c>
      <c r="R13" s="122" t="s">
        <v>189</v>
      </c>
      <c r="S13" s="151" t="str">
        <f>PLANTILLA!D9</f>
        <v>Ibiur Altxakoa</v>
      </c>
      <c r="T13" s="128">
        <f>PLANTILLA!E9</f>
        <v>32</v>
      </c>
      <c r="U13" s="128">
        <f ca="1">PLANTILLA!F9</f>
        <v>60</v>
      </c>
      <c r="V13" s="128" t="str">
        <f>PLANTILLA!G9</f>
        <v>CAB</v>
      </c>
      <c r="W13" s="123">
        <f>PLANTILLA!X9</f>
        <v>0</v>
      </c>
      <c r="X13" s="123">
        <f>PLANTILLA!Y9</f>
        <v>15.028571428571428</v>
      </c>
      <c r="Y13" s="123">
        <f>PLANTILLA!Z9</f>
        <v>12</v>
      </c>
      <c r="Z13" s="123">
        <f>PLANTILLA!AA9</f>
        <v>2.0099999999999998</v>
      </c>
      <c r="AA13" s="123">
        <f>PLANTILLA!AB9</f>
        <v>7.1828571428571424</v>
      </c>
      <c r="AB13" s="123">
        <f>PLANTILLA!AC9</f>
        <v>3.99</v>
      </c>
      <c r="AC13" s="123">
        <f>PLANTILLA!AD9</f>
        <v>14.399999999999999</v>
      </c>
      <c r="AD13" s="51">
        <f>PLANTILLA!V9</f>
        <v>21960</v>
      </c>
    </row>
    <row r="14" spans="1:31" x14ac:dyDescent="0.25">
      <c r="A14" s="121" t="s">
        <v>35</v>
      </c>
      <c r="B14" s="122" t="s">
        <v>189</v>
      </c>
      <c r="C14" s="157"/>
      <c r="D14" s="128"/>
      <c r="E14" s="128"/>
      <c r="F14" s="4" t="s">
        <v>211</v>
      </c>
      <c r="G14" s="123">
        <v>0</v>
      </c>
      <c r="H14" s="21">
        <v>14</v>
      </c>
      <c r="I14" s="123">
        <v>14.1</v>
      </c>
      <c r="J14" s="21">
        <v>2</v>
      </c>
      <c r="K14" s="123">
        <v>8</v>
      </c>
      <c r="L14" s="21">
        <v>2</v>
      </c>
      <c r="M14" s="123">
        <v>10</v>
      </c>
      <c r="N14" s="51">
        <f>(22460+9130+135)*1.03</f>
        <v>32676.75</v>
      </c>
      <c r="O14" s="51">
        <f t="shared" si="2"/>
        <v>39212.1</v>
      </c>
      <c r="Q14" s="121" t="s">
        <v>35</v>
      </c>
      <c r="R14" s="122" t="s">
        <v>189</v>
      </c>
      <c r="S14" s="151" t="str">
        <f>PLANTILLA!D7</f>
        <v>Mateuz Brzostowski</v>
      </c>
      <c r="T14" s="128">
        <f>PLANTILLA!E7</f>
        <v>31</v>
      </c>
      <c r="U14" s="130">
        <f ca="1">PLANTILLA!F7</f>
        <v>25</v>
      </c>
      <c r="V14" s="128"/>
      <c r="W14" s="123">
        <f>PLANTILLA!X7</f>
        <v>0</v>
      </c>
      <c r="X14" s="123">
        <f>PLANTILLA!Y7</f>
        <v>14</v>
      </c>
      <c r="Y14" s="123">
        <f>PLANTILLA!Z7</f>
        <v>5.0199999999999996</v>
      </c>
      <c r="Z14" s="123">
        <f>PLANTILLA!AA7</f>
        <v>10.01</v>
      </c>
      <c r="AA14" s="123">
        <f>PLANTILLA!AB7</f>
        <v>9.0399999999999991</v>
      </c>
      <c r="AB14" s="123">
        <f>PLANTILLA!AC7</f>
        <v>1.01</v>
      </c>
      <c r="AC14" s="123">
        <f>PLANTILLA!AD7</f>
        <v>13.2</v>
      </c>
      <c r="AD14" s="51">
        <f>PLANTILLA!V7</f>
        <v>21540</v>
      </c>
    </row>
    <row r="15" spans="1:31" x14ac:dyDescent="0.25">
      <c r="A15" s="121" t="s">
        <v>31</v>
      </c>
      <c r="B15" s="122" t="s">
        <v>209</v>
      </c>
      <c r="C15" s="157"/>
      <c r="D15" s="128"/>
      <c r="E15" s="128"/>
      <c r="F15" s="20" t="s">
        <v>185</v>
      </c>
      <c r="G15" s="123">
        <v>0</v>
      </c>
      <c r="H15" s="21">
        <v>2</v>
      </c>
      <c r="I15" s="123">
        <v>14.1</v>
      </c>
      <c r="J15" s="21">
        <v>14</v>
      </c>
      <c r="K15" s="123">
        <v>8</v>
      </c>
      <c r="L15" s="21">
        <v>7</v>
      </c>
      <c r="M15" s="123">
        <v>10</v>
      </c>
      <c r="N15" s="51">
        <f>(22460+5805+135+245)*1.03</f>
        <v>29504.350000000002</v>
      </c>
      <c r="O15" s="51">
        <f t="shared" si="2"/>
        <v>35405.22</v>
      </c>
      <c r="Q15" s="121" t="s">
        <v>31</v>
      </c>
      <c r="R15" s="122" t="s">
        <v>209</v>
      </c>
      <c r="S15" s="151" t="str">
        <f>PLANTILLA!D13</f>
        <v>Iyad Chaabo</v>
      </c>
      <c r="T15" s="128">
        <f>PLANTILLA!E13</f>
        <v>31</v>
      </c>
      <c r="U15" s="130">
        <f ca="1">PLANTILLA!F13</f>
        <v>76</v>
      </c>
      <c r="V15" s="128"/>
      <c r="W15" s="123">
        <f>PLANTILLA!X13</f>
        <v>0</v>
      </c>
      <c r="X15" s="123">
        <f>PLANTILLA!Y13</f>
        <v>4</v>
      </c>
      <c r="Y15" s="123">
        <f>PLANTILLA!Z13</f>
        <v>12.022727272727273</v>
      </c>
      <c r="Z15" s="123">
        <f>PLANTILLA!AA13</f>
        <v>14.066666666666666</v>
      </c>
      <c r="AA15" s="123">
        <f>PLANTILLA!AB13</f>
        <v>8.5999999999999979</v>
      </c>
      <c r="AB15" s="123">
        <f>PLANTILLA!AC13</f>
        <v>3.01</v>
      </c>
      <c r="AC15" s="123">
        <f>PLANTILLA!AD13</f>
        <v>5.5</v>
      </c>
      <c r="AD15" s="51">
        <f>PLANTILLA!V13</f>
        <v>16668</v>
      </c>
    </row>
    <row r="16" spans="1:31" x14ac:dyDescent="0.25">
      <c r="A16" s="121" t="s">
        <v>43</v>
      </c>
      <c r="B16" s="122" t="s">
        <v>209</v>
      </c>
      <c r="C16" s="157"/>
      <c r="D16" s="128"/>
      <c r="E16" s="128"/>
      <c r="F16" s="20" t="s">
        <v>185</v>
      </c>
      <c r="G16" s="123">
        <v>0</v>
      </c>
      <c r="H16" s="21">
        <v>2</v>
      </c>
      <c r="I16" s="123">
        <v>14.1</v>
      </c>
      <c r="J16" s="21">
        <v>14</v>
      </c>
      <c r="K16" s="123">
        <v>8</v>
      </c>
      <c r="L16" s="21">
        <v>7</v>
      </c>
      <c r="M16" s="123">
        <v>10</v>
      </c>
      <c r="N16" s="51">
        <f t="shared" ref="N16" si="4">(22460+5805+135+245)*1.03</f>
        <v>29504.350000000002</v>
      </c>
      <c r="O16" s="51">
        <f t="shared" si="2"/>
        <v>35405.22</v>
      </c>
      <c r="Q16" s="121" t="s">
        <v>43</v>
      </c>
      <c r="R16" s="122" t="s">
        <v>209</v>
      </c>
      <c r="S16" s="151" t="str">
        <f>PLANTILLA!D14</f>
        <v>Morgan Thomas</v>
      </c>
      <c r="T16" s="128">
        <f>PLANTILLA!E14</f>
        <v>32</v>
      </c>
      <c r="U16" s="130">
        <f ca="1">PLANTILLA!F14</f>
        <v>101</v>
      </c>
      <c r="V16" s="128" t="str">
        <f>PLANTILLA!G14</f>
        <v>CAB</v>
      </c>
      <c r="W16" s="123">
        <f>PLANTILLA!X14</f>
        <v>0</v>
      </c>
      <c r="X16" s="123">
        <f>PLANTILLA!Y14</f>
        <v>1.037037037037037</v>
      </c>
      <c r="Y16" s="123">
        <f>PLANTILLA!Z14</f>
        <v>13.230909090909091</v>
      </c>
      <c r="Z16" s="123">
        <f>PLANTILLA!AA14</f>
        <v>14.058518518518518</v>
      </c>
      <c r="AA16" s="123">
        <f>PLANTILLA!AB14</f>
        <v>10.936666666666666</v>
      </c>
      <c r="AB16" s="123">
        <f>PLANTILLA!AC14</f>
        <v>3.0399999999999996</v>
      </c>
      <c r="AC16" s="123">
        <f>PLANTILLA!AD14</f>
        <v>10</v>
      </c>
      <c r="AD16" s="51">
        <f>PLANTILLA!V14</f>
        <v>17724</v>
      </c>
      <c r="AE16" s="219"/>
    </row>
    <row r="17" spans="1:33" x14ac:dyDescent="0.25">
      <c r="A17" s="121" t="s">
        <v>37</v>
      </c>
      <c r="B17" s="122" t="s">
        <v>209</v>
      </c>
      <c r="C17" s="157"/>
      <c r="D17" s="128"/>
      <c r="E17" s="128"/>
      <c r="F17" s="20" t="s">
        <v>185</v>
      </c>
      <c r="G17" s="123">
        <v>0</v>
      </c>
      <c r="H17" s="21">
        <v>2</v>
      </c>
      <c r="I17" s="123">
        <v>14</v>
      </c>
      <c r="J17" s="21">
        <v>14.1</v>
      </c>
      <c r="K17" s="123">
        <v>8</v>
      </c>
      <c r="L17" s="21">
        <v>7</v>
      </c>
      <c r="M17" s="123">
        <v>10</v>
      </c>
      <c r="N17" s="51">
        <f>(11610+11230+135+245)*1.03</f>
        <v>23916.600000000002</v>
      </c>
      <c r="O17" s="51">
        <f t="shared" si="2"/>
        <v>28699.920000000002</v>
      </c>
      <c r="Q17" s="121" t="s">
        <v>37</v>
      </c>
      <c r="R17" s="122" t="s">
        <v>209</v>
      </c>
      <c r="S17" s="151" t="str">
        <f>PLANTILLA!D11</f>
        <v>Emilio Mochelato</v>
      </c>
      <c r="T17" s="128">
        <f>PLANTILLA!E11</f>
        <v>32</v>
      </c>
      <c r="U17" s="130">
        <f ca="1">PLANTILLA!F11</f>
        <v>12</v>
      </c>
      <c r="V17" s="128" t="str">
        <f>PLANTILLA!G11</f>
        <v>RAP</v>
      </c>
      <c r="W17" s="123">
        <f>PLANTILLA!X11</f>
        <v>0</v>
      </c>
      <c r="X17" s="123">
        <f>PLANTILLA!Y11</f>
        <v>5.0196078431372548</v>
      </c>
      <c r="Y17" s="123">
        <f>PLANTILLA!Z11</f>
        <v>14.210000000000003</v>
      </c>
      <c r="Z17" s="123">
        <f>PLANTILLA!AA11</f>
        <v>5</v>
      </c>
      <c r="AA17" s="123">
        <f>PLANTILLA!AB11</f>
        <v>12.487301587301586</v>
      </c>
      <c r="AB17" s="123">
        <f>PLANTILLA!AC11</f>
        <v>3.41</v>
      </c>
      <c r="AC17" s="123">
        <f>PLANTILLA!AD11</f>
        <v>15.333333333333332</v>
      </c>
      <c r="AD17" s="51">
        <f>PLANTILLA!V11</f>
        <v>21792</v>
      </c>
    </row>
    <row r="18" spans="1:33" x14ac:dyDescent="0.25">
      <c r="A18" s="121" t="s">
        <v>36</v>
      </c>
      <c r="B18" s="122" t="s">
        <v>209</v>
      </c>
      <c r="C18" s="157"/>
      <c r="D18" s="128"/>
      <c r="E18" s="128"/>
      <c r="F18" s="20" t="s">
        <v>185</v>
      </c>
      <c r="G18" s="123">
        <v>0</v>
      </c>
      <c r="H18" s="21">
        <v>2</v>
      </c>
      <c r="I18" s="123">
        <v>14</v>
      </c>
      <c r="J18" s="21">
        <v>14.1</v>
      </c>
      <c r="K18" s="123">
        <v>8</v>
      </c>
      <c r="L18" s="21">
        <v>7</v>
      </c>
      <c r="M18" s="123">
        <v>10</v>
      </c>
      <c r="N18" s="51">
        <f>(11610+11230+135+245)*1.03</f>
        <v>23916.600000000002</v>
      </c>
      <c r="O18" s="51">
        <f t="shared" si="2"/>
        <v>28699.920000000002</v>
      </c>
      <c r="Q18" s="121" t="s">
        <v>36</v>
      </c>
      <c r="R18" s="122" t="s">
        <v>209</v>
      </c>
      <c r="S18" s="151" t="str">
        <f>PLANTILLA!D12</f>
        <v>Cezary Pauch</v>
      </c>
      <c r="T18" s="128">
        <f>PLANTILLA!E12</f>
        <v>29</v>
      </c>
      <c r="U18" s="130">
        <f ca="1">PLANTILLA!F12</f>
        <v>105</v>
      </c>
      <c r="V18" s="128" t="str">
        <f>PLANTILLA!G12</f>
        <v>RAP</v>
      </c>
      <c r="W18" s="123">
        <f>PLANTILLA!X12</f>
        <v>0</v>
      </c>
      <c r="X18" s="123">
        <f>PLANTILLA!Y12</f>
        <v>2</v>
      </c>
      <c r="Y18" s="123">
        <f>PLANTILLA!Z12</f>
        <v>13.022727272727273</v>
      </c>
      <c r="Z18" s="123">
        <f>PLANTILLA!AA12</f>
        <v>14.00679012345679</v>
      </c>
      <c r="AA18" s="123">
        <f>PLANTILLA!AB12</f>
        <v>6.9986111111111118</v>
      </c>
      <c r="AB18" s="123">
        <f>PLANTILLA!AC12</f>
        <v>5.01</v>
      </c>
      <c r="AC18" s="123">
        <f>PLANTILLA!AD12</f>
        <v>0.14444444444444443</v>
      </c>
      <c r="AD18" s="51">
        <f>PLANTILLA!V12</f>
        <v>23244</v>
      </c>
    </row>
    <row r="19" spans="1:33" x14ac:dyDescent="0.25">
      <c r="A19" s="121" t="s">
        <v>40</v>
      </c>
      <c r="B19" s="122" t="s">
        <v>186</v>
      </c>
      <c r="C19" s="157"/>
      <c r="D19" s="128"/>
      <c r="E19" s="128"/>
      <c r="F19" s="20" t="s">
        <v>212</v>
      </c>
      <c r="G19" s="123">
        <v>0</v>
      </c>
      <c r="H19" s="21">
        <v>2</v>
      </c>
      <c r="I19" s="123">
        <v>14</v>
      </c>
      <c r="J19" s="21">
        <v>2</v>
      </c>
      <c r="K19" s="123">
        <v>14</v>
      </c>
      <c r="L19" s="21">
        <v>10</v>
      </c>
      <c r="M19" s="123">
        <v>10</v>
      </c>
      <c r="N19" s="51">
        <f>(22460+1535+1315)*1.03</f>
        <v>26069.3</v>
      </c>
      <c r="O19" s="51">
        <f t="shared" si="2"/>
        <v>31283.159999999996</v>
      </c>
      <c r="Q19" s="121" t="s">
        <v>40</v>
      </c>
      <c r="R19" s="122" t="s">
        <v>186</v>
      </c>
      <c r="S19" s="151" t="str">
        <f>PLANTILLA!D18</f>
        <v>Rasheed Da'na</v>
      </c>
      <c r="T19" s="128">
        <f>PLANTILLA!E18</f>
        <v>29</v>
      </c>
      <c r="U19" s="130">
        <f ca="1">PLANTILLA!F18</f>
        <v>62</v>
      </c>
      <c r="V19" s="128" t="str">
        <f>PLANTILLA!G18</f>
        <v>RAP</v>
      </c>
      <c r="W19" s="123">
        <f>PLANTILLA!X18</f>
        <v>0</v>
      </c>
      <c r="X19" s="123">
        <f>PLANTILLA!Y18</f>
        <v>2.0384615384615383</v>
      </c>
      <c r="Y19" s="123">
        <f>PLANTILLA!Z18</f>
        <v>13.499999999999998</v>
      </c>
      <c r="Z19" s="123">
        <f>PLANTILLA!AA18</f>
        <v>4.0999999999999996</v>
      </c>
      <c r="AA19" s="123">
        <f>PLANTILLA!AB18</f>
        <v>14.352222222222222</v>
      </c>
      <c r="AB19" s="123">
        <f>PLANTILLA!AC18</f>
        <v>10.095333333333334</v>
      </c>
      <c r="AC19" s="123">
        <f>PLANTILLA!AD18</f>
        <v>14.599999999999998</v>
      </c>
      <c r="AD19" s="51">
        <f>PLANTILLA!V18</f>
        <v>31320</v>
      </c>
    </row>
    <row r="20" spans="1:33" x14ac:dyDescent="0.25">
      <c r="A20" s="121" t="s">
        <v>34</v>
      </c>
      <c r="B20" s="122" t="s">
        <v>186</v>
      </c>
      <c r="C20" s="157"/>
      <c r="D20" s="128"/>
      <c r="E20" s="128"/>
      <c r="F20" s="20" t="s">
        <v>212</v>
      </c>
      <c r="G20" s="123">
        <v>0</v>
      </c>
      <c r="H20" s="21">
        <v>2</v>
      </c>
      <c r="I20" s="123">
        <v>14</v>
      </c>
      <c r="J20" s="21">
        <v>2</v>
      </c>
      <c r="K20" s="123">
        <v>14</v>
      </c>
      <c r="L20" s="21">
        <v>10</v>
      </c>
      <c r="M20" s="123">
        <v>10</v>
      </c>
      <c r="N20" s="51">
        <f t="shared" ref="N20:N22" si="5">(22460+1535+1315)*1.03</f>
        <v>26069.3</v>
      </c>
      <c r="O20" s="51">
        <f t="shared" si="2"/>
        <v>31283.159999999996</v>
      </c>
      <c r="Q20" s="121" t="s">
        <v>34</v>
      </c>
      <c r="R20" s="122" t="s">
        <v>186</v>
      </c>
      <c r="S20" s="151" t="str">
        <f>PLANTILLA!D15</f>
        <v>Gianfranco Rezza</v>
      </c>
      <c r="T20" s="128">
        <f>PLANTILLA!E15</f>
        <v>30</v>
      </c>
      <c r="U20" s="130">
        <f ca="1">PLANTILLA!F15</f>
        <v>3</v>
      </c>
      <c r="V20" s="128" t="str">
        <f>PLANTILLA!G15</f>
        <v>CAB</v>
      </c>
      <c r="W20" s="123">
        <f>PLANTILLA!X15</f>
        <v>0</v>
      </c>
      <c r="X20" s="123">
        <f>PLANTILLA!Y15</f>
        <v>2</v>
      </c>
      <c r="Y20" s="123">
        <f>PLANTILLA!Z15</f>
        <v>14.066666666666666</v>
      </c>
      <c r="Z20" s="123">
        <f>PLANTILLA!AA15</f>
        <v>2.125</v>
      </c>
      <c r="AA20" s="123">
        <f>PLANTILLA!AB15</f>
        <v>14.460000000000004</v>
      </c>
      <c r="AB20" s="123">
        <f>PLANTILLA!AC15</f>
        <v>8.1057777777777762</v>
      </c>
      <c r="AC20" s="123">
        <f>PLANTILLA!AD15</f>
        <v>14</v>
      </c>
      <c r="AD20" s="51">
        <f>PLANTILLA!V15</f>
        <v>30204</v>
      </c>
    </row>
    <row r="21" spans="1:33" x14ac:dyDescent="0.25">
      <c r="A21" s="121" t="s">
        <v>42</v>
      </c>
      <c r="B21" s="122" t="s">
        <v>186</v>
      </c>
      <c r="C21" s="157"/>
      <c r="D21" s="128"/>
      <c r="E21" s="128"/>
      <c r="F21" s="20" t="s">
        <v>212</v>
      </c>
      <c r="G21" s="123">
        <v>0</v>
      </c>
      <c r="H21" s="21">
        <v>2</v>
      </c>
      <c r="I21" s="123">
        <v>14</v>
      </c>
      <c r="J21" s="21">
        <v>2</v>
      </c>
      <c r="K21" s="123">
        <v>14</v>
      </c>
      <c r="L21" s="21">
        <v>10</v>
      </c>
      <c r="M21" s="123">
        <v>10</v>
      </c>
      <c r="N21" s="51">
        <f t="shared" si="5"/>
        <v>26069.3</v>
      </c>
      <c r="O21" s="51">
        <f t="shared" si="2"/>
        <v>31283.159999999996</v>
      </c>
      <c r="Q21" s="121" t="s">
        <v>42</v>
      </c>
      <c r="R21" s="122" t="s">
        <v>186</v>
      </c>
      <c r="S21" s="151" t="str">
        <f>PLANTILLA!D16</f>
        <v>Saul Piña</v>
      </c>
      <c r="T21" s="128">
        <f>PLANTILLA!E16</f>
        <v>29</v>
      </c>
      <c r="U21" s="130">
        <f ca="1">PLANTILLA!F16</f>
        <v>66</v>
      </c>
      <c r="V21" s="128" t="str">
        <f>PLANTILLA!G16</f>
        <v>TEC</v>
      </c>
      <c r="W21" s="123">
        <f>PLANTILLA!X16</f>
        <v>0</v>
      </c>
      <c r="X21" s="123">
        <f>PLANTILLA!Y16</f>
        <v>2.2000000000000002</v>
      </c>
      <c r="Y21" s="123">
        <f>PLANTILLA!Z16</f>
        <v>14.399999999999999</v>
      </c>
      <c r="Z21" s="123">
        <f>PLANTILLA!AA16</f>
        <v>1.33</v>
      </c>
      <c r="AA21" s="123">
        <f>PLANTILLA!AB16</f>
        <v>14.142888888888882</v>
      </c>
      <c r="AB21" s="123">
        <f>PLANTILLA!AC16</f>
        <v>9.3399999999999981</v>
      </c>
      <c r="AC21" s="123">
        <f>PLANTILLA!AD16</f>
        <v>15.2</v>
      </c>
      <c r="AD21" s="51">
        <f>PLANTILLA!V16</f>
        <v>28090</v>
      </c>
    </row>
    <row r="22" spans="1:33" x14ac:dyDescent="0.25">
      <c r="A22" s="121" t="s">
        <v>46</v>
      </c>
      <c r="B22" s="122" t="s">
        <v>186</v>
      </c>
      <c r="C22" s="157"/>
      <c r="D22" s="128"/>
      <c r="E22" s="128"/>
      <c r="F22" s="20" t="s">
        <v>212</v>
      </c>
      <c r="G22" s="123">
        <v>0</v>
      </c>
      <c r="H22" s="21">
        <v>2</v>
      </c>
      <c r="I22" s="123">
        <v>14</v>
      </c>
      <c r="J22" s="21">
        <v>2</v>
      </c>
      <c r="K22" s="123">
        <v>14</v>
      </c>
      <c r="L22" s="21">
        <v>10</v>
      </c>
      <c r="M22" s="123">
        <v>10</v>
      </c>
      <c r="N22" s="51">
        <f t="shared" si="5"/>
        <v>26069.3</v>
      </c>
      <c r="O22" s="51">
        <f t="shared" si="2"/>
        <v>31283.159999999996</v>
      </c>
      <c r="Q22" s="121" t="s">
        <v>46</v>
      </c>
      <c r="R22" s="122" t="s">
        <v>186</v>
      </c>
      <c r="S22" s="151" t="str">
        <f>PLANTILLA!D17</f>
        <v>Adam Moss</v>
      </c>
      <c r="T22" s="128">
        <f>PLANTILLA!E17</f>
        <v>30</v>
      </c>
      <c r="U22" s="130">
        <f ca="1">PLANTILLA!F17</f>
        <v>5</v>
      </c>
      <c r="V22" s="128" t="str">
        <f>PLANTILLA!G17</f>
        <v>RAP</v>
      </c>
      <c r="W22" s="123">
        <f>PLANTILLA!X17</f>
        <v>0</v>
      </c>
      <c r="X22" s="123">
        <f>PLANTILLA!Y17</f>
        <v>3.2</v>
      </c>
      <c r="Y22" s="123">
        <f>PLANTILLA!Z17</f>
        <v>14.399999999999999</v>
      </c>
      <c r="Z22" s="123">
        <f>PLANTILLA!AA17</f>
        <v>2.2999999999999998</v>
      </c>
      <c r="AA22" s="123">
        <f>PLANTILLA!AB17</f>
        <v>14.266</v>
      </c>
      <c r="AB22" s="123">
        <f>PLANTILLA!AC17</f>
        <v>9.0999999999999961</v>
      </c>
      <c r="AC22" s="123">
        <f>PLANTILLA!AD17</f>
        <v>15.7</v>
      </c>
      <c r="AD22" s="51">
        <f>PLANTILLA!V17</f>
        <v>30996</v>
      </c>
    </row>
    <row r="26" spans="1:33" x14ac:dyDescent="0.25">
      <c r="AE26"/>
      <c r="AF26"/>
      <c r="AG26"/>
    </row>
  </sheetData>
  <mergeCells count="1">
    <mergeCell ref="C1:I1"/>
  </mergeCells>
  <conditionalFormatting sqref="G8:M22">
    <cfRule type="colorScale" priority="4">
      <colorScale>
        <cfvo type="min"/>
        <cfvo type="max"/>
        <color rgb="FFFCFCFF"/>
        <color rgb="FFF8696B"/>
      </colorScale>
    </cfRule>
  </conditionalFormatting>
  <conditionalFormatting sqref="W8:AC22">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AC14" sqref="AC14"/>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207</v>
      </c>
    </row>
    <row r="2" spans="1:45" x14ac:dyDescent="0.25">
      <c r="D2" s="33">
        <f ca="1">TODAY()</f>
        <v>43056</v>
      </c>
      <c r="I2" s="35">
        <f>AVERAGE(I4:I18)</f>
        <v>9.2799999999999994</v>
      </c>
      <c r="J2" s="35"/>
      <c r="N2" s="40">
        <f ca="1">AVERAGE(N4:N18)</f>
        <v>0.83304038641775924</v>
      </c>
      <c r="O2" s="35">
        <f>AVERAGE(O4:O18)</f>
        <v>7.2533333333333347</v>
      </c>
      <c r="Q2" s="35">
        <f>AVERAGE(Q4:Q18)</f>
        <v>5.5333333333333332</v>
      </c>
      <c r="R2" s="133">
        <f>AVERAGE(R4:R18)</f>
        <v>0.88573758796654745</v>
      </c>
      <c r="S2" s="133">
        <f>AVERAGE(S4:S18)</f>
        <v>0.9490699172458571</v>
      </c>
      <c r="T2" s="41">
        <f>SUM(T4:T18)</f>
        <v>1847600</v>
      </c>
      <c r="U2" s="41">
        <f>SUM(U4:U18)</f>
        <v>-17310</v>
      </c>
      <c r="V2" s="41">
        <f>SUM(V4:V18)</f>
        <v>345486</v>
      </c>
      <c r="W2" s="42">
        <f>T2/V2</f>
        <v>5.3478288555831499</v>
      </c>
      <c r="AD2" s="40">
        <f>AVERAGE(AD4:AD18)</f>
        <v>12.530740740740738</v>
      </c>
      <c r="AE2" s="36">
        <f>AVERAGE(AE4:AE18)</f>
        <v>1607.2666666666667</v>
      </c>
      <c r="AF2" s="36"/>
      <c r="AK2" s="35"/>
      <c r="AL2" s="35"/>
      <c r="AM2" s="35"/>
      <c r="AN2" s="35"/>
      <c r="AO2" s="35">
        <f>AVERAGE(AO4:AO32)</f>
        <v>1.9310344827586208</v>
      </c>
      <c r="AP2" s="35"/>
      <c r="AQ2" s="35">
        <f>AVERAGE(AQ4:AQ32)</f>
        <v>1.896551724137931</v>
      </c>
    </row>
    <row r="3" spans="1:45" x14ac:dyDescent="0.25">
      <c r="A3" s="11" t="s">
        <v>1</v>
      </c>
      <c r="B3" s="11" t="s">
        <v>2</v>
      </c>
      <c r="C3" s="12" t="s">
        <v>213</v>
      </c>
      <c r="D3" s="13" t="s">
        <v>184</v>
      </c>
      <c r="E3" s="11" t="s">
        <v>4</v>
      </c>
      <c r="F3" s="11" t="s">
        <v>5</v>
      </c>
      <c r="G3" s="11" t="s">
        <v>6</v>
      </c>
      <c r="H3" s="11" t="s">
        <v>7</v>
      </c>
      <c r="I3" s="11" t="s">
        <v>8</v>
      </c>
      <c r="J3" s="11" t="s">
        <v>195</v>
      </c>
      <c r="K3" s="14" t="s">
        <v>52</v>
      </c>
      <c r="L3" s="14" t="s">
        <v>51</v>
      </c>
      <c r="M3" s="11" t="s">
        <v>204</v>
      </c>
      <c r="N3" s="11" t="s">
        <v>104</v>
      </c>
      <c r="O3" s="11" t="s">
        <v>9</v>
      </c>
      <c r="P3" s="11" t="s">
        <v>10</v>
      </c>
      <c r="Q3" s="11" t="s">
        <v>11</v>
      </c>
      <c r="R3" s="53" t="s">
        <v>102</v>
      </c>
      <c r="S3" s="53" t="s">
        <v>103</v>
      </c>
      <c r="T3" s="11" t="s">
        <v>12</v>
      </c>
      <c r="U3" s="11" t="s">
        <v>239</v>
      </c>
      <c r="V3" s="11" t="s">
        <v>13</v>
      </c>
      <c r="W3" s="11" t="s">
        <v>14</v>
      </c>
      <c r="X3" s="11" t="s">
        <v>15</v>
      </c>
      <c r="Y3" s="11" t="s">
        <v>16</v>
      </c>
      <c r="Z3" s="11" t="s">
        <v>17</v>
      </c>
      <c r="AA3" s="11" t="s">
        <v>18</v>
      </c>
      <c r="AB3" s="11" t="s">
        <v>19</v>
      </c>
      <c r="AC3" s="11" t="s">
        <v>20</v>
      </c>
      <c r="AD3" s="11" t="s">
        <v>6</v>
      </c>
      <c r="AE3" s="11" t="s">
        <v>21</v>
      </c>
      <c r="AF3" s="11" t="s">
        <v>419</v>
      </c>
      <c r="AG3" s="15" t="s">
        <v>26</v>
      </c>
      <c r="AH3" s="15" t="s">
        <v>27</v>
      </c>
      <c r="AI3" s="15" t="s">
        <v>196</v>
      </c>
      <c r="AJ3" s="15" t="s">
        <v>197</v>
      </c>
      <c r="AK3" s="15" t="s">
        <v>22</v>
      </c>
      <c r="AL3" s="15" t="s">
        <v>23</v>
      </c>
      <c r="AM3" s="15" t="s">
        <v>24</v>
      </c>
      <c r="AN3" s="15" t="s">
        <v>25</v>
      </c>
      <c r="AO3" s="11" t="s">
        <v>205</v>
      </c>
      <c r="AP3" s="11" t="s">
        <v>201</v>
      </c>
      <c r="AQ3" s="11" t="s">
        <v>202</v>
      </c>
      <c r="AR3" s="11" t="s">
        <v>203</v>
      </c>
      <c r="AS3" s="37" t="s">
        <v>384</v>
      </c>
    </row>
    <row r="4" spans="1:45" x14ac:dyDescent="0.25">
      <c r="A4" s="16" t="s">
        <v>29</v>
      </c>
      <c r="B4" s="16" t="s">
        <v>28</v>
      </c>
      <c r="C4" s="138">
        <f ca="1">((33*112)-(E4*112)-(F4))/112</f>
        <v>2.8125</v>
      </c>
      <c r="D4" s="31" t="s">
        <v>47</v>
      </c>
      <c r="E4" s="18">
        <v>30</v>
      </c>
      <c r="F4" s="19">
        <f ca="1">17+D2-D1-112-112-112-112-112-112-112</f>
        <v>21</v>
      </c>
      <c r="G4" s="20"/>
      <c r="H4" s="5">
        <v>2</v>
      </c>
      <c r="I4" s="30">
        <v>10.6</v>
      </c>
      <c r="J4" s="24">
        <f>LOG(I4)*4/3</f>
        <v>1.3670744870196936</v>
      </c>
      <c r="K4" s="7">
        <f t="shared" ref="K4:K14" si="0">(H4)*(H4)*(I4)</f>
        <v>42.4</v>
      </c>
      <c r="L4" s="7">
        <f t="shared" ref="L4:L14" si="1">(H4+1)*(H4+1)*I4</f>
        <v>95.399999999999991</v>
      </c>
      <c r="M4" s="153">
        <v>42200</v>
      </c>
      <c r="N4" s="154">
        <f ca="1">IF((TODAY()-M4)&gt;335,1,((TODAY()-M4)^0.64)/(336^0.64))</f>
        <v>1</v>
      </c>
      <c r="O4" s="21">
        <v>7.9</v>
      </c>
      <c r="P4" s="22">
        <f>O4*10+19</f>
        <v>98</v>
      </c>
      <c r="Q4" s="22">
        <v>7</v>
      </c>
      <c r="R4" s="132">
        <f>(Q4/7)^0.5</f>
        <v>1</v>
      </c>
      <c r="S4" s="132">
        <f>IF(Q4=7,1,((Q4+0.99)/7)^0.5)</f>
        <v>1</v>
      </c>
      <c r="T4" s="32">
        <v>54020</v>
      </c>
      <c r="U4" s="32">
        <f>T4-AS4</f>
        <v>-1930</v>
      </c>
      <c r="V4" s="32">
        <v>16820</v>
      </c>
      <c r="W4" s="9">
        <f t="shared" ref="W4:W8" si="2">T4/V4</f>
        <v>3.211652794292509</v>
      </c>
      <c r="X4" s="23">
        <v>14</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f>
        <v>19.149999999999999</v>
      </c>
      <c r="AE4" s="10">
        <v>1284</v>
      </c>
      <c r="AF4" s="10"/>
      <c r="AG4" s="25">
        <f ca="1">(AD4+1+(LOG(I4)*4/3)+N4)*(Q4/7)^0.5</f>
        <v>22.517074487019691</v>
      </c>
      <c r="AH4" s="25">
        <f ca="1">(AD4+1+N4+(LOG(I4)*4/3))*(IF(Q4=7, (Q4/7)^0.5, ((Q4+1)/7)^0.5))</f>
        <v>22.517074487019691</v>
      </c>
      <c r="AI4" s="137">
        <f ca="1">(Z4+N4+(LOG(I4)*4/3))*(Q4/7)^0.5</f>
        <v>2.5470744870196933</v>
      </c>
      <c r="AJ4" s="137">
        <f ca="1">(Z4+N4+(LOG(I4)*4/3))*(IF(Q4=7, (Q4/7)^0.5, ((Q4+1)/7)^0.5))</f>
        <v>2.5470744870196933</v>
      </c>
      <c r="AK4" s="9">
        <f ca="1">(((Y4+LOG(I4)*4/3+N4)+(AB4+LOG(I4)*4/3+N4)*2)/8)*(Q4/7)^0.5</f>
        <v>2.8534862659657181</v>
      </c>
      <c r="AL4" s="9">
        <f ca="1">(AD4+LOG(I4)*4/3+N4)*0.7+(AC4+LOG(I4)*4/3+N4)*0.3</f>
        <v>16.315074487019693</v>
      </c>
      <c r="AM4" s="9">
        <f ca="1">(0.5*(AC4+LOG(I4)*4/3+N4)+ 0.3*(AD4+LOG(I4)*4/3+N4))/10</f>
        <v>0.8543659589615753</v>
      </c>
      <c r="AN4" s="9">
        <f ca="1">(0.4*(Y4+LOG(I4)*4/3+N4)+0.3*(AD4+LOG(I4)*4/3+N4))/10</f>
        <v>1.1828618807580451</v>
      </c>
      <c r="AO4" s="22">
        <v>2</v>
      </c>
      <c r="AP4" s="22">
        <v>2</v>
      </c>
      <c r="AQ4" s="22">
        <v>3</v>
      </c>
      <c r="AR4" s="152">
        <f>IF(AP4=4,IF(AQ4=0,0.137+0.0697,0.137+0.02),IF(AP4=3,IF(AQ4=0,0.0958+0.0697,0.0958+0.02),IF(AP4=2,IF(AQ4=0,0.0415+0.0697,0.0415+0.02),IF(AP4=1,IF(AQ4=0,0.0294+0.0697,0.0294+0.02),IF(AP4=0,IF(AQ4=0,0.0063+0.0697,0.0063+0.02))))))</f>
        <v>6.1499999999999999E-2</v>
      </c>
      <c r="AS4">
        <v>55950</v>
      </c>
    </row>
    <row r="5" spans="1:45" x14ac:dyDescent="0.25">
      <c r="A5" s="16" t="s">
        <v>32</v>
      </c>
      <c r="B5" s="16" t="s">
        <v>30</v>
      </c>
      <c r="C5" s="138">
        <f t="shared" ref="C5:C18" ca="1" si="3">((33*112)-(E5*112)-(F5))/112</f>
        <v>1.0803571428571428</v>
      </c>
      <c r="D5" s="31" t="s">
        <v>261</v>
      </c>
      <c r="E5" s="18">
        <v>31</v>
      </c>
      <c r="F5" s="19">
        <f ca="1">72+D2-D1-112-112-112-112-112+17-112-112+10</f>
        <v>103</v>
      </c>
      <c r="G5" s="20" t="s">
        <v>74</v>
      </c>
      <c r="H5" s="5">
        <v>3</v>
      </c>
      <c r="I5" s="30">
        <v>9.6999999999999993</v>
      </c>
      <c r="J5" s="24">
        <f t="shared" ref="J5:J18" si="4">LOG(I5)*4/3</f>
        <v>1.3156956456883264</v>
      </c>
      <c r="K5" s="7">
        <f t="shared" si="0"/>
        <v>87.3</v>
      </c>
      <c r="L5" s="7">
        <f t="shared" si="1"/>
        <v>155.19999999999999</v>
      </c>
      <c r="M5" s="153">
        <v>42828</v>
      </c>
      <c r="N5" s="154">
        <f t="shared" ref="N5:N18" ca="1" si="5">IF((TODAY()-M5)&gt;335,1,((TODAY()-M5)^0.64)/(336^0.64))</f>
        <v>0.78022734029733887</v>
      </c>
      <c r="O5" s="21">
        <v>7.2</v>
      </c>
      <c r="P5" s="22">
        <f t="shared" ref="P5:P6" si="6">O5*10+19</f>
        <v>91</v>
      </c>
      <c r="Q5" s="22">
        <v>5</v>
      </c>
      <c r="R5" s="132">
        <f t="shared" ref="R5:R18" si="7">(Q5/7)^0.5</f>
        <v>0.84515425472851657</v>
      </c>
      <c r="S5" s="132">
        <f t="shared" ref="S5:S18" si="8">IF(Q5=7,1,((Q5+0.99)/7)^0.5)</f>
        <v>0.92504826128926143</v>
      </c>
      <c r="T5" s="32">
        <v>79620</v>
      </c>
      <c r="U5" s="32">
        <f t="shared" ref="U5:U18" si="9">T5-AS5</f>
        <v>-930</v>
      </c>
      <c r="V5" s="32">
        <v>18012</v>
      </c>
      <c r="W5" s="9">
        <f t="shared" si="2"/>
        <v>4.420386409060626</v>
      </c>
      <c r="X5" s="23">
        <v>0</v>
      </c>
      <c r="Y5" s="24">
        <v>14</v>
      </c>
      <c r="Z5" s="23">
        <f>7+0.1+0.01</f>
        <v>7.1099999999999994</v>
      </c>
      <c r="AA5" s="24">
        <f>11+1/14*0.5</f>
        <v>11.035714285714286</v>
      </c>
      <c r="AB5" s="23">
        <f>7+0.01+0.01+0.01+0.01+0.01</f>
        <v>7.0499999999999989</v>
      </c>
      <c r="AC5" s="24">
        <f>2+0.01</f>
        <v>2.0099999999999998</v>
      </c>
      <c r="AD5" s="23">
        <f>15+1/6+1/6</f>
        <v>15.333333333333332</v>
      </c>
      <c r="AE5" s="10">
        <v>1650</v>
      </c>
      <c r="AF5" s="10"/>
      <c r="AG5" s="25">
        <f t="shared" ref="AG5:AG18" ca="1" si="10">(AD5+1+(LOG(I5)*4/3)+N5)*(Q5/7)^0.5</f>
        <v>15.575564389754852</v>
      </c>
      <c r="AH5" s="25">
        <f t="shared" ref="AH5:AH18" ca="1" si="11">(AD5+1+N5+(LOG(I5)*4/3))*(IF(Q5=7, (Q5/7)^0.5, ((Q5+1)/7)^0.5))</f>
        <v>17.062175924285839</v>
      </c>
      <c r="AI5" s="137">
        <f t="shared" ref="AI5:AI18" ca="1" si="12">(Z5+N5+(LOG(I5)*4/3))*(Q5/7)^0.5</f>
        <v>7.7804249803088341</v>
      </c>
      <c r="AJ5" s="137">
        <f t="shared" ref="AJ5:AJ18" ca="1" si="13">(Z5+N5+(LOG(I5)*4/3))*(IF(Q5=7, (Q5/7)^0.5, ((Q5+1)/7)^0.5))</f>
        <v>8.5230285373836718</v>
      </c>
      <c r="AK5" s="9">
        <f t="shared" ref="AK5:AK18" ca="1" si="14">(((Y5+LOG(I5)*4/3+N5)+(AB5+LOG(I5)*4/3+N5)*2)/8)*(Q5/7)^0.5</f>
        <v>3.6328711556798199</v>
      </c>
      <c r="AL5" s="9">
        <f t="shared" ref="AL5:AL18" ca="1" si="15">(AD5+LOG(I5)*4/3+N5)*0.7+(AC5+LOG(I5)*4/3+N5)*0.3</f>
        <v>13.432256319318997</v>
      </c>
      <c r="AM5" s="9">
        <f t="shared" ref="AM5:AM18" ca="1" si="16">(0.5*(AC5+LOG(I5)*4/3+N5)+ 0.3*(AD5+LOG(I5)*4/3+N5))/10</f>
        <v>0.72817383887885323</v>
      </c>
      <c r="AN5" s="9">
        <f t="shared" ref="AN5:AN18" ca="1" si="17">(0.4*(Y5+LOG(I5)*4/3+N5)+0.3*(AD5+LOG(I5)*4/3+N5))/10</f>
        <v>1.1667146090189966</v>
      </c>
      <c r="AO5" s="22">
        <v>2</v>
      </c>
      <c r="AP5" s="22">
        <v>1</v>
      </c>
      <c r="AQ5" s="22">
        <v>3</v>
      </c>
      <c r="AR5" s="152">
        <f t="shared" ref="AR5:AR19" si="18">IF(AP5=4,IF(AQ5=0,0.137+0.0697,0.137+0.02),IF(AP5=3,IF(AQ5=0,0.0958+0.0697,0.0958+0.02),IF(AP5=2,IF(AQ5=0,0.0415+0.0697,0.0415+0.02),IF(AP5=1,IF(AQ5=0,0.0294+0.0697,0.0294+0.02),IF(AP5=0,IF(AQ5=0,0.0063+0.0697,0.0063+0.02))))))</f>
        <v>4.9399999999999999E-2</v>
      </c>
      <c r="AS5">
        <v>80550</v>
      </c>
    </row>
    <row r="6" spans="1:45" x14ac:dyDescent="0.25">
      <c r="A6" s="16" t="s">
        <v>33</v>
      </c>
      <c r="B6" s="26" t="s">
        <v>30</v>
      </c>
      <c r="C6" s="138">
        <f t="shared" ca="1" si="3"/>
        <v>1.2767857142857142</v>
      </c>
      <c r="D6" s="1" t="s">
        <v>260</v>
      </c>
      <c r="E6" s="2">
        <v>31</v>
      </c>
      <c r="F6" s="3">
        <f ca="1">16+D2-D1-112-51-112-112-112-112-112</f>
        <v>81</v>
      </c>
      <c r="G6" s="4"/>
      <c r="H6" s="5">
        <v>3</v>
      </c>
      <c r="I6" s="6">
        <v>9.1</v>
      </c>
      <c r="J6" s="24">
        <f t="shared" si="4"/>
        <v>1.2787218564281246</v>
      </c>
      <c r="K6" s="7">
        <f t="shared" si="0"/>
        <v>81.899999999999991</v>
      </c>
      <c r="L6" s="7">
        <f t="shared" si="1"/>
        <v>145.6</v>
      </c>
      <c r="M6" s="153">
        <v>42799</v>
      </c>
      <c r="N6" s="154">
        <f t="shared" ca="1" si="5"/>
        <v>0.84236451053571759</v>
      </c>
      <c r="O6" s="27">
        <v>7.1</v>
      </c>
      <c r="P6" s="22">
        <f t="shared" si="6"/>
        <v>90</v>
      </c>
      <c r="Q6" s="28">
        <v>6</v>
      </c>
      <c r="R6" s="132">
        <f t="shared" si="7"/>
        <v>0.92582009977255142</v>
      </c>
      <c r="S6" s="132">
        <f t="shared" si="8"/>
        <v>0.99928545900129484</v>
      </c>
      <c r="T6" s="32">
        <v>82940</v>
      </c>
      <c r="U6" s="32">
        <f t="shared" si="9"/>
        <v>910</v>
      </c>
      <c r="V6" s="8">
        <v>13584</v>
      </c>
      <c r="W6" s="9">
        <f t="shared" si="2"/>
        <v>6.1057126030624262</v>
      </c>
      <c r="X6" s="23">
        <v>0</v>
      </c>
      <c r="Y6" s="24">
        <f>13+1/20</f>
        <v>13.05</v>
      </c>
      <c r="Z6" s="23">
        <f>3+0.12+0.12*0.5</f>
        <v>3.18</v>
      </c>
      <c r="AA6" s="24">
        <f>12+1/15*0.5</f>
        <v>12.033333333333333</v>
      </c>
      <c r="AB6" s="23">
        <f>9+0.01+0.01+0.01+0.01</f>
        <v>9.0399999999999991</v>
      </c>
      <c r="AC6" s="24">
        <f>4+0.01</f>
        <v>4.01</v>
      </c>
      <c r="AD6" s="23">
        <v>10</v>
      </c>
      <c r="AE6" s="10">
        <v>1507</v>
      </c>
      <c r="AF6" s="10"/>
      <c r="AG6" s="25">
        <f t="shared" ca="1" si="10"/>
        <v>12.147765489386726</v>
      </c>
      <c r="AH6" s="25">
        <f t="shared" ca="1" si="11"/>
        <v>13.121086366963841</v>
      </c>
      <c r="AI6" s="137">
        <f t="shared" ca="1" si="12"/>
        <v>4.907852309165377</v>
      </c>
      <c r="AJ6" s="137">
        <f t="shared" ca="1" si="13"/>
        <v>5.3010863669638431</v>
      </c>
      <c r="AK6" s="9">
        <f t="shared" ca="1" si="14"/>
        <v>4.3390016101981885</v>
      </c>
      <c r="AL6" s="9">
        <f t="shared" ca="1" si="15"/>
        <v>10.32408636696384</v>
      </c>
      <c r="AM6" s="9">
        <f t="shared" ca="1" si="16"/>
        <v>0.67018690935710734</v>
      </c>
      <c r="AN6" s="9">
        <f t="shared" ca="1" si="17"/>
        <v>0.97047604568746881</v>
      </c>
      <c r="AO6" s="22">
        <v>3</v>
      </c>
      <c r="AP6" s="22">
        <v>0</v>
      </c>
      <c r="AQ6" s="22">
        <v>3</v>
      </c>
      <c r="AR6" s="152">
        <f t="shared" si="18"/>
        <v>2.63E-2</v>
      </c>
      <c r="AS6">
        <v>82030</v>
      </c>
    </row>
    <row r="7" spans="1:45" x14ac:dyDescent="0.25">
      <c r="A7" s="16" t="s">
        <v>41</v>
      </c>
      <c r="B7" s="16" t="s">
        <v>30</v>
      </c>
      <c r="C7" s="138">
        <f t="shared" ca="1" si="3"/>
        <v>1.7767857142857142</v>
      </c>
      <c r="D7" s="1" t="s">
        <v>263</v>
      </c>
      <c r="E7" s="2">
        <v>31</v>
      </c>
      <c r="F7" s="3">
        <f ca="1">8-659+D2-D1-112</f>
        <v>25</v>
      </c>
      <c r="G7" s="4"/>
      <c r="H7" s="5">
        <v>2</v>
      </c>
      <c r="I7" s="6">
        <v>8.9</v>
      </c>
      <c r="J7" s="24">
        <f t="shared" si="4"/>
        <v>1.265853342193217</v>
      </c>
      <c r="K7" s="7">
        <f t="shared" ref="K7" si="19">(H7)*(H7)*(I7)</f>
        <v>35.6</v>
      </c>
      <c r="L7" s="7">
        <f t="shared" ref="L7" si="20">(H7+1)*(H7+1)*I7</f>
        <v>80.100000000000009</v>
      </c>
      <c r="M7" s="153">
        <v>42948</v>
      </c>
      <c r="N7" s="154">
        <f t="shared" ca="1" si="5"/>
        <v>0.48365320048545096</v>
      </c>
      <c r="O7" s="27">
        <v>7</v>
      </c>
      <c r="P7" s="22">
        <f t="shared" ref="P7:P8" si="21">O7*10+19</f>
        <v>89</v>
      </c>
      <c r="Q7" s="28">
        <v>6</v>
      </c>
      <c r="R7" s="132">
        <f t="shared" ref="R7" si="22">(Q7/7)^0.5</f>
        <v>0.92582009977255142</v>
      </c>
      <c r="S7" s="132">
        <f t="shared" ref="S7" si="23">IF(Q7=7,1,((Q7+0.99)/7)^0.5)</f>
        <v>0.99928545900129484</v>
      </c>
      <c r="T7" s="32">
        <v>89240</v>
      </c>
      <c r="U7" s="32">
        <f t="shared" si="9"/>
        <v>1580</v>
      </c>
      <c r="V7" s="8">
        <v>21540</v>
      </c>
      <c r="W7" s="9">
        <f t="shared" si="2"/>
        <v>4.1429897864438257</v>
      </c>
      <c r="X7" s="23">
        <v>0</v>
      </c>
      <c r="Y7" s="24">
        <v>14</v>
      </c>
      <c r="Z7" s="23">
        <f>5+0.02</f>
        <v>5.0199999999999996</v>
      </c>
      <c r="AA7" s="24">
        <f>10+0.01</f>
        <v>10.01</v>
      </c>
      <c r="AB7" s="23">
        <f>9+0.01+0.01+0.01+0.01</f>
        <v>9.0399999999999991</v>
      </c>
      <c r="AC7" s="24">
        <f>1+0.01</f>
        <v>1.01</v>
      </c>
      <c r="AD7" s="23">
        <f>13+0.2</f>
        <v>13.2</v>
      </c>
      <c r="AE7" s="10">
        <v>1551</v>
      </c>
      <c r="AF7" s="10"/>
      <c r="AG7" s="25">
        <f t="shared" ca="1" si="10"/>
        <v>14.766373738665726</v>
      </c>
      <c r="AH7" s="25">
        <f t="shared" ca="1" si="11"/>
        <v>15.949506542678668</v>
      </c>
      <c r="AI7" s="137">
        <f t="shared" ca="1" si="12"/>
        <v>6.2673452227537032</v>
      </c>
      <c r="AJ7" s="137">
        <f t="shared" ca="1" si="13"/>
        <v>6.7695065426786671</v>
      </c>
      <c r="AK7" s="9">
        <f t="shared" ca="1" si="14"/>
        <v>4.3199367207987427</v>
      </c>
      <c r="AL7" s="9">
        <f t="shared" ca="1" si="15"/>
        <v>11.292506542678666</v>
      </c>
      <c r="AM7" s="9">
        <f t="shared" ca="1" si="16"/>
        <v>0.58646052341429344</v>
      </c>
      <c r="AN7" s="9">
        <f t="shared" ca="1" si="17"/>
        <v>1.0784654579875066</v>
      </c>
      <c r="AO7" s="22">
        <v>2</v>
      </c>
      <c r="AP7" s="22">
        <v>3</v>
      </c>
      <c r="AQ7" s="22">
        <v>2</v>
      </c>
      <c r="AR7" s="152">
        <f t="shared" ref="AR7:AR13" si="24">IF(AP7=4,IF(AQ7=0,0.137+0.0697,0.137+0.02),IF(AP7=3,IF(AQ7=0,0.0958+0.0697,0.0958+0.02),IF(AP7=2,IF(AQ7=0,0.0415+0.0697,0.0415+0.02),IF(AP7=1,IF(AQ7=0,0.0294+0.0697,0.0294+0.02),IF(AP7=0,IF(AQ7=0,0.0063+0.0697,0.0063+0.02))))))</f>
        <v>0.1158</v>
      </c>
      <c r="AS7">
        <v>87660</v>
      </c>
    </row>
    <row r="8" spans="1:45" x14ac:dyDescent="0.25">
      <c r="A8" s="16" t="s">
        <v>31</v>
      </c>
      <c r="B8" s="26" t="s">
        <v>30</v>
      </c>
      <c r="C8" s="138">
        <f t="shared" ca="1" si="3"/>
        <v>1.9285714285714286</v>
      </c>
      <c r="D8" s="1" t="s">
        <v>262</v>
      </c>
      <c r="E8" s="2">
        <v>31</v>
      </c>
      <c r="F8" s="3">
        <f ca="1">8-659-17+D2-D1-112</f>
        <v>8</v>
      </c>
      <c r="G8" s="4"/>
      <c r="H8" s="5">
        <v>3</v>
      </c>
      <c r="I8" s="6">
        <v>8.3000000000000007</v>
      </c>
      <c r="J8" s="24">
        <f t="shared" si="4"/>
        <v>1.2254374565014319</v>
      </c>
      <c r="K8" s="7">
        <f t="shared" ref="K8" si="25">(H8)*(H8)*(I8)</f>
        <v>74.7</v>
      </c>
      <c r="L8" s="7">
        <f t="shared" ref="L8" si="26">(H8+1)*(H8+1)*I8</f>
        <v>132.80000000000001</v>
      </c>
      <c r="M8" s="153">
        <v>42869</v>
      </c>
      <c r="N8" s="154">
        <f t="shared" ca="1" si="5"/>
        <v>0.68726066919047513</v>
      </c>
      <c r="O8" s="27">
        <v>7</v>
      </c>
      <c r="P8" s="22">
        <f t="shared" si="21"/>
        <v>89</v>
      </c>
      <c r="Q8" s="28">
        <v>5</v>
      </c>
      <c r="R8" s="132">
        <f t="shared" ref="R8" si="27">(Q8/7)^0.5</f>
        <v>0.84515425472851657</v>
      </c>
      <c r="S8" s="132">
        <f t="shared" ref="S8" si="28">IF(Q8=7,1,((Q8+0.99)/7)^0.5)</f>
        <v>0.92504826128926143</v>
      </c>
      <c r="T8" s="32">
        <v>63860</v>
      </c>
      <c r="U8" s="32">
        <f t="shared" si="9"/>
        <v>2800</v>
      </c>
      <c r="V8" s="8">
        <v>20832</v>
      </c>
      <c r="W8" s="9">
        <f t="shared" si="2"/>
        <v>3.0654761904761907</v>
      </c>
      <c r="X8" s="23">
        <v>0</v>
      </c>
      <c r="Y8" s="24">
        <v>14</v>
      </c>
      <c r="Z8" s="23">
        <f>3+0.02</f>
        <v>3.02</v>
      </c>
      <c r="AA8" s="24">
        <f>3+0.01</f>
        <v>3.01</v>
      </c>
      <c r="AB8" s="23">
        <f>10+0.01</f>
        <v>10.01</v>
      </c>
      <c r="AC8" s="24">
        <v>3</v>
      </c>
      <c r="AD8" s="23">
        <v>17</v>
      </c>
      <c r="AE8" s="10">
        <v>1493</v>
      </c>
      <c r="AF8" s="10"/>
      <c r="AG8" s="25">
        <f t="shared" ca="1" si="10"/>
        <v>16.829301544053074</v>
      </c>
      <c r="AH8" s="25">
        <f t="shared" ca="1" si="11"/>
        <v>18.435576165468778</v>
      </c>
      <c r="AI8" s="137">
        <f t="shared" ca="1" si="12"/>
        <v>4.1688908082198939</v>
      </c>
      <c r="AJ8" s="137">
        <f t="shared" ca="1" si="13"/>
        <v>4.5667910708759587</v>
      </c>
      <c r="AK8" s="9">
        <f t="shared" ca="1" si="14"/>
        <v>4.2002153278354317</v>
      </c>
      <c r="AL8" s="9">
        <f t="shared" ca="1" si="15"/>
        <v>14.712698125691906</v>
      </c>
      <c r="AM8" s="9">
        <f t="shared" ca="1" si="16"/>
        <v>0.8130158500553526</v>
      </c>
      <c r="AN8" s="9">
        <f t="shared" ca="1" si="17"/>
        <v>1.2038888687984337</v>
      </c>
      <c r="AO8" s="22">
        <v>1</v>
      </c>
      <c r="AP8" s="22">
        <v>2</v>
      </c>
      <c r="AQ8" s="22">
        <v>3</v>
      </c>
      <c r="AR8" s="152">
        <f t="shared" si="24"/>
        <v>6.1499999999999999E-2</v>
      </c>
      <c r="AS8">
        <v>61060</v>
      </c>
    </row>
    <row r="9" spans="1:45" x14ac:dyDescent="0.25">
      <c r="A9" s="16" t="s">
        <v>35</v>
      </c>
      <c r="B9" s="26" t="s">
        <v>30</v>
      </c>
      <c r="C9" s="138">
        <f t="shared" ca="1" si="3"/>
        <v>0.4642857142857143</v>
      </c>
      <c r="D9" s="1" t="s">
        <v>259</v>
      </c>
      <c r="E9" s="2">
        <v>32</v>
      </c>
      <c r="F9" s="3">
        <f ca="1">51+D2-D1-112-27-112+36+37-112-112-41-112-112-112</f>
        <v>60</v>
      </c>
      <c r="G9" s="4" t="s">
        <v>0</v>
      </c>
      <c r="H9" s="5">
        <v>3</v>
      </c>
      <c r="I9" s="6">
        <v>10.9</v>
      </c>
      <c r="J9" s="24">
        <f t="shared" ref="J9" si="29">LOG(I9)*4/3</f>
        <v>1.383235330587498</v>
      </c>
      <c r="K9" s="7">
        <f>(H9)*(H9)*(I9)</f>
        <v>98.100000000000009</v>
      </c>
      <c r="L9" s="7">
        <f>(H9+1)*(H9+1)*I9</f>
        <v>174.4</v>
      </c>
      <c r="M9" s="153">
        <v>42742</v>
      </c>
      <c r="N9" s="154">
        <f ca="1">IF((TODAY()-M9)&gt;335,1,((TODAY()-M9)^0.64)/(336^0.64))</f>
        <v>0.95758610852621273</v>
      </c>
      <c r="O9" s="27">
        <v>6.9</v>
      </c>
      <c r="P9" s="22">
        <f>O9*10+19</f>
        <v>88</v>
      </c>
      <c r="Q9" s="28">
        <v>4</v>
      </c>
      <c r="R9" s="132">
        <f t="shared" ref="R9" si="30">(Q9/7)^0.5</f>
        <v>0.7559289460184544</v>
      </c>
      <c r="S9" s="132">
        <f t="shared" ref="S9" si="31">IF(Q9=7,1,((Q9+0.99)/7)^0.5)</f>
        <v>0.84430867747355465</v>
      </c>
      <c r="T9" s="32">
        <v>81390</v>
      </c>
      <c r="U9" s="32">
        <f t="shared" si="9"/>
        <v>-1940</v>
      </c>
      <c r="V9" s="8">
        <v>21960</v>
      </c>
      <c r="W9" s="9">
        <f>T9/V9</f>
        <v>3.7062841530054644</v>
      </c>
      <c r="X9" s="23">
        <v>0</v>
      </c>
      <c r="Y9" s="24">
        <f>15+1/35</f>
        <v>15.028571428571428</v>
      </c>
      <c r="Z9" s="23">
        <v>12</v>
      </c>
      <c r="AA9" s="24">
        <f>2+0.01</f>
        <v>2.0099999999999998</v>
      </c>
      <c r="AB9" s="23">
        <f>7+1/7+0.01+0.01+0.01+0.01</f>
        <v>7.1828571428571424</v>
      </c>
      <c r="AC9" s="24">
        <v>3.99</v>
      </c>
      <c r="AD9" s="23">
        <f>14+0.2+0.2</f>
        <v>14.399999999999999</v>
      </c>
      <c r="AE9" s="10">
        <v>1825</v>
      </c>
      <c r="AF9" s="10"/>
      <c r="AG9" s="25">
        <f t="shared" ca="1" si="10"/>
        <v>13.410800451970825</v>
      </c>
      <c r="AH9" s="25">
        <f t="shared" ca="1" si="11"/>
        <v>14.993730721645836</v>
      </c>
      <c r="AI9" s="137">
        <f t="shared" ca="1" si="12"/>
        <v>10.840642035508083</v>
      </c>
      <c r="AJ9" s="137">
        <f t="shared" ca="1" si="13"/>
        <v>12.120206255568881</v>
      </c>
      <c r="AK9" s="9">
        <f t="shared" ca="1" si="14"/>
        <v>3.4410594336031499</v>
      </c>
      <c r="AL9" s="9">
        <f t="shared" ca="1" si="15"/>
        <v>13.617821439113708</v>
      </c>
      <c r="AM9" s="9">
        <f t="shared" ca="1" si="16"/>
        <v>0.81876571512909668</v>
      </c>
      <c r="AN9" s="9">
        <f t="shared" ca="1" si="17"/>
        <v>1.1970003578808168</v>
      </c>
      <c r="AO9" s="22">
        <v>3</v>
      </c>
      <c r="AP9" s="22">
        <v>2</v>
      </c>
      <c r="AQ9" s="22">
        <v>2</v>
      </c>
      <c r="AR9" s="152">
        <f t="shared" si="24"/>
        <v>6.1499999999999999E-2</v>
      </c>
      <c r="AS9">
        <v>83330</v>
      </c>
    </row>
    <row r="10" spans="1:45" x14ac:dyDescent="0.25">
      <c r="A10" s="16" t="s">
        <v>39</v>
      </c>
      <c r="B10" s="16" t="s">
        <v>30</v>
      </c>
      <c r="C10" s="138">
        <f ca="1">((33*112)-(E10*112)-(F10))/112</f>
        <v>1.1517857142857142</v>
      </c>
      <c r="D10" s="31" t="s">
        <v>432</v>
      </c>
      <c r="E10" s="18">
        <v>31</v>
      </c>
      <c r="F10" s="3">
        <f ca="1">51+D2-D1-112-27-112+36+37-112-112+24-112-112-30-112</f>
        <v>95</v>
      </c>
      <c r="G10" s="20" t="s">
        <v>200</v>
      </c>
      <c r="H10" s="5">
        <v>2</v>
      </c>
      <c r="I10" s="30">
        <v>9.1999999999999993</v>
      </c>
      <c r="J10" s="24">
        <f>LOG(I10)*4/3</f>
        <v>1.2850504364607402</v>
      </c>
      <c r="K10" s="7">
        <f>(H10)*(H10)*(I10)</f>
        <v>36.799999999999997</v>
      </c>
      <c r="L10" s="7">
        <f>(H10+1)*(H10+1)*I10</f>
        <v>82.8</v>
      </c>
      <c r="M10" s="153">
        <v>42865</v>
      </c>
      <c r="N10" s="154">
        <f ca="1">IF((TODAY()-M10)&gt;335,1,((TODAY()-M10)^0.64)/(336^0.64))</f>
        <v>0.69663327920453078</v>
      </c>
      <c r="O10" s="21">
        <v>7</v>
      </c>
      <c r="P10" s="22">
        <f>O10*10+19</f>
        <v>89</v>
      </c>
      <c r="Q10" s="28">
        <v>6</v>
      </c>
      <c r="R10" s="132">
        <f t="shared" ref="R10:R11" si="32">(Q10/7)^0.5</f>
        <v>0.92582009977255142</v>
      </c>
      <c r="S10" s="132">
        <f t="shared" ref="S10:S11" si="33">IF(Q10=7,1,((Q10+0.99)/7)^0.5)</f>
        <v>0.99928545900129484</v>
      </c>
      <c r="T10" s="32">
        <v>122250</v>
      </c>
      <c r="U10" s="32">
        <f t="shared" si="9"/>
        <v>13700</v>
      </c>
      <c r="V10" s="32">
        <v>32700</v>
      </c>
      <c r="W10" s="9">
        <f>T10/V10</f>
        <v>3.738532110091743</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10.537391553216844</v>
      </c>
      <c r="AH10" s="25">
        <f t="shared" ca="1" si="11"/>
        <v>11.38168371566527</v>
      </c>
      <c r="AI10" s="137">
        <f t="shared" ca="1" si="12"/>
        <v>15.759016915934033</v>
      </c>
      <c r="AJ10" s="137">
        <f t="shared" ca="1" si="13"/>
        <v>17.021683715665269</v>
      </c>
      <c r="AK10" s="9">
        <f t="shared" ca="1" si="14"/>
        <v>4.0091284164421639</v>
      </c>
      <c r="AL10" s="9">
        <f t="shared" ca="1" si="15"/>
        <v>8.5116837156652689</v>
      </c>
      <c r="AM10" s="9">
        <f t="shared" ca="1" si="16"/>
        <v>0.51886803058655495</v>
      </c>
      <c r="AN10" s="9">
        <f t="shared" ca="1" si="17"/>
        <v>0.87071786009656882</v>
      </c>
      <c r="AO10" s="22">
        <v>2</v>
      </c>
      <c r="AP10" s="22">
        <v>3</v>
      </c>
      <c r="AQ10" s="22">
        <v>1</v>
      </c>
      <c r="AR10" s="152">
        <f t="shared" si="24"/>
        <v>0.1158</v>
      </c>
      <c r="AS10">
        <v>108550</v>
      </c>
    </row>
    <row r="11" spans="1:45" x14ac:dyDescent="0.25">
      <c r="A11" s="16" t="s">
        <v>34</v>
      </c>
      <c r="B11" s="26" t="s">
        <v>99</v>
      </c>
      <c r="C11" s="138">
        <f ca="1">((33*112)-(E11*112)-(F11))/112</f>
        <v>0.8928571428571429</v>
      </c>
      <c r="D11" s="1" t="s">
        <v>258</v>
      </c>
      <c r="E11" s="2">
        <v>32</v>
      </c>
      <c r="F11" s="3">
        <f ca="1">51+D2-D1-112-27-112+36+37-112-112+24-112-1-112-112-112</f>
        <v>12</v>
      </c>
      <c r="G11" s="4" t="s">
        <v>45</v>
      </c>
      <c r="H11" s="5">
        <v>1</v>
      </c>
      <c r="I11" s="6">
        <v>10.5</v>
      </c>
      <c r="J11" s="24">
        <f t="shared" ref="J11" si="34">LOG(I11)*4/3</f>
        <v>1.3615857320932507</v>
      </c>
      <c r="K11" s="7">
        <f>(H11)*(H11)*(I11)</f>
        <v>10.5</v>
      </c>
      <c r="L11" s="7">
        <f>(H11+1)*(H11+1)*I11</f>
        <v>42</v>
      </c>
      <c r="M11" s="153">
        <v>42738</v>
      </c>
      <c r="N11" s="154">
        <f ca="1">IF((TODAY()-M11)&gt;335,1,((TODAY()-M11)^0.64)/(336^0.64))</f>
        <v>0.96537538102931275</v>
      </c>
      <c r="O11" s="27">
        <v>6.9</v>
      </c>
      <c r="P11" s="22">
        <f>O11*10+19</f>
        <v>88</v>
      </c>
      <c r="Q11" s="28">
        <v>5</v>
      </c>
      <c r="R11" s="132">
        <f t="shared" si="32"/>
        <v>0.84515425472851657</v>
      </c>
      <c r="S11" s="132">
        <f t="shared" si="33"/>
        <v>0.92504826128926143</v>
      </c>
      <c r="T11" s="32">
        <v>69580</v>
      </c>
      <c r="U11" s="32">
        <f t="shared" si="9"/>
        <v>6760</v>
      </c>
      <c r="V11" s="8">
        <v>21792</v>
      </c>
      <c r="W11" s="9">
        <f>T11/V11</f>
        <v>3.1929148311306901</v>
      </c>
      <c r="X11" s="23">
        <v>0</v>
      </c>
      <c r="Y11" s="24">
        <f>5+1/51</f>
        <v>5.0196078431372548</v>
      </c>
      <c r="Z11" s="23">
        <f>14+1/20+1/20+1/20+0.01+1/20</f>
        <v>14.210000000000003</v>
      </c>
      <c r="AA11" s="24">
        <f>5</f>
        <v>5</v>
      </c>
      <c r="AB11" s="23">
        <f>12+1/14+1/14+1/14+1/14*30/90+1/14+1/14+1/14*44/90+1/14</f>
        <v>12.487301587301586</v>
      </c>
      <c r="AC11" s="24">
        <f>3+1/5+1/5+0.01</f>
        <v>3.41</v>
      </c>
      <c r="AD11" s="23">
        <f>15+1/6+1/6</f>
        <v>15.333333333333332</v>
      </c>
      <c r="AE11" s="10">
        <v>1571</v>
      </c>
      <c r="AF11" s="10"/>
      <c r="AG11" s="25">
        <f t="shared" ca="1" si="10"/>
        <v>15.770827245909107</v>
      </c>
      <c r="AH11" s="25">
        <f t="shared" ca="1" si="11"/>
        <v>17.276075666202981</v>
      </c>
      <c r="AI11" s="137">
        <f t="shared" ca="1" si="12"/>
        <v>13.976283045035562</v>
      </c>
      <c r="AJ11" s="137">
        <f t="shared" ca="1" si="13"/>
        <v>15.310250987685937</v>
      </c>
      <c r="AK11" s="9">
        <f t="shared" ca="1" si="14"/>
        <v>3.9062072893622863</v>
      </c>
      <c r="AL11" s="9">
        <f t="shared" ca="1" si="15"/>
        <v>14.083294446455895</v>
      </c>
      <c r="AM11" s="9">
        <f t="shared" ca="1" si="16"/>
        <v>0.81665688904980505</v>
      </c>
      <c r="AN11" s="9">
        <f t="shared" ca="1" si="17"/>
        <v>0.82367159164406956</v>
      </c>
      <c r="AO11" s="22">
        <v>1</v>
      </c>
      <c r="AP11" s="22">
        <v>3</v>
      </c>
      <c r="AQ11" s="22">
        <v>2</v>
      </c>
      <c r="AR11" s="152">
        <f t="shared" si="24"/>
        <v>0.1158</v>
      </c>
      <c r="AS11">
        <v>62820</v>
      </c>
    </row>
    <row r="12" spans="1:45" x14ac:dyDescent="0.25">
      <c r="A12" s="16" t="s">
        <v>38</v>
      </c>
      <c r="B12" s="16" t="s">
        <v>44</v>
      </c>
      <c r="C12" s="138">
        <f ca="1">((33*112)-(E12*112)-(F12))/112</f>
        <v>3.0625</v>
      </c>
      <c r="D12" s="1" t="s">
        <v>264</v>
      </c>
      <c r="E12" s="2">
        <v>29</v>
      </c>
      <c r="F12" s="3">
        <f ca="1">8-659-32+D2-D1</f>
        <v>105</v>
      </c>
      <c r="G12" s="4" t="s">
        <v>45</v>
      </c>
      <c r="H12" s="5">
        <v>2</v>
      </c>
      <c r="I12" s="6">
        <v>6.1</v>
      </c>
      <c r="J12" s="24">
        <f>LOG(I12)*4/3</f>
        <v>1.0471064466810227</v>
      </c>
      <c r="K12" s="7">
        <f>(H12)*(H12)*(I12)</f>
        <v>24.4</v>
      </c>
      <c r="L12" s="7">
        <f>(H12+1)*(H12+1)*I12</f>
        <v>54.9</v>
      </c>
      <c r="M12" s="153">
        <v>42975</v>
      </c>
      <c r="N12" s="154">
        <f t="shared" ca="1" si="5"/>
        <v>0.40232153032050472</v>
      </c>
      <c r="O12" s="27">
        <v>7</v>
      </c>
      <c r="P12" s="22">
        <f>O12*10+19</f>
        <v>89</v>
      </c>
      <c r="Q12" s="28">
        <v>5</v>
      </c>
      <c r="R12" s="132">
        <f>(Q12/7)^0.5</f>
        <v>0.84515425472851657</v>
      </c>
      <c r="S12" s="132">
        <f>IF(Q12=7,1,((Q12+0.99)/7)^0.5)</f>
        <v>0.92504826128926143</v>
      </c>
      <c r="T12" s="32">
        <v>127260</v>
      </c>
      <c r="U12" s="32">
        <f t="shared" si="9"/>
        <v>5300</v>
      </c>
      <c r="V12" s="8">
        <v>23244</v>
      </c>
      <c r="W12" s="9">
        <f>T12/V12</f>
        <v>5.4749612803304082</v>
      </c>
      <c r="X12" s="23">
        <v>0</v>
      </c>
      <c r="Y12" s="24">
        <v>2</v>
      </c>
      <c r="Z12" s="23">
        <f>13+1/22*0.5</f>
        <v>13.022727272727273</v>
      </c>
      <c r="AA12" s="24">
        <f>14+1/18*11/90</f>
        <v>14.00679012345679</v>
      </c>
      <c r="AB12" s="23">
        <f>6.4+(1/8*65/90)+1/8+1/8+1/8+(1/8*6/90)+1/8</f>
        <v>6.9986111111111118</v>
      </c>
      <c r="AC12" s="24">
        <f>5+0.01</f>
        <v>5.01</v>
      </c>
      <c r="AD12" s="23">
        <f>0+1*13/90</f>
        <v>0.14444444444444443</v>
      </c>
      <c r="AE12" s="10">
        <v>1396</v>
      </c>
      <c r="AF12" s="10"/>
      <c r="AG12" s="25">
        <f t="shared" ca="1" si="10"/>
        <v>2.1922223132080227</v>
      </c>
      <c r="AH12" s="25">
        <f t="shared" ca="1" si="11"/>
        <v>2.4014592240203791</v>
      </c>
      <c r="AI12" s="137">
        <f t="shared" ca="1" si="12"/>
        <v>12.231203584399934</v>
      </c>
      <c r="AJ12" s="137">
        <f t="shared" ca="1" si="13"/>
        <v>13.398612217227772</v>
      </c>
      <c r="AK12" s="9">
        <f t="shared" ca="1" si="14"/>
        <v>2.149386386250606</v>
      </c>
      <c r="AL12" s="9">
        <f t="shared" ca="1" si="15"/>
        <v>3.0535390881126379</v>
      </c>
      <c r="AM12" s="9">
        <f t="shared" ca="1" si="16"/>
        <v>0.37078757149345548</v>
      </c>
      <c r="AN12" s="9">
        <f t="shared" ca="1" si="17"/>
        <v>0.18579329172344025</v>
      </c>
      <c r="AO12" s="22">
        <v>1</v>
      </c>
      <c r="AP12" s="22">
        <v>2</v>
      </c>
      <c r="AQ12" s="22">
        <v>2</v>
      </c>
      <c r="AR12" s="152">
        <f t="shared" si="24"/>
        <v>6.1499999999999999E-2</v>
      </c>
      <c r="AS12">
        <v>121960</v>
      </c>
    </row>
    <row r="13" spans="1:45" x14ac:dyDescent="0.25">
      <c r="A13" s="16" t="s">
        <v>31</v>
      </c>
      <c r="B13" s="26" t="s">
        <v>75</v>
      </c>
      <c r="C13" s="138">
        <f ca="1">((33*112)-(E13*112)-(F13))/112</f>
        <v>1.3214285714285714</v>
      </c>
      <c r="D13" s="1" t="s">
        <v>265</v>
      </c>
      <c r="E13" s="2">
        <v>31</v>
      </c>
      <c r="F13" s="3">
        <f ca="1">8-159+16-570-5+D2-D1-2</f>
        <v>76</v>
      </c>
      <c r="G13" s="4"/>
      <c r="H13" s="5">
        <v>2</v>
      </c>
      <c r="I13" s="6">
        <v>8.6999999999999993</v>
      </c>
      <c r="J13" s="24">
        <f>LOG(I13)*4/3</f>
        <v>1.2526923368248246</v>
      </c>
      <c r="K13" s="7">
        <f>(H13)*(H13)*(I13)</f>
        <v>34.799999999999997</v>
      </c>
      <c r="L13" s="7">
        <f>(H13+1)*(H13+1)*I13</f>
        <v>78.3</v>
      </c>
      <c r="M13" s="153">
        <v>42872</v>
      </c>
      <c r="N13" s="154">
        <f t="shared" ca="1" si="5"/>
        <v>0.68018377667684582</v>
      </c>
      <c r="O13" s="27">
        <v>7</v>
      </c>
      <c r="P13" s="22">
        <f>O13*10+19</f>
        <v>89</v>
      </c>
      <c r="Q13" s="28">
        <v>7</v>
      </c>
      <c r="R13" s="132">
        <f>(Q13/7)^0.5</f>
        <v>1</v>
      </c>
      <c r="S13" s="132">
        <f>IF(Q13=7,1,((Q13+0.99)/7)^0.5)</f>
        <v>1</v>
      </c>
      <c r="T13" s="8">
        <v>100320</v>
      </c>
      <c r="U13" s="32">
        <f t="shared" si="9"/>
        <v>710</v>
      </c>
      <c r="V13" s="8">
        <v>16668</v>
      </c>
      <c r="W13" s="9">
        <f>T13/V13</f>
        <v>6.018718502519798</v>
      </c>
      <c r="X13" s="23">
        <v>0</v>
      </c>
      <c r="Y13" s="24">
        <v>4</v>
      </c>
      <c r="Z13" s="23">
        <f>12+1/22*0.5</f>
        <v>12.022727272727273</v>
      </c>
      <c r="AA13" s="24">
        <f>14+1/15</f>
        <v>14.066666666666666</v>
      </c>
      <c r="AB13" s="23">
        <f>8+0.1+0.1+0.1+0.1+0.1+0.1</f>
        <v>8.5999999999999979</v>
      </c>
      <c r="AC13" s="24">
        <f>3+0.01</f>
        <v>3.01</v>
      </c>
      <c r="AD13" s="23">
        <f>5+0.5</f>
        <v>5.5</v>
      </c>
      <c r="AE13" s="10">
        <v>1364</v>
      </c>
      <c r="AF13" s="10"/>
      <c r="AG13" s="25">
        <f t="shared" ca="1" si="10"/>
        <v>8.4328761135016705</v>
      </c>
      <c r="AH13" s="25">
        <f t="shared" ca="1" si="11"/>
        <v>8.4328761135016705</v>
      </c>
      <c r="AI13" s="137">
        <f t="shared" ca="1" si="12"/>
        <v>13.955603386228944</v>
      </c>
      <c r="AJ13" s="137">
        <f t="shared" ca="1" si="13"/>
        <v>13.955603386228944</v>
      </c>
      <c r="AK13" s="9">
        <f t="shared" ca="1" si="14"/>
        <v>3.3748285425631259</v>
      </c>
      <c r="AL13" s="9">
        <f t="shared" ca="1" si="15"/>
        <v>6.6858761135016707</v>
      </c>
      <c r="AM13" s="9">
        <f t="shared" ca="1" si="16"/>
        <v>0.47013008908013365</v>
      </c>
      <c r="AN13" s="9">
        <f t="shared" ca="1" si="17"/>
        <v>0.46030132794511686</v>
      </c>
      <c r="AO13" s="22">
        <v>3</v>
      </c>
      <c r="AP13" s="22">
        <v>4</v>
      </c>
      <c r="AQ13" s="22">
        <v>2</v>
      </c>
      <c r="AR13" s="152">
        <f t="shared" si="24"/>
        <v>0.157</v>
      </c>
      <c r="AS13">
        <v>99610</v>
      </c>
    </row>
    <row r="14" spans="1:45" x14ac:dyDescent="0.25">
      <c r="A14" s="16" t="s">
        <v>37</v>
      </c>
      <c r="B14" s="16" t="s">
        <v>75</v>
      </c>
      <c r="C14" s="138">
        <f t="shared" ca="1" si="3"/>
        <v>9.8214285714285712E-2</v>
      </c>
      <c r="D14" s="31" t="s">
        <v>257</v>
      </c>
      <c r="E14" s="18">
        <v>32</v>
      </c>
      <c r="F14" s="3">
        <f ca="1">-35+D2-D1-67-112-112-112+87-112-112-112</f>
        <v>101</v>
      </c>
      <c r="G14" s="20" t="s">
        <v>0</v>
      </c>
      <c r="H14" s="5">
        <v>1</v>
      </c>
      <c r="I14" s="30">
        <v>10.199999999999999</v>
      </c>
      <c r="J14" s="24">
        <f t="shared" si="4"/>
        <v>1.34480022901589</v>
      </c>
      <c r="K14" s="7">
        <f t="shared" si="0"/>
        <v>10.199999999999999</v>
      </c>
      <c r="L14" s="7">
        <f t="shared" si="1"/>
        <v>40.799999999999997</v>
      </c>
      <c r="M14" s="153">
        <v>42712</v>
      </c>
      <c r="N14" s="154">
        <f t="shared" ca="1" si="5"/>
        <v>1</v>
      </c>
      <c r="O14" s="27">
        <v>6.9</v>
      </c>
      <c r="P14" s="22">
        <f t="shared" ref="P14" si="35">O14*10+19</f>
        <v>88</v>
      </c>
      <c r="Q14" s="22">
        <v>4</v>
      </c>
      <c r="R14" s="132">
        <f t="shared" si="7"/>
        <v>0.7559289460184544</v>
      </c>
      <c r="S14" s="132">
        <f t="shared" si="8"/>
        <v>0.84430867747355465</v>
      </c>
      <c r="T14" s="32">
        <v>83910</v>
      </c>
      <c r="U14" s="32">
        <f t="shared" si="9"/>
        <v>-3600</v>
      </c>
      <c r="V14" s="32">
        <v>17724</v>
      </c>
      <c r="W14" s="9">
        <f t="shared" ref="W14" si="36">T14/V14</f>
        <v>4.7342586323628977</v>
      </c>
      <c r="X14" s="23">
        <v>0</v>
      </c>
      <c r="Y14" s="24">
        <f>1+1/27</f>
        <v>1.037037037037037</v>
      </c>
      <c r="Z14" s="23">
        <f>13+1/15*0.5+1/15*0.5+1/15*0.5+1/15*0.6+1/22/0.5</f>
        <v>13.230909090909091</v>
      </c>
      <c r="AA14" s="24">
        <f>14+1/15*79/90</f>
        <v>14.058518518518518</v>
      </c>
      <c r="AB14" s="23">
        <f>10+1/8+1/8+1/8+1/8+0.1+0.1*40/90+0.1*20/90+0.1+0.09+0.08</f>
        <v>10.936666666666666</v>
      </c>
      <c r="AC14" s="24">
        <f>3+0.03+0.01</f>
        <v>3.0399999999999996</v>
      </c>
      <c r="AD14" s="23">
        <v>10</v>
      </c>
      <c r="AE14" s="10">
        <v>1524</v>
      </c>
      <c r="AF14" s="10"/>
      <c r="AG14" s="25">
        <f t="shared" ca="1" si="10"/>
        <v>10.087720771946811</v>
      </c>
      <c r="AH14" s="25">
        <f t="shared" ca="1" si="11"/>
        <v>11.278414692054861</v>
      </c>
      <c r="AI14" s="137">
        <f t="shared" ca="1" si="12"/>
        <v>11.774129529700708</v>
      </c>
      <c r="AJ14" s="137">
        <f t="shared" ca="1" si="13"/>
        <v>13.163877002149206</v>
      </c>
      <c r="AK14" s="9">
        <f t="shared" ca="1" si="14"/>
        <v>2.8295149030247417</v>
      </c>
      <c r="AL14" s="9">
        <f t="shared" ca="1" si="15"/>
        <v>10.256800229015891</v>
      </c>
      <c r="AM14" s="9">
        <f t="shared" ca="1" si="16"/>
        <v>0.6395840183212711</v>
      </c>
      <c r="AN14" s="9">
        <f t="shared" ca="1" si="17"/>
        <v>0.50561749751259377</v>
      </c>
      <c r="AO14" s="22">
        <v>3</v>
      </c>
      <c r="AP14" s="22">
        <v>2</v>
      </c>
      <c r="AQ14" s="22">
        <v>0</v>
      </c>
      <c r="AR14" s="152">
        <f t="shared" si="18"/>
        <v>0.11119999999999999</v>
      </c>
      <c r="AS14">
        <v>87510</v>
      </c>
    </row>
    <row r="15" spans="1:45" x14ac:dyDescent="0.25">
      <c r="A15" s="16" t="s">
        <v>43</v>
      </c>
      <c r="B15" s="16" t="s">
        <v>44</v>
      </c>
      <c r="C15" s="138">
        <f t="shared" ca="1" si="3"/>
        <v>2.9732142857142856</v>
      </c>
      <c r="D15" s="31" t="s">
        <v>198</v>
      </c>
      <c r="E15" s="18">
        <v>30</v>
      </c>
      <c r="F15" s="3">
        <f ca="1">-35+D2-D1-67-11-112-112-112-112-112-112</f>
        <v>3</v>
      </c>
      <c r="G15" s="20" t="s">
        <v>0</v>
      </c>
      <c r="H15" s="5">
        <v>4</v>
      </c>
      <c r="I15" s="30">
        <v>9.3000000000000007</v>
      </c>
      <c r="J15" s="24">
        <f t="shared" si="4"/>
        <v>1.2913105980719135</v>
      </c>
      <c r="K15" s="7">
        <f t="shared" ref="K15:K18" si="37">(H15)*(H15)*(I15)</f>
        <v>148.80000000000001</v>
      </c>
      <c r="L15" s="7">
        <f t="shared" ref="L15:L18" si="38">(H15+1)*(H15+1)*I15</f>
        <v>232.50000000000003</v>
      </c>
      <c r="M15" s="153">
        <v>42411</v>
      </c>
      <c r="N15" s="154">
        <f t="shared" ca="1" si="5"/>
        <v>1</v>
      </c>
      <c r="O15" s="21">
        <v>7.9</v>
      </c>
      <c r="P15" s="22">
        <f t="shared" ref="P15" si="39">O15*10+19</f>
        <v>98</v>
      </c>
      <c r="Q15" s="22">
        <v>5</v>
      </c>
      <c r="R15" s="132">
        <f t="shared" si="7"/>
        <v>0.84515425472851657</v>
      </c>
      <c r="S15" s="132">
        <f t="shared" si="8"/>
        <v>0.92504826128926143</v>
      </c>
      <c r="T15" s="32">
        <v>178430</v>
      </c>
      <c r="U15" s="32">
        <f t="shared" si="9"/>
        <v>-8030</v>
      </c>
      <c r="V15" s="32">
        <v>30204</v>
      </c>
      <c r="W15" s="9">
        <f t="shared" ref="W15" si="40">T15/V15</f>
        <v>5.9074956959343137</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v>14</v>
      </c>
      <c r="AE15" s="10">
        <v>1756</v>
      </c>
      <c r="AF15" s="10"/>
      <c r="AG15" s="25">
        <f t="shared" ca="1" si="10"/>
        <v>14.613824721792767</v>
      </c>
      <c r="AH15" s="25">
        <f t="shared" ca="1" si="11"/>
        <v>16.008642903105116</v>
      </c>
      <c r="AI15" s="137">
        <f t="shared" ca="1" si="12"/>
        <v>13.825014084046153</v>
      </c>
      <c r="AJ15" s="137">
        <f t="shared" ca="1" si="13"/>
        <v>15.144544143317399</v>
      </c>
      <c r="AK15" s="9">
        <f t="shared" ca="1" si="14"/>
        <v>3.9927127823501003</v>
      </c>
      <c r="AL15" s="9">
        <f t="shared" ca="1" si="15"/>
        <v>14.523043931405246</v>
      </c>
      <c r="AM15" s="9">
        <f t="shared" ca="1" si="16"/>
        <v>1.0085937367346418</v>
      </c>
      <c r="AN15" s="9">
        <f t="shared" ca="1" si="17"/>
        <v>0.66039174186503391</v>
      </c>
      <c r="AO15" s="22">
        <v>1</v>
      </c>
      <c r="AP15" s="22">
        <v>3</v>
      </c>
      <c r="AQ15" s="22">
        <v>3</v>
      </c>
      <c r="AR15" s="152">
        <f t="shared" si="18"/>
        <v>0.1158</v>
      </c>
      <c r="AS15">
        <v>186460</v>
      </c>
    </row>
    <row r="16" spans="1:45" x14ac:dyDescent="0.25">
      <c r="A16" s="16" t="s">
        <v>36</v>
      </c>
      <c r="B16" s="16" t="s">
        <v>44</v>
      </c>
      <c r="C16" s="138">
        <f t="shared" ca="1" si="3"/>
        <v>3.4107142857142856</v>
      </c>
      <c r="D16" s="31" t="s">
        <v>73</v>
      </c>
      <c r="E16" s="18">
        <v>29</v>
      </c>
      <c r="F16" s="3">
        <f ca="1">62+D2-D1-112-112-112-112-112-112-112</f>
        <v>66</v>
      </c>
      <c r="G16" s="20" t="s">
        <v>74</v>
      </c>
      <c r="H16" s="43">
        <v>6</v>
      </c>
      <c r="I16" s="30">
        <v>8.4</v>
      </c>
      <c r="J16" s="24">
        <f t="shared" si="4"/>
        <v>1.2323723814158423</v>
      </c>
      <c r="K16" s="7">
        <f t="shared" si="37"/>
        <v>302.40000000000003</v>
      </c>
      <c r="L16" s="7">
        <f t="shared" si="38"/>
        <v>411.6</v>
      </c>
      <c r="M16" s="153">
        <v>42297</v>
      </c>
      <c r="N16" s="154">
        <f t="shared" ca="1" si="5"/>
        <v>1</v>
      </c>
      <c r="O16" s="21">
        <v>7.9</v>
      </c>
      <c r="P16" s="22">
        <f t="shared" ref="P16" si="41">O16*10+19</f>
        <v>98</v>
      </c>
      <c r="Q16" s="22">
        <v>7</v>
      </c>
      <c r="R16" s="132">
        <f t="shared" si="7"/>
        <v>1</v>
      </c>
      <c r="S16" s="132">
        <f t="shared" si="8"/>
        <v>1</v>
      </c>
      <c r="T16" s="32">
        <v>256340</v>
      </c>
      <c r="U16" s="32">
        <f t="shared" si="9"/>
        <v>2410</v>
      </c>
      <c r="V16" s="32">
        <v>28090</v>
      </c>
      <c r="W16" s="9">
        <f t="shared" ref="W16:W18" si="42">T16/V16</f>
        <v>9.12566749733001</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f>
        <v>15.2</v>
      </c>
      <c r="AE16" s="10">
        <v>1829</v>
      </c>
      <c r="AF16" s="10"/>
      <c r="AG16" s="25">
        <f t="shared" ca="1" si="10"/>
        <v>18.432372381415842</v>
      </c>
      <c r="AH16" s="25">
        <f t="shared" ca="1" si="11"/>
        <v>18.432372381415842</v>
      </c>
      <c r="AI16" s="137">
        <f t="shared" ca="1" si="12"/>
        <v>16.632372381415841</v>
      </c>
      <c r="AJ16" s="137">
        <f t="shared" ca="1" si="13"/>
        <v>16.632372381415841</v>
      </c>
      <c r="AK16" s="9">
        <f t="shared" ca="1" si="14"/>
        <v>4.6478618652531623</v>
      </c>
      <c r="AL16" s="9">
        <f t="shared" ca="1" si="15"/>
        <v>15.674372381415839</v>
      </c>
      <c r="AM16" s="9">
        <f t="shared" ca="1" si="16"/>
        <v>1.1015897905132672</v>
      </c>
      <c r="AN16" s="9">
        <f t="shared" ca="1" si="17"/>
        <v>0.70026606669910885</v>
      </c>
      <c r="AO16" s="22">
        <v>1</v>
      </c>
      <c r="AP16" s="22">
        <v>2</v>
      </c>
      <c r="AQ16" s="22">
        <v>1</v>
      </c>
      <c r="AR16" s="152">
        <f t="shared" si="18"/>
        <v>6.1499999999999999E-2</v>
      </c>
      <c r="AS16">
        <v>253930</v>
      </c>
    </row>
    <row r="17" spans="1:45" x14ac:dyDescent="0.25">
      <c r="A17" s="16" t="s">
        <v>40</v>
      </c>
      <c r="B17" s="26" t="s">
        <v>44</v>
      </c>
      <c r="C17" s="138">
        <f t="shared" ca="1" si="3"/>
        <v>2.9553571428571428</v>
      </c>
      <c r="D17" s="1" t="s">
        <v>72</v>
      </c>
      <c r="E17" s="2">
        <v>30</v>
      </c>
      <c r="F17" s="3">
        <f ca="1">1+D2-D1-112-112-112-112-112-112-112</f>
        <v>5</v>
      </c>
      <c r="G17" s="20" t="s">
        <v>45</v>
      </c>
      <c r="H17" s="5">
        <v>1</v>
      </c>
      <c r="I17" s="6">
        <v>9.8000000000000007</v>
      </c>
      <c r="J17" s="24">
        <f t="shared" si="4"/>
        <v>1.3216347675899931</v>
      </c>
      <c r="K17" s="7">
        <f t="shared" si="37"/>
        <v>9.8000000000000007</v>
      </c>
      <c r="L17" s="7">
        <f t="shared" si="38"/>
        <v>39.200000000000003</v>
      </c>
      <c r="M17" s="153">
        <v>42278</v>
      </c>
      <c r="N17" s="154">
        <f t="shared" ca="1" si="5"/>
        <v>1</v>
      </c>
      <c r="O17" s="27">
        <v>7.2</v>
      </c>
      <c r="P17" s="22">
        <f t="shared" ref="P17:P18" si="43">O17*10+19</f>
        <v>91</v>
      </c>
      <c r="Q17" s="28">
        <v>6</v>
      </c>
      <c r="R17" s="132">
        <f t="shared" si="7"/>
        <v>0.92582009977255142</v>
      </c>
      <c r="S17" s="132">
        <f t="shared" si="8"/>
        <v>0.99928545900129484</v>
      </c>
      <c r="T17" s="32">
        <v>207820</v>
      </c>
      <c r="U17" s="32">
        <f t="shared" si="9"/>
        <v>-43940</v>
      </c>
      <c r="V17" s="8">
        <v>30996</v>
      </c>
      <c r="W17" s="9">
        <f t="shared" si="42"/>
        <v>6.7047360949799977</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v>15.7</v>
      </c>
      <c r="AE17" s="10">
        <v>1855</v>
      </c>
      <c r="AF17" s="10"/>
      <c r="AG17" s="25">
        <f t="shared" ca="1" si="10"/>
        <v>17.610611798367202</v>
      </c>
      <c r="AH17" s="25">
        <f t="shared" ca="1" si="11"/>
        <v>19.021634767589994</v>
      </c>
      <c r="AI17" s="137">
        <f t="shared" ca="1" si="12"/>
        <v>15.481225568890332</v>
      </c>
      <c r="AJ17" s="137">
        <f t="shared" ca="1" si="13"/>
        <v>16.721634767589993</v>
      </c>
      <c r="AK17" s="9">
        <f t="shared" ca="1" si="14"/>
        <v>4.4782964753099224</v>
      </c>
      <c r="AL17" s="9">
        <f t="shared" ca="1" si="15"/>
        <v>16.04163476758999</v>
      </c>
      <c r="AM17" s="9">
        <f t="shared" ca="1" si="16"/>
        <v>1.1117307814071993</v>
      </c>
      <c r="AN17" s="9">
        <f t="shared" ca="1" si="17"/>
        <v>0.76151443373129957</v>
      </c>
      <c r="AO17" s="22">
        <v>2</v>
      </c>
      <c r="AP17" s="22">
        <v>2</v>
      </c>
      <c r="AQ17" s="22">
        <v>2</v>
      </c>
      <c r="AR17" s="152">
        <f t="shared" si="18"/>
        <v>6.1499999999999999E-2</v>
      </c>
      <c r="AS17">
        <v>251760</v>
      </c>
    </row>
    <row r="18" spans="1:45" x14ac:dyDescent="0.25">
      <c r="A18" s="16" t="s">
        <v>42</v>
      </c>
      <c r="B18" s="16" t="s">
        <v>44</v>
      </c>
      <c r="C18" s="138">
        <f t="shared" ca="1" si="3"/>
        <v>3.4464285714285716</v>
      </c>
      <c r="D18" s="1" t="s">
        <v>50</v>
      </c>
      <c r="E18" s="2">
        <v>29</v>
      </c>
      <c r="F18" s="3">
        <f ca="1">58++D2-D1-112-112-112-112-112-112-112</f>
        <v>62</v>
      </c>
      <c r="G18" s="4" t="s">
        <v>45</v>
      </c>
      <c r="H18" s="5">
        <v>1</v>
      </c>
      <c r="I18" s="6">
        <v>9.5</v>
      </c>
      <c r="J18" s="24">
        <f t="shared" si="4"/>
        <v>1.3036314737184636</v>
      </c>
      <c r="K18" s="7">
        <f t="shared" si="37"/>
        <v>9.5</v>
      </c>
      <c r="L18" s="7">
        <f t="shared" si="38"/>
        <v>38</v>
      </c>
      <c r="M18" s="153">
        <v>42267</v>
      </c>
      <c r="N18" s="154">
        <f t="shared" ca="1" si="5"/>
        <v>1</v>
      </c>
      <c r="O18" s="27">
        <v>7.9</v>
      </c>
      <c r="P18" s="22">
        <f t="shared" si="43"/>
        <v>98</v>
      </c>
      <c r="Q18" s="28">
        <v>5</v>
      </c>
      <c r="R18" s="132">
        <f t="shared" si="7"/>
        <v>0.84515425472851657</v>
      </c>
      <c r="S18" s="132">
        <f t="shared" si="8"/>
        <v>0.92504826128926143</v>
      </c>
      <c r="T18" s="32">
        <v>250620</v>
      </c>
      <c r="U18" s="32">
        <f t="shared" si="9"/>
        <v>8890</v>
      </c>
      <c r="V18" s="8">
        <v>31320</v>
      </c>
      <c r="W18" s="9">
        <f t="shared" si="42"/>
        <v>8.0019157088122608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7">
        <f t="shared" ca="1" si="12"/>
        <v>13.356506380174654</v>
      </c>
      <c r="AJ18" s="137">
        <f t="shared" ca="1" si="13"/>
        <v>14.631319667766659</v>
      </c>
      <c r="AK18" s="9">
        <f t="shared" ca="1" si="14"/>
        <v>3.9779087022738504</v>
      </c>
      <c r="AL18" s="9">
        <f t="shared" ca="1" si="15"/>
        <v>15.552231473718463</v>
      </c>
      <c r="AM18" s="9">
        <f t="shared" ca="1" si="16"/>
        <v>1.1270571845641437</v>
      </c>
      <c r="AN18" s="9">
        <f t="shared" ca="1" si="17"/>
        <v>0.68079266469875388</v>
      </c>
      <c r="AO18" s="22">
        <v>1</v>
      </c>
      <c r="AP18" s="22">
        <v>1</v>
      </c>
      <c r="AQ18" s="22">
        <v>2</v>
      </c>
      <c r="AR18" s="152">
        <f t="shared" si="18"/>
        <v>4.9399999999999999E-2</v>
      </c>
      <c r="AS18">
        <v>241730</v>
      </c>
    </row>
    <row r="19" spans="1:45" x14ac:dyDescent="0.25">
      <c r="A19" s="16" t="s">
        <v>415</v>
      </c>
      <c r="B19" s="16" t="s">
        <v>75</v>
      </c>
      <c r="C19" s="138">
        <f ca="1">((33*112)-(E19*112)-(F19))/112</f>
        <v>15.857142857142858</v>
      </c>
      <c r="D19" s="31" t="s">
        <v>416</v>
      </c>
      <c r="E19" s="18">
        <v>17</v>
      </c>
      <c r="F19" s="19">
        <f ca="1">8-159+16-570-5+D2-D1-62</f>
        <v>16</v>
      </c>
      <c r="G19" s="20" t="s">
        <v>45</v>
      </c>
      <c r="H19" s="5">
        <v>1</v>
      </c>
      <c r="I19" s="30">
        <v>1</v>
      </c>
      <c r="J19" s="24">
        <f>LOG(I19)*4/3</f>
        <v>0</v>
      </c>
      <c r="K19" s="7">
        <f>(H19)*(H19)*(I19)</f>
        <v>1</v>
      </c>
      <c r="L19" s="7">
        <f>(H19+1)*(H19+1)*I19</f>
        <v>4</v>
      </c>
      <c r="M19" s="153">
        <v>43046</v>
      </c>
      <c r="N19" s="154">
        <v>1.5</v>
      </c>
      <c r="O19" s="21">
        <v>5</v>
      </c>
      <c r="P19" s="22">
        <f>O19*10+19</f>
        <v>69</v>
      </c>
      <c r="Q19" s="22">
        <v>5</v>
      </c>
      <c r="R19" s="132">
        <f>(Q19/7)^0.5</f>
        <v>0.84515425472851657</v>
      </c>
      <c r="S19" s="132">
        <f>IF(Q19=7,1,((Q19+0.99)/7)^0.5)</f>
        <v>0.92504826128926143</v>
      </c>
      <c r="T19" s="32">
        <v>1720</v>
      </c>
      <c r="U19" s="32">
        <f t="shared" ref="U19" si="44">T19-AS19</f>
        <v>240</v>
      </c>
      <c r="V19" s="32">
        <v>350</v>
      </c>
      <c r="W19" s="9">
        <f>T19/V19</f>
        <v>4.9142857142857146</v>
      </c>
      <c r="X19" s="23">
        <v>0</v>
      </c>
      <c r="Y19" s="24">
        <v>2</v>
      </c>
      <c r="Z19" s="23">
        <v>5.7</v>
      </c>
      <c r="AA19" s="24">
        <v>5.5</v>
      </c>
      <c r="AB19" s="23">
        <f>4.75+0.25+0.25</f>
        <v>5.25</v>
      </c>
      <c r="AC19" s="24">
        <v>3</v>
      </c>
      <c r="AD19" s="23">
        <v>2</v>
      </c>
      <c r="AE19" s="10">
        <v>404</v>
      </c>
      <c r="AF19" s="10">
        <v>2033</v>
      </c>
      <c r="AG19" s="25">
        <f t="shared" ref="AG19" si="45">(AD19+1+(LOG(I19)*4/3)+N19)*(Q19/7)^0.5</f>
        <v>3.8031941462783245</v>
      </c>
      <c r="AH19" s="25">
        <f t="shared" ref="AH19" si="46">(AD19+1+N19+(LOG(I19)*4/3))*(IF(Q19=7, (Q19/7)^0.5, ((Q19+1)/7)^0.5))</f>
        <v>4.1661904489764812</v>
      </c>
      <c r="AI19" s="137">
        <f t="shared" ref="AI19" si="47">(Z19+N19+(LOG(I19)*4/3))*(Q19/7)^0.5</f>
        <v>6.0851106340453196</v>
      </c>
      <c r="AJ19" s="137">
        <f t="shared" ref="AJ19" si="48">(Z19+N19+(LOG(I19)*4/3))*(IF(Q19=7, (Q19/7)^0.5, ((Q19+1)/7)^0.5))</f>
        <v>6.6659047183623708</v>
      </c>
      <c r="AK19" s="9">
        <f t="shared" ref="AK19" si="49">(((Y19+LOG(I19)*4/3+N19)+(AB19+LOG(I19)*4/3+N19)*2)/8)*(Q19/7)^0.5</f>
        <v>1.7959527912980977</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52">
        <f t="shared" si="18"/>
        <v>0.1158</v>
      </c>
      <c r="AS19">
        <v>1480</v>
      </c>
    </row>
    <row r="20" spans="1:45" x14ac:dyDescent="0.25">
      <c r="A20" s="16" t="s">
        <v>434</v>
      </c>
      <c r="B20" s="16" t="s">
        <v>75</v>
      </c>
      <c r="C20" s="138">
        <f ca="1">((33*112)-(E20*112)-(F20))/112</f>
        <v>15.821428571428571</v>
      </c>
      <c r="D20" s="31" t="s">
        <v>435</v>
      </c>
      <c r="E20" s="18">
        <v>17</v>
      </c>
      <c r="F20" s="3">
        <f ca="1">8-159+16-570-5+D2-D1-2-31-25</f>
        <v>20</v>
      </c>
      <c r="G20" s="20" t="s">
        <v>418</v>
      </c>
      <c r="H20" s="43">
        <v>6</v>
      </c>
      <c r="I20" s="30">
        <v>1</v>
      </c>
      <c r="J20" s="24">
        <f>LOG(I20)*4/3</f>
        <v>0</v>
      </c>
      <c r="K20" s="7">
        <f>(H20)*(H20)*(I20)</f>
        <v>36</v>
      </c>
      <c r="L20" s="7">
        <f>(H20+1)*(H20+1)*I20</f>
        <v>49</v>
      </c>
      <c r="M20" s="153">
        <v>43051</v>
      </c>
      <c r="N20" s="154">
        <f ca="1">IF((TODAY()-M20)&gt;335,1,((TODAY()-M20)^0.64)/(336^0.64))</f>
        <v>6.7683633516304187E-2</v>
      </c>
      <c r="O20" s="21">
        <v>4.5</v>
      </c>
      <c r="P20" s="22">
        <f>O20*10+19</f>
        <v>64</v>
      </c>
      <c r="Q20" s="28">
        <v>5</v>
      </c>
      <c r="R20" s="132">
        <f>(Q20/7)^0.5</f>
        <v>0.84515425472851657</v>
      </c>
      <c r="S20" s="132">
        <f>IF(Q20=7,1,((Q20+0.99)/7)^0.5)</f>
        <v>0.92504826128926143</v>
      </c>
      <c r="T20" s="32">
        <v>1300</v>
      </c>
      <c r="U20" s="32">
        <f>T20-AS20</f>
        <v>180</v>
      </c>
      <c r="V20" s="32">
        <v>330</v>
      </c>
      <c r="W20" s="9">
        <f>T20/V20</f>
        <v>3.9393939393939394</v>
      </c>
      <c r="X20" s="23">
        <v>0</v>
      </c>
      <c r="Y20" s="24">
        <v>6</v>
      </c>
      <c r="Z20" s="23">
        <v>3</v>
      </c>
      <c r="AA20" s="24">
        <v>3</v>
      </c>
      <c r="AB20" s="23">
        <f>5+0.2</f>
        <v>5.2</v>
      </c>
      <c r="AC20" s="24">
        <v>2</v>
      </c>
      <c r="AD20" s="23">
        <v>0</v>
      </c>
      <c r="AE20" s="10">
        <v>416</v>
      </c>
      <c r="AF20" s="10">
        <v>2035</v>
      </c>
      <c r="AG20" s="25">
        <f t="shared" ref="AG20:AG21" ca="1" si="53">(AD20+1+(LOG(I20)*4/3)+N20)*(Q20/7)^0.5</f>
        <v>0.90235736557030677</v>
      </c>
      <c r="AH20" s="25">
        <f t="shared" ref="AH20:AH21" ca="1" si="54">(AD20+1+N20+(LOG(I20)*4/3))*(IF(Q20=7, (Q20/7)^0.5, ((Q20+1)/7)^0.5))</f>
        <v>0.98848296810758507</v>
      </c>
      <c r="AI20" s="137">
        <f t="shared" ref="AI20" ca="1" si="55">(Z20+N20+(LOG(I20)*4/3))*(Q20/7)^0.5</f>
        <v>2.5926658750273397</v>
      </c>
      <c r="AJ20" s="137">
        <f t="shared" ref="AJ20" ca="1" si="56">(Z20+N20+(LOG(I20)*4/3))*(IF(Q20=7, (Q20/7)^0.5, ((Q20+1)/7)^0.5))</f>
        <v>2.8401231676526875</v>
      </c>
      <c r="AK20" s="9">
        <f t="shared" ref="AK20" ca="1" si="57">(((Y20+LOG(I20)*4/3+N20)+(AB20+LOG(I20)*4/3+N20)*2)/8)*(Q20/7)^0.5</f>
        <v>1.7540173887591302</v>
      </c>
      <c r="AL20" s="9">
        <f t="shared" ref="AL20:AL21" ca="1" si="58">(AD20+LOG(I20)*4/3+N20)*0.7+(AC20+LOG(I20)*4/3+N20)*0.3</f>
        <v>0.66768363351630411</v>
      </c>
      <c r="AM20" s="9">
        <f t="shared" ref="AM20:AM21" ca="1" si="59">(0.5*(AC20+LOG(I20)*4/3+N20)+ 0.3*(AD20+LOG(I20)*4/3+N20))/10</f>
        <v>0.10541469068130434</v>
      </c>
      <c r="AN20" s="9">
        <f t="shared" ref="AN20:AN21" ca="1" si="60">(0.4*(Y20+LOG(I20)*4/3+N20)+0.3*(AD20+LOG(I20)*4/3+N20))/10</f>
        <v>0.24473785434614129</v>
      </c>
      <c r="AO20" s="22">
        <v>2</v>
      </c>
      <c r="AP20" s="22">
        <v>2</v>
      </c>
      <c r="AQ20" s="22">
        <v>1</v>
      </c>
      <c r="AR20" s="152">
        <f>IF(AP20=4,IF(AQ20=0,0.137+0.0697,0.137+0.02),IF(AP20=3,IF(AQ20=0,0.0958+0.0697,0.0958+0.02),IF(AP20=2,IF(AQ20=0,0.0415+0.0697,0.0415+0.02),IF(AP20=1,IF(AQ20=0,0.0294+0.0697,0.0294+0.02),IF(AP20=0,IF(AQ20=0,0.0063+0.0697,0.0063+0.02))))))</f>
        <v>6.1499999999999999E-2</v>
      </c>
      <c r="AS20">
        <v>1120</v>
      </c>
    </row>
    <row r="21" spans="1:45" x14ac:dyDescent="0.25">
      <c r="A21" s="16" t="s">
        <v>442</v>
      </c>
      <c r="B21" s="16" t="s">
        <v>75</v>
      </c>
      <c r="C21" s="138">
        <f ca="1">((33*112)-(E21*112)-(F21))/112</f>
        <v>15.857142857142858</v>
      </c>
      <c r="D21" s="31" t="s">
        <v>443</v>
      </c>
      <c r="E21" s="18">
        <v>17</v>
      </c>
      <c r="F21" s="3">
        <f ca="1">8-159+16-570-5+D2-D1-2-31-25-4</f>
        <v>16</v>
      </c>
      <c r="G21" s="20" t="s">
        <v>418</v>
      </c>
      <c r="H21" s="43">
        <v>6</v>
      </c>
      <c r="I21" s="30">
        <v>0.5</v>
      </c>
      <c r="J21" s="24">
        <f>LOG(I21)*4/3</f>
        <v>-0.40137332755197491</v>
      </c>
      <c r="K21" s="7">
        <f>(H21)*(H21)*(I21)</f>
        <v>18</v>
      </c>
      <c r="L21" s="7">
        <f>(H21+1)*(H21+1)*I21</f>
        <v>24.5</v>
      </c>
      <c r="M21" s="153">
        <v>43054</v>
      </c>
      <c r="N21" s="154">
        <f ca="1">IF((TODAY()-M21)&gt;335,1,((TODAY()-M21)^0.64)/(336^0.64))</f>
        <v>3.7653214615844956E-2</v>
      </c>
      <c r="O21" s="21">
        <v>4</v>
      </c>
      <c r="P21" s="22">
        <f>O21*10+19</f>
        <v>59</v>
      </c>
      <c r="Q21" s="28">
        <v>5</v>
      </c>
      <c r="R21" s="132">
        <f>(Q21/7)^0.5</f>
        <v>0.84515425472851657</v>
      </c>
      <c r="S21" s="132">
        <f>IF(Q21=7,1,((Q21+0.99)/7)^0.5)</f>
        <v>0.92504826128926143</v>
      </c>
      <c r="T21" s="32">
        <v>780</v>
      </c>
      <c r="U21" s="32">
        <f>T21-AS21</f>
        <v>20</v>
      </c>
      <c r="V21" s="32">
        <v>290</v>
      </c>
      <c r="W21" s="9">
        <f>T21/V21</f>
        <v>2.6896551724137931</v>
      </c>
      <c r="X21" s="23">
        <v>0</v>
      </c>
      <c r="Y21" s="24">
        <v>3</v>
      </c>
      <c r="Z21" s="23">
        <v>5</v>
      </c>
      <c r="AA21" s="24">
        <v>4</v>
      </c>
      <c r="AB21" s="23">
        <v>4</v>
      </c>
      <c r="AC21" s="24">
        <v>3</v>
      </c>
      <c r="AD21" s="23">
        <v>0</v>
      </c>
      <c r="AE21" s="10">
        <v>376</v>
      </c>
      <c r="AF21" s="10">
        <v>1997</v>
      </c>
      <c r="AG21" s="25">
        <f t="shared" ca="1" si="53"/>
        <v>0.53775465375020981</v>
      </c>
      <c r="AH21" s="25">
        <f t="shared" ca="1" si="54"/>
        <v>0.58908070852474004</v>
      </c>
      <c r="AI21" s="137">
        <f t="shared" ref="AI21" ca="1" si="61">(Z21+N21+(LOG(I21)*4/3))*(Q21/7)^0.5</f>
        <v>3.9183716726642754</v>
      </c>
      <c r="AJ21" s="137">
        <f t="shared" ref="AJ21" ca="1" si="62">(Z21+N21+(LOG(I21)*4/3))*(IF(Q21=7, (Q21/7)^0.5, ((Q21+1)/7)^0.5))</f>
        <v>4.292361107614945</v>
      </c>
      <c r="AK21" s="9">
        <f t="shared" ref="AK21" ca="1" si="63">(((Y21+LOG(I21)*4/3+N21)+(AB21+LOG(I21)*4/3+N21)*2)/8)*(Q21/7)^0.5</f>
        <v>1.0468122498848453</v>
      </c>
      <c r="AL21" s="9">
        <f t="shared" ca="1" si="58"/>
        <v>0.53627988706387009</v>
      </c>
      <c r="AM21" s="9">
        <f t="shared" ca="1" si="59"/>
        <v>0.1209023909651096</v>
      </c>
      <c r="AN21" s="9">
        <f t="shared" ca="1" si="60"/>
        <v>9.4539592094470895E-2</v>
      </c>
      <c r="AO21" s="22">
        <v>2</v>
      </c>
      <c r="AP21" s="22">
        <v>2</v>
      </c>
      <c r="AQ21" s="22">
        <v>1</v>
      </c>
      <c r="AR21" s="152">
        <f>IF(AP21=4,IF(AQ21=0,0.137+0.0697,0.137+0.02),IF(AP21=3,IF(AQ21=0,0.0958+0.0697,0.0958+0.02),IF(AP21=2,IF(AQ21=0,0.0415+0.0697,0.0415+0.02),IF(AP21=1,IF(AQ21=0,0.0294+0.0697,0.0294+0.02),IF(AP21=0,IF(AQ21=0,0.0063+0.0697,0.0063+0.02))))))</f>
        <v>6.1499999999999999E-2</v>
      </c>
      <c r="AS21" s="252">
        <v>760</v>
      </c>
    </row>
    <row r="22" spans="1:45" x14ac:dyDescent="0.25">
      <c r="A22" s="16" t="s">
        <v>420</v>
      </c>
      <c r="B22" s="16" t="s">
        <v>99</v>
      </c>
      <c r="C22" s="138">
        <f ca="1">((33*112)-(E22*112)-(F22))/112</f>
        <v>15.491071428571429</v>
      </c>
      <c r="D22" s="31" t="s">
        <v>417</v>
      </c>
      <c r="E22" s="18">
        <v>17</v>
      </c>
      <c r="F22" s="19">
        <f ca="1">8-159+16-570-5+D2-D1-2-19</f>
        <v>57</v>
      </c>
      <c r="G22" s="20" t="s">
        <v>418</v>
      </c>
      <c r="H22" s="5">
        <v>3</v>
      </c>
      <c r="I22" s="30">
        <v>0.5</v>
      </c>
      <c r="J22" s="24">
        <f>LOG(I22)*4/3</f>
        <v>-0.40137332755197491</v>
      </c>
      <c r="K22" s="7">
        <f>(H22)*(H22)*(I22)</f>
        <v>4.5</v>
      </c>
      <c r="L22" s="7">
        <f>(H22+1)*(H22+1)*I22</f>
        <v>8</v>
      </c>
      <c r="M22" s="153">
        <v>43045</v>
      </c>
      <c r="N22" s="154">
        <f ca="1">IF((TODAY()-M22)&gt;335,1,((TODAY()-M22)^0.64)/(336^0.64))</f>
        <v>0.11210737430592951</v>
      </c>
      <c r="O22" s="21">
        <v>5</v>
      </c>
      <c r="P22" s="22">
        <f>O22*10+19</f>
        <v>69</v>
      </c>
      <c r="Q22" s="22">
        <v>4</v>
      </c>
      <c r="R22" s="132">
        <f>(Q22/7)^0.5</f>
        <v>0.7559289460184544</v>
      </c>
      <c r="S22" s="132">
        <f>IF(Q22=7,1,((Q22+0.99)/7)^0.5)</f>
        <v>0.84430867747355465</v>
      </c>
      <c r="T22" s="32">
        <v>950</v>
      </c>
      <c r="U22" s="32">
        <f>T22-AS22</f>
        <v>20</v>
      </c>
      <c r="V22" s="32">
        <v>370</v>
      </c>
      <c r="W22" s="9">
        <f>T22/V22</f>
        <v>2.5675675675675675</v>
      </c>
      <c r="X22" s="23">
        <v>0</v>
      </c>
      <c r="Y22" s="24">
        <v>3</v>
      </c>
      <c r="Z22" s="23">
        <v>6</v>
      </c>
      <c r="AA22" s="24">
        <v>3</v>
      </c>
      <c r="AB22" s="23">
        <f>3+0.25+0.25</f>
        <v>3.5</v>
      </c>
      <c r="AC22" s="24">
        <v>4</v>
      </c>
      <c r="AD22" s="23">
        <v>0</v>
      </c>
      <c r="AE22" s="10">
        <v>398</v>
      </c>
      <c r="AF22" s="10">
        <v>1972</v>
      </c>
      <c r="AG22" s="25">
        <f ca="1">(AD22+1+(LOG(I22)*4/3)+N22)*(Q22/7)^0.5</f>
        <v>0.53726443886214781</v>
      </c>
      <c r="AH22" s="25">
        <f ca="1">(AD22+1+N22+(LOG(I22)*4/3))*(IF(Q22=7, (Q22/7)^0.5, ((Q22+1)/7)^0.5))</f>
        <v>0.60067990359452128</v>
      </c>
      <c r="AI22" s="137">
        <f ca="1">(Z22+N22+(LOG(I22)*4/3))*(Q22/7)^0.5</f>
        <v>4.3169091689544192</v>
      </c>
      <c r="AJ22" s="137">
        <f ca="1">(Z22+N22+(LOG(I22)*4/3))*(IF(Q22=7, (Q22/7)^0.5, ((Q22+1)/7)^0.5))</f>
        <v>4.8264511772371037</v>
      </c>
      <c r="AK22" s="9">
        <f ca="1">(((Y22+LOG(I22)*4/3+N22)+(AB22+LOG(I22)*4/3+N22)*2)/8)*(Q22/7)^0.5</f>
        <v>0.86291199233945304</v>
      </c>
      <c r="AL22" s="9">
        <f ca="1">(AD22+LOG(I22)*4/3+N22)*0.7+(AC22+LOG(I22)*4/3+N22)*0.3</f>
        <v>0.91073404675395442</v>
      </c>
      <c r="AM22" s="9">
        <f ca="1">(0.5*(AC22+LOG(I22)*4/3+N22)+ 0.3*(AD22+LOG(I22)*4/3+N22))/10</f>
        <v>0.17685872374031636</v>
      </c>
      <c r="AN22" s="9">
        <f ca="1">(0.4*(Y22+LOG(I22)*4/3+N22)+0.3*(AD22+LOG(I22)*4/3+N22))/10</f>
        <v>9.9751383272776828E-2</v>
      </c>
      <c r="AO22" s="22">
        <v>2</v>
      </c>
      <c r="AP22" s="22">
        <v>3</v>
      </c>
      <c r="AQ22" s="22">
        <v>2</v>
      </c>
      <c r="AR22" s="152">
        <f>IF(AP22=4,IF(AQ22=0,0.137+0.0697,0.137+0.02),IF(AP22=3,IF(AQ22=0,0.0958+0.0697,0.0958+0.02),IF(AP22=2,IF(AQ22=0,0.0415+0.0697,0.0415+0.02),IF(AP22=1,IF(AQ22=0,0.0294+0.0697,0.0294+0.02),IF(AP22=0,IF(AQ22=0,0.0063+0.0697,0.0063+0.02))))))</f>
        <v>0.1158</v>
      </c>
      <c r="AS22">
        <v>930</v>
      </c>
    </row>
    <row r="23" spans="1:45" x14ac:dyDescent="0.25">
      <c r="A23" s="16" t="s">
        <v>421</v>
      </c>
      <c r="B23" s="26" t="s">
        <v>44</v>
      </c>
      <c r="C23" s="138">
        <f ca="1">((33*112)-(E23*112)-(F23))/112</f>
        <v>15.875</v>
      </c>
      <c r="D23" s="1" t="s">
        <v>422</v>
      </c>
      <c r="E23" s="2">
        <v>17</v>
      </c>
      <c r="F23" s="3">
        <f ca="1">8-159+16-570-5+D2-D1-2-62</f>
        <v>14</v>
      </c>
      <c r="G23" s="4" t="s">
        <v>0</v>
      </c>
      <c r="H23" s="5">
        <v>4</v>
      </c>
      <c r="I23" s="6">
        <v>1</v>
      </c>
      <c r="J23" s="24">
        <f>LOG(I23)*4/3</f>
        <v>0</v>
      </c>
      <c r="K23" s="7">
        <f>(H23)*(H23)*(I23)</f>
        <v>16</v>
      </c>
      <c r="L23" s="7">
        <f>(H23+1)*(H23+1)*I23</f>
        <v>25</v>
      </c>
      <c r="M23" s="153">
        <v>43045</v>
      </c>
      <c r="N23" s="154">
        <f ca="1">IF((TODAY()-M23)&gt;335,1,((TODAY()-M23)^0.64)/(336^0.64))</f>
        <v>0.11210737430592951</v>
      </c>
      <c r="O23" s="27">
        <v>5</v>
      </c>
      <c r="P23" s="22">
        <f>O23*10+19</f>
        <v>69</v>
      </c>
      <c r="Q23" s="28">
        <v>5</v>
      </c>
      <c r="R23" s="132">
        <f>(Q23/7)^0.5</f>
        <v>0.84515425472851657</v>
      </c>
      <c r="S23" s="132">
        <f>IF(Q23=7,1,((Q23+0.99)/7)^0.5)</f>
        <v>0.92504826128926143</v>
      </c>
      <c r="T23" s="32">
        <v>810</v>
      </c>
      <c r="U23" s="32">
        <f>T23-AS23</f>
        <v>100</v>
      </c>
      <c r="V23" s="8">
        <v>310</v>
      </c>
      <c r="W23" s="9">
        <f>T23/V23</f>
        <v>2.6129032258064515</v>
      </c>
      <c r="X23" s="23">
        <v>1</v>
      </c>
      <c r="Y23" s="24">
        <v>4</v>
      </c>
      <c r="Z23" s="23">
        <v>2</v>
      </c>
      <c r="AA23" s="24">
        <v>3</v>
      </c>
      <c r="AB23" s="23">
        <f>3.75+0.25+0.25</f>
        <v>4.25</v>
      </c>
      <c r="AC23" s="24">
        <v>5</v>
      </c>
      <c r="AD23" s="23">
        <v>3</v>
      </c>
      <c r="AE23" s="10">
        <v>388</v>
      </c>
      <c r="AF23" s="10">
        <v>2019</v>
      </c>
      <c r="AG23" s="25">
        <f ca="1">(AD23+1+(LOG(I23)*4/3)+N23)*(Q23/7)^0.5</f>
        <v>3.4753650432951648</v>
      </c>
      <c r="AH23" s="25">
        <f ca="1">(AD23+1+N23+(LOG(I23)*4/3))*(IF(Q23=7, (Q23/7)^0.5, ((Q23+1)/7)^0.5))</f>
        <v>3.8070716595553598</v>
      </c>
      <c r="AI23" s="137">
        <f ca="1">(Z23+N23+(LOG(I23)*4/3))*(Q23/7)^0.5</f>
        <v>1.7850565338381317</v>
      </c>
      <c r="AJ23" s="137">
        <f ca="1">(Z23+N23+(LOG(I23)*4/3))*(IF(Q23=7, (Q23/7)^0.5, ((Q23+1)/7)^0.5))</f>
        <v>1.9554314600102571</v>
      </c>
      <c r="AK23" s="9">
        <f ca="1">(((Y23+LOG(I23)*4/3+N23)+(AB23+LOG(I23)*4/3+N23)*2)/8)*(Q23/7)^0.5</f>
        <v>1.3560840321562191</v>
      </c>
      <c r="AL23" s="9">
        <f ca="1">(AD23+LOG(I23)*4/3+N23)*0.7+(AC23+LOG(I23)*4/3+N23)*0.3</f>
        <v>3.712107374305929</v>
      </c>
      <c r="AM23" s="9">
        <f ca="1">(0.5*(AC23+LOG(I23)*4/3+N23)+ 0.3*(AD23+LOG(I23)*4/3+N23))/10</f>
        <v>0.34896858994447433</v>
      </c>
      <c r="AN23" s="9">
        <f ca="1">(0.4*(Y23+LOG(I23)*4/3+N23)+0.3*(AD23+LOG(I23)*4/3+N23))/10</f>
        <v>0.25784751620141505</v>
      </c>
      <c r="AO23" s="22">
        <v>1</v>
      </c>
      <c r="AP23" s="22">
        <v>1</v>
      </c>
      <c r="AQ23" s="22">
        <v>2</v>
      </c>
      <c r="AR23" s="152">
        <f>IF(AP23=4,IF(AQ23=0,0.137+0.0697,0.137+0.02),IF(AP23=3,IF(AQ23=0,0.0958+0.0697,0.0958+0.02),IF(AP23=2,IF(AQ23=0,0.0415+0.0697,0.0415+0.02),IF(AP23=1,IF(AQ23=0,0.0294+0.0697,0.0294+0.02),IF(AP23=0,IF(AQ23=0,0.0063+0.0697,0.0063+0.02))))))</f>
        <v>4.9399999999999999E-2</v>
      </c>
      <c r="AS23">
        <v>710</v>
      </c>
    </row>
    <row r="24" spans="1:45" x14ac:dyDescent="0.25">
      <c r="A24" s="16" t="s">
        <v>424</v>
      </c>
      <c r="B24" s="16" t="s">
        <v>30</v>
      </c>
      <c r="C24" s="138">
        <f t="shared" ref="C24" ca="1" si="64">((33*112)-(E24*112)-(F24))/112</f>
        <v>15.857142857142858</v>
      </c>
      <c r="D24" s="1" t="s">
        <v>423</v>
      </c>
      <c r="E24" s="2">
        <v>17</v>
      </c>
      <c r="F24" s="3">
        <f ca="1">8-159+16-570-5+D2-D1-2-60</f>
        <v>16</v>
      </c>
      <c r="G24" s="4" t="s">
        <v>418</v>
      </c>
      <c r="H24" s="5">
        <v>3</v>
      </c>
      <c r="I24" s="6">
        <v>1</v>
      </c>
      <c r="J24" s="24">
        <f t="shared" ref="J24" si="65">LOG(I24)*4/3</f>
        <v>0</v>
      </c>
      <c r="K24" s="7">
        <f t="shared" ref="K24" si="66">(H24)*(H24)*(I24)</f>
        <v>9</v>
      </c>
      <c r="L24" s="7">
        <f t="shared" ref="L24" si="67">(H24+1)*(H24+1)*I24</f>
        <v>16</v>
      </c>
      <c r="M24" s="153">
        <v>43045</v>
      </c>
      <c r="N24" s="154">
        <f t="shared" ref="N24" ca="1" si="68">IF((TODAY()-M24)&gt;335,1,((TODAY()-M24)^0.64)/(336^0.64))</f>
        <v>0.11210737430592951</v>
      </c>
      <c r="O24" s="27">
        <v>5</v>
      </c>
      <c r="P24" s="22">
        <f t="shared" ref="P24" si="69">O24*10+19</f>
        <v>69</v>
      </c>
      <c r="Q24" s="28">
        <v>5</v>
      </c>
      <c r="R24" s="132">
        <f t="shared" ref="R24" si="70">(Q24/7)^0.5</f>
        <v>0.84515425472851657</v>
      </c>
      <c r="S24" s="132">
        <f t="shared" ref="S24" si="71">IF(Q24=7,1,((Q24+0.99)/7)^0.5)</f>
        <v>0.92504826128926143</v>
      </c>
      <c r="T24" s="32">
        <v>890</v>
      </c>
      <c r="U24" s="32">
        <f>T24-AS24</f>
        <v>70</v>
      </c>
      <c r="V24" s="8">
        <v>330</v>
      </c>
      <c r="W24" s="9">
        <f t="shared" ref="W24" si="72">T24/V24</f>
        <v>2.6969696969696968</v>
      </c>
      <c r="X24" s="23">
        <v>0</v>
      </c>
      <c r="Y24" s="24">
        <v>5</v>
      </c>
      <c r="Z24" s="23">
        <v>3</v>
      </c>
      <c r="AA24" s="24">
        <v>4</v>
      </c>
      <c r="AB24" s="23">
        <f>2+(0.33*0.16)+0.33</f>
        <v>2.3828</v>
      </c>
      <c r="AC24" s="24">
        <v>3</v>
      </c>
      <c r="AD24" s="23">
        <v>0</v>
      </c>
      <c r="AE24" s="10">
        <v>344</v>
      </c>
      <c r="AF24" s="10">
        <v>1977</v>
      </c>
      <c r="AG24" s="25">
        <f ca="1">(AD24+1+(LOG(I24)*4/3)+N24)*(Q24/7)^0.5</f>
        <v>0.93990227910961532</v>
      </c>
      <c r="AH24" s="25">
        <f ca="1">(AD24+1+N24+(LOG(I24)*4/3))*(IF(Q24=7, (Q24/7)^0.5, ((Q24+1)/7)^0.5))</f>
        <v>1.0296113602377059</v>
      </c>
      <c r="AI24" s="137">
        <f ca="1">(Z24+N24+(LOG(I24)*4/3))*(Q24/7)^0.5</f>
        <v>2.6302107885666484</v>
      </c>
      <c r="AJ24" s="137">
        <f ca="1">(Z24+N24+(LOG(I24)*4/3))*(IF(Q24=7, (Q24/7)^0.5, ((Q24+1)/7)^0.5))</f>
        <v>2.8812515597828083</v>
      </c>
      <c r="AK24" s="9">
        <f ca="1">(((Y24+LOG(I24)*4/3+N24)+(AB24+LOG(I24)*4/3+N24)*2)/8)*(Q24/7)^0.5</f>
        <v>1.0672103078900121</v>
      </c>
      <c r="AL24" s="9">
        <f ca="1">(AD24+LOG(I24)*4/3+N24)*0.7+(AC24+LOG(I24)*4/3+N24)*0.3</f>
        <v>1.0121073743059295</v>
      </c>
      <c r="AM24" s="9">
        <f ca="1">(0.5*(AC24+LOG(I24)*4/3+N24)+ 0.3*(AD24+LOG(I24)*4/3+N24))/10</f>
        <v>0.15896858994447435</v>
      </c>
      <c r="AN24" s="9">
        <f ca="1">(0.4*(Y24+LOG(I24)*4/3+N24)+0.3*(AD24+LOG(I24)*4/3+N24))/10</f>
        <v>0.20784751620141506</v>
      </c>
      <c r="AO24" s="22">
        <v>3</v>
      </c>
      <c r="AP24" s="22">
        <v>1</v>
      </c>
      <c r="AQ24" s="22">
        <v>2</v>
      </c>
      <c r="AR24" s="152">
        <f t="shared" ref="AR24" si="73">IF(AP24=4,IF(AQ24=0,0.137+0.0697,0.137+0.02),IF(AP24=3,IF(AQ24=0,0.0958+0.0697,0.0958+0.02),IF(AP24=2,IF(AQ24=0,0.0415+0.0697,0.0415+0.02),IF(AP24=1,IF(AQ24=0,0.0294+0.0697,0.0294+0.02),IF(AP24=0,IF(AQ24=0,0.0063+0.0697,0.0063+0.02))))))</f>
        <v>4.9399999999999999E-2</v>
      </c>
      <c r="AS24">
        <v>820</v>
      </c>
    </row>
    <row r="25" spans="1:45" x14ac:dyDescent="0.25">
      <c r="A25" s="16" t="s">
        <v>426</v>
      </c>
      <c r="B25" s="16" t="s">
        <v>75</v>
      </c>
      <c r="C25" s="138">
        <f t="shared" ref="C25" ca="1" si="74">((33*112)-(E25*112)-(F25))/112</f>
        <v>15.785714285714286</v>
      </c>
      <c r="D25" s="31" t="s">
        <v>429</v>
      </c>
      <c r="E25" s="18">
        <v>17</v>
      </c>
      <c r="F25" s="3">
        <f ca="1">8-159+16-570-5+D2-D1-2-12-49+9</f>
        <v>24</v>
      </c>
      <c r="G25" s="20" t="s">
        <v>45</v>
      </c>
      <c r="H25" s="5">
        <v>3</v>
      </c>
      <c r="I25" s="30">
        <v>0.5</v>
      </c>
      <c r="J25" s="24">
        <f t="shared" ref="J25" si="75">LOG(I25)*4/3</f>
        <v>-0.40137332755197491</v>
      </c>
      <c r="K25" s="7">
        <f t="shared" ref="K25" si="76">(H25)*(H25)*(I25)</f>
        <v>4.5</v>
      </c>
      <c r="L25" s="7">
        <f t="shared" ref="L25" si="77">(H25+1)*(H25+1)*I25</f>
        <v>8</v>
      </c>
      <c r="M25" s="153">
        <v>43046</v>
      </c>
      <c r="N25" s="154">
        <f t="shared" ref="N25" ca="1" si="78">IF((TODAY()-M25)&gt;335,1,((TODAY()-M25)^0.64)/(336^0.64))</f>
        <v>0.10547337971725297</v>
      </c>
      <c r="O25" s="21">
        <v>5</v>
      </c>
      <c r="P25" s="22">
        <f t="shared" ref="P25" si="79">O25*10+19</f>
        <v>69</v>
      </c>
      <c r="Q25" s="28">
        <v>4</v>
      </c>
      <c r="R25" s="132">
        <f t="shared" ref="R25" si="80">(Q25/7)^0.5</f>
        <v>0.7559289460184544</v>
      </c>
      <c r="S25" s="132">
        <f t="shared" ref="S25" si="81">IF(Q25=7,1,((Q25+0.99)/7)^0.5)</f>
        <v>0.84430867747355465</v>
      </c>
      <c r="T25" s="32">
        <v>510</v>
      </c>
      <c r="U25" s="32">
        <f t="shared" ref="U25" si="82">T25-AS25</f>
        <v>50</v>
      </c>
      <c r="V25" s="32">
        <v>270</v>
      </c>
      <c r="W25" s="9">
        <f t="shared" ref="W25" si="83">T25/V25</f>
        <v>1.8888888888888888</v>
      </c>
      <c r="X25" s="23">
        <v>0</v>
      </c>
      <c r="Y25" s="24">
        <v>4</v>
      </c>
      <c r="Z25" s="23">
        <v>2</v>
      </c>
      <c r="AA25" s="24">
        <v>5</v>
      </c>
      <c r="AB25" s="23">
        <f>3+(0.25*0.16)+0.25</f>
        <v>3.29</v>
      </c>
      <c r="AC25" s="24">
        <v>4</v>
      </c>
      <c r="AD25" s="23">
        <v>1</v>
      </c>
      <c r="AE25" s="10">
        <v>356</v>
      </c>
      <c r="AF25" s="10">
        <v>1977</v>
      </c>
      <c r="AG25" s="25">
        <f t="shared" ref="AG25" ca="1" si="84">(AD25+1+(LOG(I25)*4/3)+N25)*(Q25/7)^0.5</f>
        <v>1.2881785563432917</v>
      </c>
      <c r="AH25" s="25">
        <f t="shared" ref="AH25" ca="1" si="85">(AD25+1+N25+(LOG(I25)*4/3))*(IF(Q25=7, (Q25/7)^0.5, ((Q25+1)/7)^0.5))</f>
        <v>1.440227409570572</v>
      </c>
      <c r="AI25" s="137">
        <f t="shared" ref="AI25" ca="1" si="86">(Z25+N25+(LOG(I25)*4/3))*(Q25/7)^0.5</f>
        <v>1.2881785563432919</v>
      </c>
      <c r="AJ25" s="137">
        <f t="shared" ref="AJ25" ca="1" si="87">(Z25+N25+(LOG(I25)*4/3))*(IF(Q25=7, (Q25/7)^0.5, ((Q25+1)/7)^0.5))</f>
        <v>1.440227409570572</v>
      </c>
      <c r="AK25" s="9">
        <f t="shared" ref="AK25" ca="1" si="88">(((Y25+LOG(I25)*4/3+N25)+(AB25+LOG(I25)*4/3+N25)*2)/8)*(Q25/7)^0.5</f>
        <v>0.91583628022429964</v>
      </c>
      <c r="AL25" s="9">
        <f t="shared" ref="AL25" ca="1" si="89">(AD25+LOG(I25)*4/3+N25)*0.7+(AC25+LOG(I25)*4/3+N25)*0.3</f>
        <v>1.604100052165278</v>
      </c>
      <c r="AM25" s="9">
        <f t="shared" ref="AM25" ca="1" si="90">(0.5*(AC25+LOG(I25)*4/3+N25)+ 0.3*(AD25+LOG(I25)*4/3+N25))/10</f>
        <v>0.20632800417322228</v>
      </c>
      <c r="AN25" s="9">
        <f t="shared" ref="AN25" ca="1" si="91">(0.4*(Y25+LOG(I25)*4/3+N25)+0.3*(AD25+LOG(I25)*4/3+N25))/10</f>
        <v>0.16928700365156948</v>
      </c>
      <c r="AO25" s="22">
        <v>3</v>
      </c>
      <c r="AP25" s="22">
        <v>4</v>
      </c>
      <c r="AQ25" s="22">
        <v>3</v>
      </c>
      <c r="AR25" s="152">
        <f t="shared" ref="AR25" si="92">IF(AP25=4,IF(AQ25=0,0.137+0.0697,0.137+0.02),IF(AP25=3,IF(AQ25=0,0.0958+0.0697,0.0958+0.02),IF(AP25=2,IF(AQ25=0,0.0415+0.0697,0.0415+0.02),IF(AP25=1,IF(AQ25=0,0.0294+0.0697,0.0294+0.02),IF(AP25=0,IF(AQ25=0,0.0063+0.0697,0.0063+0.02))))))</f>
        <v>0.157</v>
      </c>
      <c r="AS25">
        <v>460</v>
      </c>
    </row>
    <row r="26" spans="1:45" x14ac:dyDescent="0.25">
      <c r="A26" s="16" t="s">
        <v>436</v>
      </c>
      <c r="B26" s="16" t="s">
        <v>44</v>
      </c>
      <c r="C26" s="138">
        <f t="shared" ref="C26" ca="1" si="93">((33*112)-(E26*112)-(F26))/112</f>
        <v>15.491071428571429</v>
      </c>
      <c r="D26" s="31" t="s">
        <v>431</v>
      </c>
      <c r="E26" s="18">
        <v>17</v>
      </c>
      <c r="F26" s="3">
        <f ca="1">8-159+16-570-5+D2-D1-2-12-49+9-11+44</f>
        <v>57</v>
      </c>
      <c r="G26" s="20" t="s">
        <v>74</v>
      </c>
      <c r="H26" s="5">
        <v>3</v>
      </c>
      <c r="I26" s="30">
        <v>0.5</v>
      </c>
      <c r="J26" s="24">
        <f t="shared" ref="J26" si="94">LOG(I26)*4/3</f>
        <v>-0.40137332755197491</v>
      </c>
      <c r="K26" s="7">
        <f t="shared" ref="K26" si="95">(H26)*(H26)*(I26)</f>
        <v>4.5</v>
      </c>
      <c r="L26" s="7">
        <f t="shared" ref="L26" si="96">(H26+1)*(H26+1)*I26</f>
        <v>8</v>
      </c>
      <c r="M26" s="153">
        <v>43046</v>
      </c>
      <c r="N26" s="154">
        <f t="shared" ref="N26" ca="1" si="97">IF((TODAY()-M26)&gt;335,1,((TODAY()-M26)^0.64)/(336^0.64))</f>
        <v>0.10547337971725297</v>
      </c>
      <c r="O26" s="21">
        <v>5</v>
      </c>
      <c r="P26" s="22">
        <f t="shared" ref="P26" si="98">O26*10+19</f>
        <v>69</v>
      </c>
      <c r="Q26" s="28">
        <v>6</v>
      </c>
      <c r="R26" s="132">
        <f t="shared" ref="R26" si="99">(Q26/7)^0.5</f>
        <v>0.92582009977255142</v>
      </c>
      <c r="S26" s="132">
        <f t="shared" ref="S26" si="100">IF(Q26=7,1,((Q26+0.99)/7)^0.5)</f>
        <v>0.99928545900129484</v>
      </c>
      <c r="T26" s="32">
        <v>1710</v>
      </c>
      <c r="U26" s="32">
        <f t="shared" ref="U26" si="101">T26-AS26</f>
        <v>260</v>
      </c>
      <c r="V26" s="32">
        <v>370</v>
      </c>
      <c r="W26" s="9">
        <f t="shared" ref="W26" si="102">T26/V26</f>
        <v>4.6216216216216219</v>
      </c>
      <c r="X26" s="23">
        <v>0</v>
      </c>
      <c r="Y26" s="24">
        <v>5</v>
      </c>
      <c r="Z26" s="23">
        <v>2</v>
      </c>
      <c r="AA26" s="24">
        <v>3</v>
      </c>
      <c r="AB26" s="23">
        <f>4+0.25+0.25</f>
        <v>4.5</v>
      </c>
      <c r="AC26" s="24">
        <v>6</v>
      </c>
      <c r="AD26" s="23">
        <v>0</v>
      </c>
      <c r="AE26" s="10">
        <v>443</v>
      </c>
      <c r="AF26" s="10">
        <v>2017</v>
      </c>
      <c r="AG26" s="25">
        <f t="shared" ref="AG26" ca="1" si="103">(AD26+1+(LOG(I26)*4/3)+N26)*(Q26/7)^0.5</f>
        <v>0.65186998054551648</v>
      </c>
      <c r="AH26" s="25">
        <f t="shared" ref="AH26" ca="1" si="104">(AD26+1+N26+(LOG(I26)*4/3))*(IF(Q26=7, (Q26/7)^0.5, ((Q26+1)/7)^0.5))</f>
        <v>0.70410005216527805</v>
      </c>
      <c r="AI26" s="137">
        <f t="shared" ref="AI26" ca="1" si="105">(Z26+N26+(LOG(I26)*4/3))*(Q26/7)^0.5</f>
        <v>1.577690080318068</v>
      </c>
      <c r="AJ26" s="137">
        <f t="shared" ref="AJ26" ca="1" si="106">(Z26+N26+(LOG(I26)*4/3))*(IF(Q26=7, (Q26/7)^0.5, ((Q26+1)/7)^0.5))</f>
        <v>1.7041000521652783</v>
      </c>
      <c r="AK26" s="9">
        <f t="shared" ref="AK26" ca="1" si="107">(((Y26+LOG(I26)*4/3+N26)+(AB26+LOG(I26)*4/3+N26)*2)/8)*(Q26/7)^0.5</f>
        <v>1.5174538798918269</v>
      </c>
      <c r="AL26" s="9">
        <f t="shared" ref="AL26" ca="1" si="108">(AD26+LOG(I26)*4/3+N26)*0.7+(AC26+LOG(I26)*4/3+N26)*0.3</f>
        <v>1.5041000521652779</v>
      </c>
      <c r="AM26" s="9">
        <f t="shared" ref="AM26" ca="1" si="109">(0.5*(AC26+LOG(I26)*4/3+N26)+ 0.3*(AD26+LOG(I26)*4/3+N26))/10</f>
        <v>0.27632800417322223</v>
      </c>
      <c r="AN26" s="9">
        <f t="shared" ref="AN26" ca="1" si="110">(0.4*(Y26+LOG(I26)*4/3+N26)+0.3*(AD26+LOG(I26)*4/3+N26))/10</f>
        <v>0.17928700365156947</v>
      </c>
      <c r="AO26" s="22">
        <v>2</v>
      </c>
      <c r="AP26" s="22">
        <v>3</v>
      </c>
      <c r="AQ26" s="22">
        <v>1</v>
      </c>
      <c r="AR26" s="152">
        <f t="shared" ref="AR26" si="111">IF(AP26=4,IF(AQ26=0,0.137+0.0697,0.137+0.02),IF(AP26=3,IF(AQ26=0,0.0958+0.0697,0.0958+0.02),IF(AP26=2,IF(AQ26=0,0.0415+0.0697,0.0415+0.02),IF(AP26=1,IF(AQ26=0,0.0294+0.0697,0.0294+0.02),IF(AP26=0,IF(AQ26=0,0.0063+0.0697,0.0063+0.02))))))</f>
        <v>0.1158</v>
      </c>
      <c r="AS26">
        <v>1450</v>
      </c>
    </row>
    <row r="27" spans="1:45" x14ac:dyDescent="0.25">
      <c r="A27" s="16" t="s">
        <v>437</v>
      </c>
      <c r="B27" s="26" t="s">
        <v>30</v>
      </c>
      <c r="C27" s="138">
        <f ca="1">((33*112)-(E27*112)-(F27))/112</f>
        <v>15.428571428571429</v>
      </c>
      <c r="D27" s="1" t="s">
        <v>427</v>
      </c>
      <c r="E27" s="2">
        <v>17</v>
      </c>
      <c r="F27" s="3">
        <f ca="1">8-159+16-570-5+D2-D1-2-12</f>
        <v>64</v>
      </c>
      <c r="G27" s="4" t="s">
        <v>74</v>
      </c>
      <c r="H27" s="5">
        <v>2</v>
      </c>
      <c r="I27" s="6">
        <v>0.5</v>
      </c>
      <c r="J27" s="24">
        <f>LOG(I27)*4/3</f>
        <v>-0.40137332755197491</v>
      </c>
      <c r="K27" s="7">
        <f>(H27)*(H27)*(I27)</f>
        <v>2</v>
      </c>
      <c r="L27" s="7">
        <f>(H27+1)*(H27+1)*I27</f>
        <v>4.5</v>
      </c>
      <c r="M27" s="153">
        <v>43046</v>
      </c>
      <c r="N27" s="154">
        <f ca="1">IF((TODAY()-M27)&gt;335,1,((TODAY()-M27)^0.64)/(336^0.64))</f>
        <v>0.10547337971725297</v>
      </c>
      <c r="O27" s="27">
        <v>5.5</v>
      </c>
      <c r="P27" s="22">
        <f>O27*10+19</f>
        <v>74</v>
      </c>
      <c r="Q27" s="28">
        <v>5</v>
      </c>
      <c r="R27" s="132">
        <f>(Q27/7)^0.5</f>
        <v>0.84515425472851657</v>
      </c>
      <c r="S27" s="132">
        <f>IF(Q27=7,1,((Q27+0.99)/7)^0.5)</f>
        <v>0.92504826128926143</v>
      </c>
      <c r="T27" s="32">
        <v>1840</v>
      </c>
      <c r="U27" s="32">
        <f>T27-AS27</f>
        <v>70</v>
      </c>
      <c r="V27" s="8">
        <v>450</v>
      </c>
      <c r="W27" s="9">
        <f>T27/V27</f>
        <v>4.0888888888888886</v>
      </c>
      <c r="X27" s="23">
        <v>0</v>
      </c>
      <c r="Y27" s="24">
        <v>6</v>
      </c>
      <c r="Z27" s="23">
        <v>4</v>
      </c>
      <c r="AA27" s="24">
        <v>4</v>
      </c>
      <c r="AB27" s="23">
        <f>2.67+0.33+0.33*0.16</f>
        <v>3.0528</v>
      </c>
      <c r="AC27" s="24">
        <v>3</v>
      </c>
      <c r="AD27" s="23">
        <v>3</v>
      </c>
      <c r="AE27" s="10">
        <v>440</v>
      </c>
      <c r="AF27" s="10">
        <v>2000</v>
      </c>
      <c r="AG27" s="25">
        <f ca="1">(AD27+1+(LOG(I27)*4/3)+N27)*(Q27/7)^0.5</f>
        <v>3.1305359190276052</v>
      </c>
      <c r="AH27" s="25">
        <f ca="1">(AD27+1+N27+(LOG(I27)*4/3))*(IF(Q27=7, (Q27/7)^0.5, ((Q27+1)/7)^0.5))</f>
        <v>3.4293302798631706</v>
      </c>
      <c r="AI27" s="137">
        <f ca="1">(Z27+N27+(LOG(I27)*4/3))*(Q27/7)^0.5</f>
        <v>3.1305359190276052</v>
      </c>
      <c r="AJ27" s="137">
        <f ca="1">(Z27+N27+(LOG(I27)*4/3))*(IF(Q27=7, (Q27/7)^0.5, ((Q27+1)/7)^0.5))</f>
        <v>3.4293302798631706</v>
      </c>
      <c r="AK27" s="9">
        <f ca="1">(((Y27+LOG(I27)*4/3+N27)+(AB27+LOG(I27)*4/3+N27)*2)/8)*(Q27/7)^0.5</f>
        <v>1.1851070057977682</v>
      </c>
      <c r="AL27" s="9">
        <f ca="1">(AD27+LOG(I27)*4/3+N27)*0.7+(AC27+LOG(I27)*4/3+N27)*0.3</f>
        <v>2.7041000521652783</v>
      </c>
      <c r="AM27" s="9">
        <f ca="1">(0.5*(AC27+LOG(I27)*4/3+N27)+ 0.3*(AD27+LOG(I27)*4/3+N27))/10</f>
        <v>0.21632800417322223</v>
      </c>
      <c r="AN27" s="9">
        <f ca="1">(0.4*(Y27+LOG(I27)*4/3+N27)+0.3*(AD27+LOG(I27)*4/3+N27))/10</f>
        <v>0.30928700365156947</v>
      </c>
      <c r="AO27" s="22">
        <v>2</v>
      </c>
      <c r="AP27" s="22">
        <v>0</v>
      </c>
      <c r="AQ27" s="22">
        <v>3</v>
      </c>
      <c r="AR27" s="152">
        <f>IF(AP27=4,IF(AQ27=0,0.137+0.0697,0.137+0.02),IF(AP27=3,IF(AQ27=0,0.0958+0.0697,0.0958+0.02),IF(AP27=2,IF(AQ27=0,0.0415+0.0697,0.0415+0.02),IF(AP27=1,IF(AQ27=0,0.0294+0.0697,0.0294+0.02),IF(AP27=0,IF(AQ27=0,0.0063+0.0697,0.0063+0.02))))))</f>
        <v>2.63E-2</v>
      </c>
      <c r="AS27">
        <v>1770</v>
      </c>
    </row>
    <row r="28" spans="1:45" x14ac:dyDescent="0.25">
      <c r="A28" s="16" t="s">
        <v>438</v>
      </c>
      <c r="B28" s="26" t="s">
        <v>44</v>
      </c>
      <c r="C28" s="138">
        <f ca="1">((33*112)-(E28*112)-(F28))/112</f>
        <v>15.598214285714286</v>
      </c>
      <c r="D28" s="1" t="s">
        <v>425</v>
      </c>
      <c r="E28" s="2">
        <v>17</v>
      </c>
      <c r="F28" s="3">
        <f ca="1">8-159+16-570-5+D2-D1-2-31</f>
        <v>45</v>
      </c>
      <c r="G28" s="4" t="s">
        <v>0</v>
      </c>
      <c r="H28" s="5">
        <v>4</v>
      </c>
      <c r="I28" s="6">
        <v>0.5</v>
      </c>
      <c r="J28" s="24">
        <f>LOG(I28)*4/3</f>
        <v>-0.40137332755197491</v>
      </c>
      <c r="K28" s="7">
        <f>(H28)*(H28)*(I28)</f>
        <v>8</v>
      </c>
      <c r="L28" s="7">
        <f>(H28+1)*(H28+1)*I28</f>
        <v>12.5</v>
      </c>
      <c r="M28" s="153">
        <v>43046</v>
      </c>
      <c r="N28" s="154">
        <f ca="1">IF((TODAY()-M28)&gt;335,1,((TODAY()-M28)^0.64)/(336^0.64))</f>
        <v>0.10547337971725297</v>
      </c>
      <c r="O28" s="27">
        <v>5</v>
      </c>
      <c r="P28" s="22">
        <f>O28*10+19</f>
        <v>69</v>
      </c>
      <c r="Q28" s="28">
        <v>5</v>
      </c>
      <c r="R28" s="132">
        <f>(Q28/7)^0.5</f>
        <v>0.84515425472851657</v>
      </c>
      <c r="S28" s="132">
        <f>IF(Q28=7,1,((Q28+0.99)/7)^0.5)</f>
        <v>0.92504826128926143</v>
      </c>
      <c r="T28" s="32">
        <v>930</v>
      </c>
      <c r="U28" s="32">
        <f>T28-AS28</f>
        <v>40</v>
      </c>
      <c r="V28" s="8">
        <v>330</v>
      </c>
      <c r="W28" s="9">
        <f>T28/V28</f>
        <v>2.8181818181818183</v>
      </c>
      <c r="X28" s="23">
        <v>0</v>
      </c>
      <c r="Y28" s="24">
        <v>2</v>
      </c>
      <c r="Z28" s="23">
        <v>5</v>
      </c>
      <c r="AA28" s="24">
        <v>3</v>
      </c>
      <c r="AB28" s="23">
        <f>2+(0.33*0.16)+(0.33*0.16)</f>
        <v>2.1055999999999999</v>
      </c>
      <c r="AC28" s="24">
        <v>5</v>
      </c>
      <c r="AD28" s="23">
        <v>2</v>
      </c>
      <c r="AE28" s="10">
        <v>351</v>
      </c>
      <c r="AF28" s="10">
        <v>1942</v>
      </c>
      <c r="AG28" s="25">
        <f ca="1">(AD28+1+(LOG(I28)*4/3)+N28)*(Q28/7)^0.5</f>
        <v>2.2853816642990887</v>
      </c>
      <c r="AH28" s="25">
        <f ca="1">(AD28+1+N28+(LOG(I28)*4/3))*(IF(Q28=7, (Q28/7)^0.5, ((Q28+1)/7)^0.5))</f>
        <v>2.5035101800906192</v>
      </c>
      <c r="AI28" s="137">
        <f ca="1">(Z28+N28+(LOG(I28)*4/3))*(Q28/7)^0.5</f>
        <v>3.9756901737561212</v>
      </c>
      <c r="AJ28" s="137">
        <f ca="1">(Z28+N28+(LOG(I28)*4/3))*(IF(Q28=7, (Q28/7)^0.5, ((Q28+1)/7)^0.5))</f>
        <v>4.355150379635722</v>
      </c>
      <c r="AK28" s="9">
        <f ca="1">(((Y28+LOG(I28)*4/3+N28)+(AB28+LOG(I28)*4/3+N28)*2)/8)*(Q28/7)^0.5</f>
        <v>0.56239735091379728</v>
      </c>
      <c r="AL28" s="9">
        <f ca="1">(AD28+LOG(I28)*4/3+N28)*0.7+(AC28+LOG(I28)*4/3+N28)*0.3</f>
        <v>2.6041000521652782</v>
      </c>
      <c r="AM28" s="9">
        <f ca="1">(0.5*(AC28+LOG(I28)*4/3+N28)+ 0.3*(AD28+LOG(I28)*4/3+N28))/10</f>
        <v>0.28632800417322224</v>
      </c>
      <c r="AN28" s="9">
        <f ca="1">(0.4*(Y28+LOG(I28)*4/3+N28)+0.3*(AD28+LOG(I28)*4/3+N28))/10</f>
        <v>0.11928700365156945</v>
      </c>
      <c r="AO28" s="22">
        <v>4</v>
      </c>
      <c r="AP28" s="22">
        <v>2</v>
      </c>
      <c r="AQ28" s="22">
        <v>2</v>
      </c>
      <c r="AR28" s="152">
        <f>IF(AP28=4,IF(AQ28=0,0.137+0.0697,0.137+0.02),IF(AP28=3,IF(AQ28=0,0.0958+0.0697,0.0958+0.02),IF(AP28=2,IF(AQ28=0,0.0415+0.0697,0.0415+0.02),IF(AP28=1,IF(AQ28=0,0.0294+0.0697,0.0294+0.02),IF(AP28=0,IF(AQ28=0,0.0063+0.0697,0.0063+0.02))))))</f>
        <v>6.1499999999999999E-2</v>
      </c>
      <c r="AS28">
        <v>890</v>
      </c>
    </row>
    <row r="29" spans="1:45" x14ac:dyDescent="0.25">
      <c r="A29" s="16" t="s">
        <v>439</v>
      </c>
      <c r="B29" s="16" t="s">
        <v>44</v>
      </c>
      <c r="C29" s="138">
        <f t="shared" ref="C29" ca="1" si="112">((33*112)-(E29*112)-(F29))/112</f>
        <v>15.883928571428571</v>
      </c>
      <c r="D29" s="31" t="s">
        <v>430</v>
      </c>
      <c r="E29" s="18">
        <v>17</v>
      </c>
      <c r="F29" s="3">
        <f ca="1">8-159+16-570-5+D2-D1-2-12-49+9-11</f>
        <v>13</v>
      </c>
      <c r="G29" s="20" t="s">
        <v>418</v>
      </c>
      <c r="H29" s="5">
        <v>4</v>
      </c>
      <c r="I29" s="30">
        <v>0.5</v>
      </c>
      <c r="J29" s="24">
        <f t="shared" ref="J29" si="113">LOG(I29)*4/3</f>
        <v>-0.40137332755197491</v>
      </c>
      <c r="K29" s="7">
        <f t="shared" ref="K29" si="114">(H29)*(H29)*(I29)</f>
        <v>8</v>
      </c>
      <c r="L29" s="7">
        <f t="shared" ref="L29" si="115">(H29+1)*(H29+1)*I29</f>
        <v>12.5</v>
      </c>
      <c r="M29" s="153">
        <v>43046</v>
      </c>
      <c r="N29" s="154">
        <f t="shared" ref="N29" ca="1" si="116">IF((TODAY()-M29)&gt;335,1,((TODAY()-M29)^0.64)/(336^0.64))</f>
        <v>0.10547337971725297</v>
      </c>
      <c r="O29" s="21">
        <v>4.2</v>
      </c>
      <c r="P29" s="22">
        <f t="shared" ref="P29" si="117">O29*10+19</f>
        <v>61</v>
      </c>
      <c r="Q29" s="28">
        <v>5</v>
      </c>
      <c r="R29" s="132">
        <f t="shared" ref="R29" si="118">(Q29/7)^0.5</f>
        <v>0.84515425472851657</v>
      </c>
      <c r="S29" s="132">
        <f t="shared" ref="S29" si="119">IF(Q29=7,1,((Q29+0.99)/7)^0.5)</f>
        <v>0.92504826128926143</v>
      </c>
      <c r="T29" s="32">
        <v>540</v>
      </c>
      <c r="U29" s="32">
        <f t="shared" ref="U29" si="120">T29-AS29</f>
        <v>20</v>
      </c>
      <c r="V29" s="32">
        <v>290</v>
      </c>
      <c r="W29" s="9">
        <f t="shared" ref="W29" si="121">T29/V29</f>
        <v>1.8620689655172413</v>
      </c>
      <c r="X29" s="23">
        <v>0</v>
      </c>
      <c r="Y29" s="24">
        <v>4</v>
      </c>
      <c r="Z29" s="23">
        <v>2</v>
      </c>
      <c r="AA29" s="24">
        <v>2</v>
      </c>
      <c r="AB29" s="23">
        <f>3+(0.25*0.16)+(0.25*0.16*3/90)</f>
        <v>3.0413333333333332</v>
      </c>
      <c r="AC29" s="24">
        <v>5</v>
      </c>
      <c r="AD29" s="23">
        <v>1</v>
      </c>
      <c r="AE29" s="10">
        <v>356</v>
      </c>
      <c r="AF29" s="10">
        <v>1977</v>
      </c>
      <c r="AG29" s="25">
        <f t="shared" ref="AG29" ca="1" si="122">(AD29+1+(LOG(I29)*4/3)+N29)*(Q29/7)^0.5</f>
        <v>1.4402274095705718</v>
      </c>
      <c r="AH29" s="25">
        <f t="shared" ref="AH29" ca="1" si="123">(AD29+1+N29+(LOG(I29)*4/3))*(IF(Q29=7, (Q29/7)^0.5, ((Q29+1)/7)^0.5))</f>
        <v>1.577690080318068</v>
      </c>
      <c r="AI29" s="137">
        <f t="shared" ref="AI29" ca="1" si="124">(Z29+N29+(LOG(I29)*4/3))*(Q29/7)^0.5</f>
        <v>1.440227409570572</v>
      </c>
      <c r="AJ29" s="137">
        <f t="shared" ref="AJ29" ca="1" si="125">(Z29+N29+(LOG(I29)*4/3))*(IF(Q29=7, (Q29/7)^0.5, ((Q29+1)/7)^0.5))</f>
        <v>1.577690080318068</v>
      </c>
      <c r="AK29" s="9">
        <f t="shared" ref="AK29" ca="1" si="126">(((Y29+LOG(I29)*4/3+N29)+(AB29+LOG(I29)*4/3+N29)*2)/8)*(Q29/7)^0.5</f>
        <v>0.97139566658541743</v>
      </c>
      <c r="AL29" s="9">
        <f t="shared" ref="AL29" ca="1" si="127">(AD29+LOG(I29)*4/3+N29)*0.7+(AC29+LOG(I29)*4/3+N29)*0.3</f>
        <v>1.904100052165278</v>
      </c>
      <c r="AM29" s="9">
        <f t="shared" ref="AM29" ca="1" si="128">(0.5*(AC29+LOG(I29)*4/3+N29)+ 0.3*(AD29+LOG(I29)*4/3+N29))/10</f>
        <v>0.25632800417322221</v>
      </c>
      <c r="AN29" s="9">
        <f t="shared" ref="AN29" ca="1" si="129">(0.4*(Y29+LOG(I29)*4/3+N29)+0.3*(AD29+LOG(I29)*4/3+N29))/10</f>
        <v>0.16928700365156948</v>
      </c>
      <c r="AO29" s="22">
        <v>1</v>
      </c>
      <c r="AP29" s="22">
        <v>2</v>
      </c>
      <c r="AQ29" s="22">
        <v>1</v>
      </c>
      <c r="AR29" s="152">
        <f t="shared" ref="AR29" si="130">IF(AP29=4,IF(AQ29=0,0.137+0.0697,0.137+0.02),IF(AP29=3,IF(AQ29=0,0.0958+0.0697,0.0958+0.02),IF(AP29=2,IF(AQ29=0,0.0415+0.0697,0.0415+0.02),IF(AP29=1,IF(AQ29=0,0.0294+0.0697,0.0294+0.02),IF(AP29=0,IF(AQ29=0,0.0063+0.0697,0.0063+0.02))))))</f>
        <v>6.1499999999999999E-2</v>
      </c>
      <c r="AS29">
        <v>520</v>
      </c>
    </row>
    <row r="30" spans="1:45" x14ac:dyDescent="0.25">
      <c r="A30" s="16" t="s">
        <v>440</v>
      </c>
      <c r="B30" s="16" t="s">
        <v>44</v>
      </c>
      <c r="C30" s="138">
        <f t="shared" ref="C30" ca="1" si="131">((33*112)-(E30*112)-(F30))/112</f>
        <v>15.848214285714286</v>
      </c>
      <c r="D30" s="31" t="s">
        <v>433</v>
      </c>
      <c r="E30" s="18">
        <v>17</v>
      </c>
      <c r="F30" s="3">
        <f ca="1">8-159+16-570-5+D2-D1-2-12-49+9-11+44-40</f>
        <v>17</v>
      </c>
      <c r="G30" s="20" t="s">
        <v>200</v>
      </c>
      <c r="H30" s="5">
        <v>3</v>
      </c>
      <c r="I30" s="30">
        <v>1</v>
      </c>
      <c r="J30" s="24">
        <f t="shared" ref="J30" si="132">LOG(I30)*4/3</f>
        <v>0</v>
      </c>
      <c r="K30" s="7">
        <f t="shared" ref="K30" si="133">(H30)*(H30)*(I30)</f>
        <v>9</v>
      </c>
      <c r="L30" s="7">
        <f t="shared" ref="L30" si="134">(H30+1)*(H30+1)*I30</f>
        <v>16</v>
      </c>
      <c r="M30" s="153">
        <v>43046</v>
      </c>
      <c r="N30" s="154">
        <f t="shared" ref="N30" ca="1" si="135">IF((TODAY()-M30)&gt;335,1,((TODAY()-M30)^0.64)/(336^0.64))</f>
        <v>0.10547337971725297</v>
      </c>
      <c r="O30" s="21">
        <v>4.2</v>
      </c>
      <c r="P30" s="22">
        <f t="shared" ref="P30" si="136">O30*10+19</f>
        <v>61</v>
      </c>
      <c r="Q30" s="28">
        <v>6</v>
      </c>
      <c r="R30" s="132">
        <f t="shared" ref="R30" si="137">(Q30/7)^0.5</f>
        <v>0.92582009977255142</v>
      </c>
      <c r="S30" s="132">
        <f t="shared" ref="S30" si="138">IF(Q30=7,1,((Q30+0.99)/7)^0.5)</f>
        <v>0.99928545900129484</v>
      </c>
      <c r="T30" s="32">
        <v>540</v>
      </c>
      <c r="U30" s="32">
        <f t="shared" ref="U30" si="139">T30-AS30</f>
        <v>50</v>
      </c>
      <c r="V30" s="32">
        <v>250</v>
      </c>
      <c r="W30" s="9">
        <f t="shared" ref="W30" si="140">T30/V30</f>
        <v>2.16</v>
      </c>
      <c r="X30" s="23">
        <v>0</v>
      </c>
      <c r="Y30" s="24">
        <v>4</v>
      </c>
      <c r="Z30" s="23">
        <v>4</v>
      </c>
      <c r="AA30" s="24">
        <v>3</v>
      </c>
      <c r="AB30" s="23">
        <f>4+0.25+(0.25*0.16*3/90)</f>
        <v>4.2513333333333332</v>
      </c>
      <c r="AC30" s="24">
        <v>3</v>
      </c>
      <c r="AD30" s="23">
        <v>0</v>
      </c>
      <c r="AE30" s="10">
        <v>360</v>
      </c>
      <c r="AF30" s="10">
        <v>1991</v>
      </c>
      <c r="AG30" s="25">
        <f t="shared" ref="AG30" ca="1" si="141">(AD30+1+(LOG(I30)*4/3)+N30)*(Q30/7)^0.5</f>
        <v>1.0234694747057267</v>
      </c>
      <c r="AH30" s="25">
        <f t="shared" ref="AH30" ca="1" si="142">(AD30+1+N30+(LOG(I30)*4/3))*(IF(Q30=7, (Q30/7)^0.5, ((Q30+1)/7)^0.5))</f>
        <v>1.1054733797172529</v>
      </c>
      <c r="AI30" s="137">
        <f t="shared" ref="AI30" ca="1" si="143">(Z30+N30+(LOG(I30)*4/3))*(Q30/7)^0.5</f>
        <v>3.8009297740233809</v>
      </c>
      <c r="AJ30" s="137">
        <f t="shared" ref="AJ30" ca="1" si="144">(Z30+N30+(LOG(I30)*4/3))*(IF(Q30=7, (Q30/7)^0.5, ((Q30+1)/7)^0.5))</f>
        <v>4.1054733797172531</v>
      </c>
      <c r="AK30" s="9">
        <f t="shared" ref="AK30" ca="1" si="145">(((Y30+LOG(I30)*4/3+N30)+(AB30+LOG(I30)*4/3+N30)*2)/8)*(Q30/7)^0.5</f>
        <v>1.4835210281944766</v>
      </c>
      <c r="AL30" s="9">
        <f t="shared" ref="AL30" ca="1" si="146">(AD30+LOG(I30)*4/3+N30)*0.7+(AC30+LOG(I30)*4/3+N30)*0.3</f>
        <v>1.005473379717253</v>
      </c>
      <c r="AM30" s="9">
        <f t="shared" ref="AM30" ca="1" si="147">(0.5*(AC30+LOG(I30)*4/3+N30)+ 0.3*(AD30+LOG(I30)*4/3+N30))/10</f>
        <v>0.15843787037738025</v>
      </c>
      <c r="AN30" s="9">
        <f t="shared" ref="AN30" ca="1" si="148">(0.4*(Y30+LOG(I30)*4/3+N30)+0.3*(AD30+LOG(I30)*4/3+N30))/10</f>
        <v>0.1673831365802077</v>
      </c>
      <c r="AO30" s="22">
        <v>1</v>
      </c>
      <c r="AP30" s="22">
        <v>1</v>
      </c>
      <c r="AQ30" s="22">
        <v>3</v>
      </c>
      <c r="AR30" s="152">
        <f t="shared" ref="AR30" si="149">IF(AP30=4,IF(AQ30=0,0.137+0.0697,0.137+0.02),IF(AP30=3,IF(AQ30=0,0.0958+0.0697,0.0958+0.02),IF(AP30=2,IF(AQ30=0,0.0415+0.0697,0.0415+0.02),IF(AP30=1,IF(AQ30=0,0.0294+0.0697,0.0294+0.02),IF(AP30=0,IF(AQ30=0,0.0063+0.0697,0.0063+0.02))))))</f>
        <v>4.9399999999999999E-2</v>
      </c>
      <c r="AS30">
        <v>490</v>
      </c>
    </row>
    <row r="31" spans="1:45" x14ac:dyDescent="0.25">
      <c r="A31" s="16" t="s">
        <v>441</v>
      </c>
      <c r="B31" s="16" t="s">
        <v>99</v>
      </c>
      <c r="C31" s="138">
        <f t="shared" ref="C31" ca="1" si="150">((33*112)-(E31*112)-(F31))/112</f>
        <v>15.866071428571429</v>
      </c>
      <c r="D31" s="31" t="s">
        <v>428</v>
      </c>
      <c r="E31" s="18">
        <v>17</v>
      </c>
      <c r="F31" s="3">
        <f ca="1">8-159+16-570-5+D2-D1-2-12-49</f>
        <v>15</v>
      </c>
      <c r="G31" s="20" t="s">
        <v>200</v>
      </c>
      <c r="H31" s="5">
        <v>3</v>
      </c>
      <c r="I31" s="30">
        <v>0.5</v>
      </c>
      <c r="J31" s="24">
        <f t="shared" ref="J31" si="151">LOG(I31)*4/3</f>
        <v>-0.40137332755197491</v>
      </c>
      <c r="K31" s="7">
        <f t="shared" ref="K31" si="152">(H31)*(H31)*(I31)</f>
        <v>4.5</v>
      </c>
      <c r="L31" s="7">
        <f t="shared" ref="L31" si="153">(H31+1)*(H31+1)*I31</f>
        <v>8</v>
      </c>
      <c r="M31" s="153">
        <v>43046</v>
      </c>
      <c r="N31" s="154">
        <f t="shared" ref="N31" ca="1" si="154">IF((TODAY()-M31)&gt;335,1,((TODAY()-M31)^0.64)/(336^0.64))</f>
        <v>0.10547337971725297</v>
      </c>
      <c r="O31" s="21">
        <v>4.2</v>
      </c>
      <c r="P31" s="22">
        <f t="shared" ref="P31" si="155">O31*10+19</f>
        <v>61</v>
      </c>
      <c r="Q31" s="28">
        <v>5</v>
      </c>
      <c r="R31" s="132">
        <f t="shared" ref="R31" si="156">(Q31/7)^0.5</f>
        <v>0.84515425472851657</v>
      </c>
      <c r="S31" s="132">
        <f t="shared" ref="S31" si="157">IF(Q31=7,1,((Q31+0.99)/7)^0.5)</f>
        <v>0.92504826128926143</v>
      </c>
      <c r="T31" s="32">
        <v>610</v>
      </c>
      <c r="U31" s="32">
        <f t="shared" ref="U31" si="158">T31-AS31</f>
        <v>130</v>
      </c>
      <c r="V31" s="32">
        <v>270</v>
      </c>
      <c r="W31" s="9">
        <f t="shared" ref="W31" si="159">T31/V31</f>
        <v>2.2592592592592591</v>
      </c>
      <c r="X31" s="23">
        <v>0</v>
      </c>
      <c r="Y31" s="24">
        <v>3</v>
      </c>
      <c r="Z31" s="23">
        <v>4</v>
      </c>
      <c r="AA31" s="24">
        <v>4</v>
      </c>
      <c r="AB31" s="23">
        <f>3+(0.25*0.16*31/90)+(0.25*0.16*3/90)</f>
        <v>3.0151111111111111</v>
      </c>
      <c r="AC31" s="24">
        <v>4</v>
      </c>
      <c r="AD31" s="23">
        <v>1</v>
      </c>
      <c r="AE31" s="10">
        <v>352</v>
      </c>
      <c r="AF31" s="10">
        <v>1986</v>
      </c>
      <c r="AG31" s="25">
        <f t="shared" ref="AG31" ca="1" si="160">(AD31+1+(LOG(I31)*4/3)+N31)*(Q31/7)^0.5</f>
        <v>1.4402274095705718</v>
      </c>
      <c r="AH31" s="25">
        <f t="shared" ref="AH31" ca="1" si="161">(AD31+1+N31+(LOG(I31)*4/3))*(IF(Q31=7, (Q31/7)^0.5, ((Q31+1)/7)^0.5))</f>
        <v>1.577690080318068</v>
      </c>
      <c r="AI31" s="137">
        <f t="shared" ref="AI31" ca="1" si="162">(Z31+N31+(LOG(I31)*4/3))*(Q31/7)^0.5</f>
        <v>3.1305359190276052</v>
      </c>
      <c r="AJ31" s="137">
        <f t="shared" ref="AJ31" ca="1" si="163">(Z31+N31+(LOG(I31)*4/3))*(IF(Q31=7, (Q31/7)^0.5, ((Q31+1)/7)^0.5))</f>
        <v>3.4293302798631706</v>
      </c>
      <c r="AK31" s="9">
        <f t="shared" ref="AK31" ca="1" si="164">(((Y31+LOG(I31)*4/3+N31)+(AB31+LOG(I31)*4/3+N31)*2)/8)*(Q31/7)^0.5</f>
        <v>0.86021092907446595</v>
      </c>
      <c r="AL31" s="9">
        <f t="shared" ref="AL31" ca="1" si="165">(AD31+LOG(I31)*4/3+N31)*0.7+(AC31+LOG(I31)*4/3+N31)*0.3</f>
        <v>1.604100052165278</v>
      </c>
      <c r="AM31" s="9">
        <f t="shared" ref="AM31" ca="1" si="166">(0.5*(AC31+LOG(I31)*4/3+N31)+ 0.3*(AD31+LOG(I31)*4/3+N31))/10</f>
        <v>0.20632800417322228</v>
      </c>
      <c r="AN31" s="9">
        <f t="shared" ref="AN31" ca="1" si="167">(0.4*(Y31+LOG(I31)*4/3+N31)+0.3*(AD31+LOG(I31)*4/3+N31))/10</f>
        <v>0.12928700365156948</v>
      </c>
      <c r="AO31" s="22">
        <v>1</v>
      </c>
      <c r="AP31" s="22">
        <v>3</v>
      </c>
      <c r="AQ31" s="22">
        <v>1</v>
      </c>
      <c r="AR31" s="152">
        <f t="shared" ref="AR31" si="168">IF(AP31=4,IF(AQ31=0,0.137+0.0697,0.137+0.02),IF(AP31=3,IF(AQ31=0,0.0958+0.0697,0.0958+0.02),IF(AP31=2,IF(AQ31=0,0.0415+0.0697,0.0415+0.02),IF(AP31=1,IF(AQ31=0,0.0294+0.0697,0.0294+0.02),IF(AP31=0,IF(AQ31=0,0.0063+0.0697,0.0063+0.02))))))</f>
        <v>0.1158</v>
      </c>
      <c r="AS31">
        <v>480</v>
      </c>
    </row>
    <row r="32" spans="1:45" x14ac:dyDescent="0.25">
      <c r="A32" s="16"/>
      <c r="B32" s="16"/>
      <c r="C32" s="138"/>
      <c r="D32" s="31" t="s">
        <v>206</v>
      </c>
      <c r="E32" s="18"/>
      <c r="F32" s="19"/>
      <c r="G32" s="20"/>
      <c r="H32" s="5"/>
      <c r="I32" s="30"/>
      <c r="J32" s="24"/>
      <c r="K32" s="7"/>
      <c r="L32" s="7"/>
      <c r="M32" s="153"/>
      <c r="N32" s="154"/>
      <c r="O32" s="21"/>
      <c r="P32" s="22"/>
      <c r="Q32" s="22"/>
      <c r="R32" s="132"/>
      <c r="S32" s="132"/>
      <c r="T32" s="32"/>
      <c r="U32" s="32"/>
      <c r="V32" s="32"/>
      <c r="W32" s="9"/>
      <c r="X32" s="23"/>
      <c r="Y32" s="24"/>
      <c r="Z32" s="23"/>
      <c r="AA32" s="24"/>
      <c r="AB32" s="23"/>
      <c r="AC32" s="24"/>
      <c r="AD32" s="23"/>
      <c r="AE32" s="10"/>
      <c r="AF32" s="10"/>
      <c r="AG32" s="25"/>
      <c r="AH32" s="25"/>
      <c r="AI32" s="137"/>
      <c r="AJ32" s="137"/>
      <c r="AK32" s="9"/>
      <c r="AL32" s="9"/>
      <c r="AM32" s="9"/>
      <c r="AN32" s="9"/>
      <c r="AO32" s="22">
        <v>0</v>
      </c>
      <c r="AP32" s="22">
        <v>4</v>
      </c>
      <c r="AQ32" s="22">
        <v>0</v>
      </c>
      <c r="AR32" s="152">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38" priority="37" operator="lessThan">
      <formula>6</formula>
    </cfRule>
  </conditionalFormatting>
  <conditionalFormatting sqref="N4:N32">
    <cfRule type="cellIs" dxfId="37" priority="36" operator="lessThan">
      <formula>0.75</formula>
    </cfRule>
  </conditionalFormatting>
  <conditionalFormatting sqref="P4:P32">
    <cfRule type="cellIs" dxfId="36" priority="34" operator="greaterThan">
      <formula>90</formula>
    </cfRule>
    <cfRule type="cellIs" dxfId="35"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27"/>
  <sheetViews>
    <sheetView workbookViewId="0">
      <pane xSplit="8" ySplit="2" topLeftCell="I3" activePane="bottomRight" state="frozen"/>
      <selection pane="topRight" activeCell="I1" sqref="I1"/>
      <selection pane="bottomLeft" activeCell="A3" sqref="A3"/>
      <selection pane="bottomRight" activeCell="V4" sqref="V4"/>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21</v>
      </c>
      <c r="D3" s="69">
        <f>PLANTILLA!G4</f>
        <v>0</v>
      </c>
      <c r="E3" s="49">
        <v>42200</v>
      </c>
      <c r="F3" s="51">
        <f>PLANTILLA!Q4</f>
        <v>7</v>
      </c>
      <c r="G3" s="52">
        <f>(F3/7)^0.5</f>
        <v>1</v>
      </c>
      <c r="H3" s="52">
        <f>IF(F3=7,1,((F3+0.99)/7)^0.5)</f>
        <v>1</v>
      </c>
      <c r="I3" s="55">
        <f ca="1">IF(TODAY()-E3&gt;335,1,((TODAY()-E3)^0.5)/336^0.5)</f>
        <v>1</v>
      </c>
      <c r="J3" s="42">
        <f>PLANTILLA!I4</f>
        <v>10.6</v>
      </c>
      <c r="K3" s="50">
        <f>PLANTILLA!X4</f>
        <v>14</v>
      </c>
      <c r="L3" s="50">
        <f>PLANTILLA!Y4</f>
        <v>11.066666666666666</v>
      </c>
      <c r="M3" s="50">
        <f>PLANTILLA!Z4</f>
        <v>0.17999999999999997</v>
      </c>
      <c r="N3" s="50">
        <f>PLANTILLA!AA4</f>
        <v>0.01</v>
      </c>
      <c r="O3" s="50">
        <f>PLANTILLA!AB4</f>
        <v>2.3299999999999996</v>
      </c>
      <c r="P3" s="50">
        <f>PLANTILLA!AC4</f>
        <v>1.8100000000000005</v>
      </c>
      <c r="Q3" s="50">
        <f>PLANTILLA!AD4</f>
        <v>19.149999999999999</v>
      </c>
      <c r="R3" s="50">
        <f>((2*(O3+1))+(L3+1))/8</f>
        <v>2.3408333333333333</v>
      </c>
      <c r="S3" s="50">
        <f>(0.5*P3+ 0.3*Q3)/10</f>
        <v>0.66499999999999992</v>
      </c>
      <c r="T3" s="50">
        <f>(0.4*L3+0.3*Q3)/10</f>
        <v>1.0171666666666668</v>
      </c>
      <c r="U3" s="50">
        <f t="shared" ref="U3" ca="1" si="0">IF(TODAY()-E3&gt;335,(Q3+1+(LOG(J3)*4/3))*(F3/7)^0.5,(Q3+((TODAY()-E3)^0.5)/(336^0.5)+(LOG(J3)*4/3))*(F3/7)^0.5)</f>
        <v>21.517074487019691</v>
      </c>
      <c r="V3" s="50">
        <f t="shared" ref="V3" ca="1" si="1">IF(F3=7,U3,IF(TODAY()-E3&gt;335,(Q3+1+(LOG(J3)*4/3))*((F3+0.99)/7)^0.5,(Q3+((TODAY()-E3)^0.5)/(336^0.5)+(LOG(J3)*4/3))*((F3+0.99)/7)^0.5))</f>
        <v>21.517074487019691</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31</v>
      </c>
      <c r="C4" s="36">
        <f ca="1">PLANTILLA!F5</f>
        <v>103</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15.333333333333332</v>
      </c>
      <c r="R4" s="50">
        <f t="shared" ref="R4:R7" si="7">((2*(O4+1))+(L4+1))/8</f>
        <v>3.8874999999999997</v>
      </c>
      <c r="S4" s="50">
        <f t="shared" ref="S4:S7" si="8">(0.5*P4+ 0.3*Q4)/10</f>
        <v>0.5605</v>
      </c>
      <c r="T4" s="50">
        <f t="shared" ref="T4:T7" si="9">(0.4*L4+0.3*Q4)/10</f>
        <v>1.02</v>
      </c>
      <c r="U4" s="50">
        <f t="shared" ref="U4:U7" ca="1" si="10">IF(TODAY()-E4&gt;335,(Q4+1+(LOG(J4)*4/3))*(F4/7)^0.5,(Q4+((TODAY()-E4)^0.5)/(336^0.5)+(LOG(J4)*4/3))*(F4/7)^0.5)</f>
        <v>14.916151933447042</v>
      </c>
      <c r="V4" s="50">
        <f t="shared" ref="V4:V7" ca="1" si="11">IF(F4=7,U4,IF(TODAY()-E4&gt;335,(Q4+1+(LOG(J4)*4/3))*((F4+0.99)/7)^0.5,(Q4+((TODAY()-E4)^0.5)/(336^0.5)+(LOG(J4)*4/3))*((F4+0.99)/7)^0.5))</f>
        <v>16.326203570487774</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81</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v>
      </c>
      <c r="R5" s="50">
        <f t="shared" si="7"/>
        <v>4.2662499999999994</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95</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8</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60</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14.399999999999999</v>
      </c>
      <c r="R8" s="50">
        <f t="shared" ref="R8:R16" si="75">((2*(O8+1))+(L8+1))/8</f>
        <v>4.0492857142857144</v>
      </c>
      <c r="S8" s="50">
        <f t="shared" ref="S8:S16" si="76">(0.5*P8+ 0.3*Q8)/10</f>
        <v>0.63149999999999995</v>
      </c>
      <c r="T8" s="50">
        <f t="shared" ref="T8:T16" si="77">(0.4*L8+0.3*Q8)/10</f>
        <v>1.0331428571428571</v>
      </c>
      <c r="U8" s="50">
        <f t="shared" ref="U8:U16" ca="1" si="78">IF(TODAY()-E8&gt;335,(Q8+1+(LOG(J8)*4/3))*(F8/7)^0.5,(Q8+((TODAY()-E8)^0.5)/(336^0.5)+(LOG(J8)*4/3))*(F8/7)^0.5)</f>
        <v>12.686933394230694</v>
      </c>
      <c r="V8" s="50">
        <f t="shared" ref="V8:V16" ca="1" si="79">IF(F8=7,U8,IF(TODAY()-E8&gt;335,(Q8+1+(LOG(J8)*4/3))*((F8+0.99)/7)^0.5,(Q8+((TODAY()-E8)^0.5)/(336^0.5)+(LOG(J8)*4/3))*((F8+0.99)/7)^0.5))</f>
        <v>14.170231225695767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12</v>
      </c>
      <c r="D9" s="69" t="str">
        <f>PLANTILLA!G11</f>
        <v>RAP</v>
      </c>
      <c r="E9" s="33">
        <v>42334</v>
      </c>
      <c r="F9" s="51">
        <f>PLANTILLA!Q11</f>
        <v>5</v>
      </c>
      <c r="G9" s="52">
        <f t="shared" si="73"/>
        <v>0.84515425472851657</v>
      </c>
      <c r="H9" s="52">
        <f t="shared" si="74"/>
        <v>0.92504826128926143</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15.333333333333332</v>
      </c>
      <c r="R9" s="50">
        <f t="shared" si="75"/>
        <v>4.1242763772175532</v>
      </c>
      <c r="S9" s="50">
        <f t="shared" si="76"/>
        <v>0.63049999999999995</v>
      </c>
      <c r="T9" s="50">
        <f t="shared" si="77"/>
        <v>0.66078431372549018</v>
      </c>
      <c r="U9" s="50">
        <f t="shared" ca="1" si="78"/>
        <v>14.954936135222022</v>
      </c>
      <c r="V9" s="50">
        <f t="shared" ca="1" si="79"/>
        <v>16.368654115127061</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76</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5.5</v>
      </c>
      <c r="R10" s="50">
        <f t="shared" si="75"/>
        <v>3.0249999999999995</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32</v>
      </c>
      <c r="C11" s="36">
        <f ca="1">PLANTILLA!F14</f>
        <v>101</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3.0399999999999996</v>
      </c>
      <c r="Q11" s="50">
        <f>PLANTILLA!AD14</f>
        <v>10</v>
      </c>
      <c r="R11" s="50">
        <f t="shared" si="75"/>
        <v>3.2387962962962962</v>
      </c>
      <c r="S11" s="50">
        <f t="shared" si="76"/>
        <v>0.45199999999999996</v>
      </c>
      <c r="T11" s="50">
        <f t="shared" si="77"/>
        <v>0.3414814814814815</v>
      </c>
      <c r="U11" s="50">
        <f t="shared" ca="1" si="78"/>
        <v>9.3317918259283559</v>
      </c>
      <c r="V11" s="50">
        <f t="shared" ca="1" si="79"/>
        <v>10.422821955035641</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2.5253464671016554</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5.659788259521088</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6.3663142526506107</v>
      </c>
      <c r="BZ11" s="40">
        <f t="shared" ca="1" si="135"/>
        <v>10.351175057871892</v>
      </c>
      <c r="CA11" s="40">
        <f t="shared" ca="1" si="136"/>
        <v>6.3663142526506107</v>
      </c>
      <c r="CB11" s="40">
        <f t="shared" ca="1" si="137"/>
        <v>6.9111498019361575</v>
      </c>
      <c r="CC11" s="40">
        <f t="shared" ca="1" si="138"/>
        <v>10.285661513522752</v>
      </c>
      <c r="CD11" s="40">
        <f t="shared" ca="1" si="139"/>
        <v>6.9111498019361575</v>
      </c>
      <c r="CE11" s="40">
        <f t="shared" ca="1" si="140"/>
        <v>3.8939273299812451</v>
      </c>
    </row>
    <row r="12" spans="1:83" x14ac:dyDescent="0.25">
      <c r="A12" t="str">
        <f>PLANTILLA!D15</f>
        <v>Gianfranco Rezza</v>
      </c>
      <c r="B12">
        <f>PLANTILLA!E15</f>
        <v>30</v>
      </c>
      <c r="C12" s="36">
        <f ca="1">PLANTILLA!F15</f>
        <v>3</v>
      </c>
      <c r="D12" s="69" t="str">
        <f>PLANTILLA!G15</f>
        <v>CAB</v>
      </c>
      <c r="E12" s="33">
        <v>42337</v>
      </c>
      <c r="F12" s="51">
        <f>PLANTILLA!Q15</f>
        <v>5</v>
      </c>
      <c r="G12" s="52">
        <f t="shared" si="73"/>
        <v>0.84515425472851657</v>
      </c>
      <c r="H12" s="52">
        <f t="shared" si="74"/>
        <v>0.92504826128926143</v>
      </c>
      <c r="I12" s="55">
        <f t="shared" ca="1" si="6"/>
        <v>1</v>
      </c>
      <c r="J12" s="42">
        <f>PLANTILLA!I15</f>
        <v>9.3000000000000007</v>
      </c>
      <c r="K12" s="50">
        <f>PLANTILLA!X15</f>
        <v>0</v>
      </c>
      <c r="L12" s="50">
        <f>PLANTILLA!Y15</f>
        <v>2</v>
      </c>
      <c r="M12" s="50">
        <f>PLANTILLA!Z15</f>
        <v>14.066666666666666</v>
      </c>
      <c r="N12" s="50">
        <f>PLANTILLA!AA15</f>
        <v>2.125</v>
      </c>
      <c r="O12" s="50">
        <f>PLANTILLA!AB15</f>
        <v>14.460000000000004</v>
      </c>
      <c r="P12" s="50">
        <f>PLANTILLA!AC15</f>
        <v>8.1057777777777762</v>
      </c>
      <c r="Q12" s="50">
        <f>PLANTILLA!AD15</f>
        <v>14</v>
      </c>
      <c r="R12" s="50">
        <f t="shared" si="75"/>
        <v>4.2400000000000011</v>
      </c>
      <c r="S12" s="50">
        <f t="shared" si="76"/>
        <v>0.82528888888888885</v>
      </c>
      <c r="T12" s="50">
        <f t="shared" si="77"/>
        <v>0.5</v>
      </c>
      <c r="U12" s="50">
        <f t="shared" ca="1" si="78"/>
        <v>13.768670467064251</v>
      </c>
      <c r="V12" s="50">
        <f t="shared" ca="1" si="79"/>
        <v>15.070248542869741</v>
      </c>
      <c r="W12" s="40">
        <f t="shared" ca="1" si="80"/>
        <v>2.5523141521167805</v>
      </c>
      <c r="X12" s="40">
        <f t="shared" ca="1" si="81"/>
        <v>3.8080819821108403</v>
      </c>
      <c r="Y12" s="40">
        <f t="shared" ca="1" si="82"/>
        <v>2.5523141521167805</v>
      </c>
      <c r="Z12" s="40">
        <f t="shared" ca="1" si="83"/>
        <v>2.2143162686051072</v>
      </c>
      <c r="AA12" s="40">
        <f t="shared" ca="1" si="84"/>
        <v>4.2913105980719131</v>
      </c>
      <c r="AB12" s="40">
        <f t="shared" ca="1" si="85"/>
        <v>1.1071581343025536</v>
      </c>
      <c r="AC12" s="40">
        <f t="shared" ca="1" si="86"/>
        <v>3.8931985890077816</v>
      </c>
      <c r="AD12" s="40">
        <f t="shared" ca="1" si="87"/>
        <v>1.6221154060711831</v>
      </c>
      <c r="AE12" s="40">
        <f t="shared" ca="1" si="88"/>
        <v>3.1026175624059928</v>
      </c>
      <c r="AF12" s="40">
        <f t="shared" ca="1" si="89"/>
        <v>0.81105770303559155</v>
      </c>
      <c r="AG12" s="40">
        <f t="shared" ca="1" si="90"/>
        <v>6.2978212469243529</v>
      </c>
      <c r="AH12" s="40">
        <f t="shared" ca="1" si="91"/>
        <v>3.9480057502261601</v>
      </c>
      <c r="AI12" s="40">
        <f t="shared" ca="1" si="92"/>
        <v>1.7766025876017719</v>
      </c>
      <c r="AJ12" s="40">
        <f t="shared" ca="1" si="93"/>
        <v>2.7317822032113428</v>
      </c>
      <c r="AK12" s="40">
        <f t="shared" ca="1" si="94"/>
        <v>2.5967906316662845</v>
      </c>
      <c r="AL12" s="40">
        <f t="shared" ca="1" si="95"/>
        <v>3.2356481909462222</v>
      </c>
      <c r="AM12" s="40">
        <f t="shared" ca="1" si="96"/>
        <v>3.0382479034349141</v>
      </c>
      <c r="AN12" s="40">
        <f t="shared" ca="1" si="97"/>
        <v>2.7206488698780098</v>
      </c>
      <c r="AO12" s="40">
        <f t="shared" ca="1" si="98"/>
        <v>1.8810174522447114</v>
      </c>
      <c r="AP12" s="40">
        <f t="shared" ca="1" si="99"/>
        <v>1.1586538614794166</v>
      </c>
      <c r="AQ12" s="40">
        <f t="shared" ca="1" si="100"/>
        <v>2.5490384952547163</v>
      </c>
      <c r="AR12" s="40">
        <f t="shared" ca="1" si="101"/>
        <v>0.57932693073970831</v>
      </c>
      <c r="AS12" s="40">
        <f t="shared" ca="1" si="102"/>
        <v>15.441930537913219</v>
      </c>
      <c r="AT12" s="40">
        <f t="shared" ca="1" si="103"/>
        <v>2.1776703777493491</v>
      </c>
      <c r="AU12" s="40">
        <f t="shared" ca="1" si="104"/>
        <v>3.8088535607906264</v>
      </c>
      <c r="AV12" s="40">
        <f t="shared" ca="1" si="105"/>
        <v>1.0888351888746746</v>
      </c>
      <c r="AW12" s="40">
        <f t="shared" ca="1" si="106"/>
        <v>0.81105770303559155</v>
      </c>
      <c r="AX12" s="40">
        <f t="shared" ca="1" si="107"/>
        <v>1.7165242392287654</v>
      </c>
      <c r="AY12" s="40">
        <f t="shared" ca="1" si="108"/>
        <v>0.40552885151779577</v>
      </c>
      <c r="AZ12" s="40">
        <f t="shared" ca="1" si="109"/>
        <v>16.357977264738579</v>
      </c>
      <c r="BA12" s="40">
        <f t="shared" ca="1" si="110"/>
        <v>4.238081581312195</v>
      </c>
      <c r="BB12" s="40">
        <f t="shared" ca="1" si="111"/>
        <v>7.8955854728709589</v>
      </c>
      <c r="BC12" s="40">
        <f t="shared" ca="1" si="112"/>
        <v>2.1190407906560975</v>
      </c>
      <c r="BD12" s="40">
        <f t="shared" ca="1" si="113"/>
        <v>1.2487713840389265</v>
      </c>
      <c r="BE12" s="40">
        <f t="shared" ca="1" si="114"/>
        <v>1.4933760881290257</v>
      </c>
      <c r="BF12" s="40">
        <f t="shared" ca="1" si="115"/>
        <v>14.411377970234689</v>
      </c>
      <c r="BG12" s="40">
        <f t="shared" ca="1" si="116"/>
        <v>7.8116251216859318</v>
      </c>
      <c r="BH12" s="40">
        <f t="shared" ca="1" si="117"/>
        <v>4.0370658541353324</v>
      </c>
      <c r="BI12" s="40">
        <f t="shared" ca="1" si="118"/>
        <v>2.0812856400648778</v>
      </c>
      <c r="BJ12" s="40">
        <f t="shared" ca="1" si="119"/>
        <v>1.132905997890985</v>
      </c>
      <c r="BK12" s="40">
        <f t="shared" ca="1" si="120"/>
        <v>6.2323893378653992</v>
      </c>
      <c r="BL12" s="40">
        <f t="shared" ca="1" si="121"/>
        <v>6.3391904627148534</v>
      </c>
      <c r="BM12" s="40">
        <f t="shared" ca="1" si="122"/>
        <v>0.87106815109973967</v>
      </c>
      <c r="BN12" s="40">
        <f t="shared" ca="1" si="123"/>
        <v>0.77243590765294434</v>
      </c>
      <c r="BO12" s="40">
        <f t="shared" ca="1" si="124"/>
        <v>0.29180912066889009</v>
      </c>
      <c r="BP12" s="40">
        <f t="shared" ca="1" si="125"/>
        <v>4.9891830657452667</v>
      </c>
      <c r="BQ12" s="40">
        <f t="shared" ca="1" si="126"/>
        <v>9.2071854291204822</v>
      </c>
      <c r="BR12" s="40">
        <f t="shared" ca="1" si="127"/>
        <v>2.261426930739709</v>
      </c>
      <c r="BS12" s="40">
        <f t="shared" ca="1" si="128"/>
        <v>1.2187322098524231</v>
      </c>
      <c r="BT12" s="40">
        <f t="shared" ca="1" si="129"/>
        <v>1.0470797859295469</v>
      </c>
      <c r="BU12" s="40">
        <f t="shared" ca="1" si="130"/>
        <v>10.321883654050044</v>
      </c>
      <c r="BV12" s="40">
        <f t="shared" ca="1" si="131"/>
        <v>6.3332529852743633</v>
      </c>
      <c r="BW12" s="40">
        <f t="shared" ca="1" si="132"/>
        <v>2.4791939685146436</v>
      </c>
      <c r="BX12" s="40">
        <f t="shared" ca="1" si="133"/>
        <v>6.6413387694838635</v>
      </c>
      <c r="BY12" s="40">
        <f t="shared" ca="1" si="134"/>
        <v>6.1442065993732449</v>
      </c>
      <c r="BZ12" s="40">
        <f t="shared" ca="1" si="135"/>
        <v>15.157464177873422</v>
      </c>
      <c r="CA12" s="40">
        <f t="shared" ca="1" si="136"/>
        <v>6.1442065993732449</v>
      </c>
      <c r="CB12" s="40">
        <f t="shared" ca="1" si="137"/>
        <v>6.0579337248210248</v>
      </c>
      <c r="CC12" s="40">
        <f t="shared" ca="1" si="138"/>
        <v>16.578321986538228</v>
      </c>
      <c r="CD12" s="40">
        <f t="shared" ca="1" si="139"/>
        <v>6.0579337248210248</v>
      </c>
      <c r="CE12" s="40">
        <f t="shared" ca="1" si="140"/>
        <v>4.0894943161846449</v>
      </c>
    </row>
    <row r="13" spans="1:83" x14ac:dyDescent="0.25">
      <c r="A13" t="str">
        <f>PLANTILLA!D16</f>
        <v>Saul Piña</v>
      </c>
      <c r="B13">
        <f>PLANTILLA!E16</f>
        <v>29</v>
      </c>
      <c r="C13" s="36">
        <f ca="1">PLANTILLA!F16</f>
        <v>66</v>
      </c>
      <c r="D13" s="69" t="str">
        <f>PLANTILLA!G16</f>
        <v>TEC</v>
      </c>
      <c r="E13" s="33">
        <v>42338</v>
      </c>
      <c r="F13" s="51">
        <f>PLANTILLA!Q16</f>
        <v>7</v>
      </c>
      <c r="G13" s="52">
        <f t="shared" si="73"/>
        <v>1</v>
      </c>
      <c r="H13" s="52">
        <f t="shared" si="74"/>
        <v>1</v>
      </c>
      <c r="I13" s="55">
        <f t="shared" ca="1" si="6"/>
        <v>1</v>
      </c>
      <c r="J13" s="42">
        <f>PLANTILLA!I16</f>
        <v>8.4</v>
      </c>
      <c r="K13" s="50">
        <f>PLANTILLA!X16</f>
        <v>0</v>
      </c>
      <c r="L13" s="50">
        <f>PLANTILLA!Y16</f>
        <v>2.2000000000000002</v>
      </c>
      <c r="M13" s="50">
        <f>PLANTILLA!Z16</f>
        <v>14.399999999999999</v>
      </c>
      <c r="N13" s="50">
        <f>PLANTILLA!AA16</f>
        <v>1.33</v>
      </c>
      <c r="O13" s="50">
        <f>PLANTILLA!AB16</f>
        <v>14.142888888888882</v>
      </c>
      <c r="P13" s="50">
        <f>PLANTILLA!AC16</f>
        <v>9.3399999999999981</v>
      </c>
      <c r="Q13" s="50">
        <f>PLANTILLA!AD16</f>
        <v>15.2</v>
      </c>
      <c r="R13" s="50">
        <f t="shared" si="75"/>
        <v>4.1857222222222203</v>
      </c>
      <c r="S13" s="50">
        <f t="shared" si="76"/>
        <v>0.92299999999999982</v>
      </c>
      <c r="T13" s="50">
        <f t="shared" si="77"/>
        <v>0.54399999999999993</v>
      </c>
      <c r="U13" s="50">
        <f t="shared" ca="1" si="78"/>
        <v>17.432372381415842</v>
      </c>
      <c r="V13" s="50">
        <f t="shared" ca="1" si="79"/>
        <v>17.432372381415842</v>
      </c>
      <c r="W13" s="40">
        <f t="shared" ca="1" si="80"/>
        <v>2.5560610889760302</v>
      </c>
      <c r="X13" s="40">
        <f t="shared" ca="1" si="81"/>
        <v>3.8169927444078522</v>
      </c>
      <c r="Y13" s="40">
        <f t="shared" ca="1" si="82"/>
        <v>2.5560610889760302</v>
      </c>
      <c r="Z13" s="40">
        <f t="shared" ca="1" si="83"/>
        <v>2.2871041488105743</v>
      </c>
      <c r="AA13" s="40">
        <f t="shared" ca="1" si="84"/>
        <v>4.432372381415842</v>
      </c>
      <c r="AB13" s="40">
        <f t="shared" ca="1" si="85"/>
        <v>1.1435520744052872</v>
      </c>
      <c r="AC13" s="40">
        <f t="shared" ca="1" si="86"/>
        <v>3.9585046267769699</v>
      </c>
      <c r="AD13" s="40">
        <f t="shared" ca="1" si="87"/>
        <v>1.6754367601751883</v>
      </c>
      <c r="AE13" s="40">
        <f t="shared" ca="1" si="88"/>
        <v>3.2046052317636535</v>
      </c>
      <c r="AF13" s="40">
        <f t="shared" ca="1" si="89"/>
        <v>0.83771838008759414</v>
      </c>
      <c r="AG13" s="40">
        <f t="shared" ca="1" si="90"/>
        <v>6.4034633668450986</v>
      </c>
      <c r="AH13" s="40">
        <f t="shared" ca="1" si="91"/>
        <v>4.0777825909025749</v>
      </c>
      <c r="AI13" s="40">
        <f t="shared" ca="1" si="92"/>
        <v>1.8350021659061584</v>
      </c>
      <c r="AJ13" s="40">
        <f t="shared" ca="1" si="93"/>
        <v>2.7776061876964455</v>
      </c>
      <c r="AK13" s="40">
        <f t="shared" ca="1" si="94"/>
        <v>2.0946749602725152</v>
      </c>
      <c r="AL13" s="40">
        <f t="shared" ca="1" si="95"/>
        <v>3.3420087755875447</v>
      </c>
      <c r="AM13" s="40">
        <f t="shared" ca="1" si="96"/>
        <v>3.1381196460424161</v>
      </c>
      <c r="AN13" s="40">
        <f t="shared" ca="1" si="97"/>
        <v>2.9112061876964459</v>
      </c>
      <c r="AO13" s="40">
        <f t="shared" ca="1" si="98"/>
        <v>1.8484112458477617</v>
      </c>
      <c r="AP13" s="40">
        <f t="shared" ca="1" si="99"/>
        <v>1.1967405429822775</v>
      </c>
      <c r="AQ13" s="40">
        <f t="shared" ca="1" si="100"/>
        <v>2.6328291945610101</v>
      </c>
      <c r="AR13" s="40">
        <f t="shared" ca="1" si="101"/>
        <v>0.59837027149113875</v>
      </c>
      <c r="AS13" s="40">
        <f t="shared" ca="1" si="102"/>
        <v>15.700959528056554</v>
      </c>
      <c r="AT13" s="40">
        <f t="shared" ca="1" si="103"/>
        <v>2.1287839651396139</v>
      </c>
      <c r="AU13" s="40">
        <f t="shared" ca="1" si="104"/>
        <v>3.967051774421507</v>
      </c>
      <c r="AV13" s="40">
        <f t="shared" ca="1" si="105"/>
        <v>1.0643919825698069</v>
      </c>
      <c r="AW13" s="40">
        <f t="shared" ca="1" si="106"/>
        <v>0.83771838008759414</v>
      </c>
      <c r="AX13" s="40">
        <f t="shared" ca="1" si="107"/>
        <v>1.7729489525663369</v>
      </c>
      <c r="AY13" s="40">
        <f t="shared" ca="1" si="108"/>
        <v>0.41885919004379707</v>
      </c>
      <c r="AZ13" s="40">
        <f t="shared" ca="1" si="109"/>
        <v>16.632372381415841</v>
      </c>
      <c r="BA13" s="40">
        <f t="shared" ca="1" si="110"/>
        <v>4.1429411013870947</v>
      </c>
      <c r="BB13" s="40">
        <f t="shared" ca="1" si="111"/>
        <v>8.0141622932712373</v>
      </c>
      <c r="BC13" s="40">
        <f t="shared" ca="1" si="112"/>
        <v>2.0714705506935474</v>
      </c>
      <c r="BD13" s="40">
        <f t="shared" ca="1" si="113"/>
        <v>1.28982036299201</v>
      </c>
      <c r="BE13" s="40">
        <f t="shared" ca="1" si="114"/>
        <v>1.542465588732713</v>
      </c>
      <c r="BF13" s="40">
        <f t="shared" ca="1" si="115"/>
        <v>14.653120068027356</v>
      </c>
      <c r="BG13" s="40">
        <f t="shared" ca="1" si="116"/>
        <v>7.2030090470786812</v>
      </c>
      <c r="BH13" s="40">
        <f t="shared" ca="1" si="117"/>
        <v>3.9464379661434381</v>
      </c>
      <c r="BI13" s="40">
        <f t="shared" ca="1" si="118"/>
        <v>2.1497006049866831</v>
      </c>
      <c r="BJ13" s="40">
        <f t="shared" ca="1" si="119"/>
        <v>1.1701463086937824</v>
      </c>
      <c r="BK13" s="40">
        <f t="shared" ca="1" si="120"/>
        <v>6.3369338773194359</v>
      </c>
      <c r="BL13" s="40">
        <f t="shared" ca="1" si="121"/>
        <v>5.6889041280241113</v>
      </c>
      <c r="BM13" s="40">
        <f t="shared" ca="1" si="122"/>
        <v>0.85151358605584559</v>
      </c>
      <c r="BN13" s="40">
        <f t="shared" ca="1" si="123"/>
        <v>0.79782702865485156</v>
      </c>
      <c r="BO13" s="40">
        <f t="shared" ca="1" si="124"/>
        <v>0.30140132193627728</v>
      </c>
      <c r="BP13" s="40">
        <f t="shared" ca="1" si="125"/>
        <v>5.0728735763318316</v>
      </c>
      <c r="BQ13" s="40">
        <f t="shared" ca="1" si="126"/>
        <v>8.2456971047229928</v>
      </c>
      <c r="BR13" s="40">
        <f t="shared" ca="1" si="127"/>
        <v>2.2106602714911379</v>
      </c>
      <c r="BS13" s="40">
        <f t="shared" ca="1" si="128"/>
        <v>1.258793756322099</v>
      </c>
      <c r="BT13" s="40">
        <f t="shared" ca="1" si="129"/>
        <v>1.0814988610654654</v>
      </c>
      <c r="BU13" s="40">
        <f t="shared" ca="1" si="130"/>
        <v>10.495026972673395</v>
      </c>
      <c r="BV13" s="40">
        <f t="shared" ca="1" si="131"/>
        <v>5.6612108369227325</v>
      </c>
      <c r="BW13" s="40">
        <f t="shared" ca="1" si="132"/>
        <v>2.423538668005099</v>
      </c>
      <c r="BX13" s="40">
        <f t="shared" ca="1" si="133"/>
        <v>6.7527431868548318</v>
      </c>
      <c r="BY13" s="40">
        <f t="shared" ca="1" si="134"/>
        <v>7.3096318012309185</v>
      </c>
      <c r="BZ13" s="40">
        <f t="shared" ca="1" si="135"/>
        <v>15.6384599681409</v>
      </c>
      <c r="CA13" s="40">
        <f t="shared" ca="1" si="136"/>
        <v>7.3096318012309185</v>
      </c>
      <c r="CB13" s="40">
        <f t="shared" ca="1" si="137"/>
        <v>6.1213882158442896</v>
      </c>
      <c r="CC13" s="40">
        <f t="shared" ca="1" si="138"/>
        <v>17.614843790158282</v>
      </c>
      <c r="CD13" s="40">
        <f t="shared" ca="1" si="139"/>
        <v>6.1213882158442896</v>
      </c>
      <c r="CE13" s="40">
        <f t="shared" ca="1" si="140"/>
        <v>4.1580930953539603</v>
      </c>
    </row>
    <row r="14" spans="1:83" x14ac:dyDescent="0.25">
      <c r="A14" t="str">
        <f>PLANTILLA!D17</f>
        <v>Adam Moss</v>
      </c>
      <c r="B14">
        <f>PLANTILLA!E17</f>
        <v>30</v>
      </c>
      <c r="C14" s="36">
        <f ca="1">PLANTILLA!F17</f>
        <v>5</v>
      </c>
      <c r="D14" s="69" t="str">
        <f>PLANTILLA!G17</f>
        <v>RAP</v>
      </c>
      <c r="E14" s="33">
        <v>42339</v>
      </c>
      <c r="F14" s="51">
        <f>PLANTILLA!Q17</f>
        <v>6</v>
      </c>
      <c r="G14" s="52">
        <f t="shared" si="73"/>
        <v>0.92582009977255142</v>
      </c>
      <c r="H14" s="52">
        <f t="shared" si="74"/>
        <v>0.99928545900129484</v>
      </c>
      <c r="I14" s="55">
        <f t="shared" ca="1" si="6"/>
        <v>1</v>
      </c>
      <c r="J14" s="42">
        <f>PLANTILLA!I17</f>
        <v>9.8000000000000007</v>
      </c>
      <c r="K14" s="50">
        <f>PLANTILLA!X17</f>
        <v>0</v>
      </c>
      <c r="L14" s="50">
        <f>PLANTILLA!Y17</f>
        <v>3.2</v>
      </c>
      <c r="M14" s="50">
        <f>PLANTILLA!Z17</f>
        <v>14.399999999999999</v>
      </c>
      <c r="N14" s="50">
        <f>PLANTILLA!AA17</f>
        <v>2.2999999999999998</v>
      </c>
      <c r="O14" s="50">
        <f>PLANTILLA!AB17</f>
        <v>14.266</v>
      </c>
      <c r="P14" s="50">
        <f>PLANTILLA!AC17</f>
        <v>9.0999999999999961</v>
      </c>
      <c r="Q14" s="50">
        <f>PLANTILLA!AD17</f>
        <v>15.7</v>
      </c>
      <c r="R14" s="50">
        <f t="shared" si="75"/>
        <v>4.3414999999999999</v>
      </c>
      <c r="S14" s="50">
        <f t="shared" si="76"/>
        <v>0.92599999999999982</v>
      </c>
      <c r="T14" s="50">
        <f t="shared" si="77"/>
        <v>0.59899999999999998</v>
      </c>
      <c r="U14" s="50">
        <f t="shared" ca="1" si="78"/>
        <v>16.684791698594651</v>
      </c>
      <c r="V14" s="50">
        <f t="shared" ca="1" si="79"/>
        <v>18.00875757068486</v>
      </c>
      <c r="W14" s="40">
        <f t="shared" ca="1" si="80"/>
        <v>2.9099871521060638</v>
      </c>
      <c r="X14" s="40">
        <f t="shared" ca="1" si="81"/>
        <v>4.3572304849586807</v>
      </c>
      <c r="Y14" s="40">
        <f t="shared" ca="1" si="82"/>
        <v>2.9099871521060638</v>
      </c>
      <c r="Z14" s="40">
        <f t="shared" ca="1" si="83"/>
        <v>2.8491635400764364</v>
      </c>
      <c r="AA14" s="40">
        <f t="shared" ca="1" si="84"/>
        <v>5.5216347675899931</v>
      </c>
      <c r="AB14" s="40">
        <f t="shared" ca="1" si="85"/>
        <v>1.4245817700382182</v>
      </c>
      <c r="AC14" s="40">
        <f t="shared" ca="1" si="86"/>
        <v>3.9797490746864184</v>
      </c>
      <c r="AD14" s="40">
        <f t="shared" ca="1" si="87"/>
        <v>2.0871779421490175</v>
      </c>
      <c r="AE14" s="40">
        <f t="shared" ca="1" si="88"/>
        <v>3.992141936967565</v>
      </c>
      <c r="AF14" s="40">
        <f t="shared" ca="1" si="89"/>
        <v>1.0435889710745088</v>
      </c>
      <c r="AG14" s="40">
        <f t="shared" ca="1" si="90"/>
        <v>6.4378293855221473</v>
      </c>
      <c r="AH14" s="40">
        <f t="shared" ca="1" si="91"/>
        <v>5.0799039861827939</v>
      </c>
      <c r="AI14" s="40">
        <f t="shared" ca="1" si="92"/>
        <v>2.2859567937822569</v>
      </c>
      <c r="AJ14" s="40">
        <f t="shared" ca="1" si="93"/>
        <v>2.7925130061875292</v>
      </c>
      <c r="AK14" s="40">
        <f t="shared" ca="1" si="94"/>
        <v>2.7175212433429157</v>
      </c>
      <c r="AL14" s="40">
        <f t="shared" ca="1" si="95"/>
        <v>4.1633126147628552</v>
      </c>
      <c r="AM14" s="40">
        <f t="shared" ca="1" si="96"/>
        <v>3.9093174154537147</v>
      </c>
      <c r="AN14" s="40">
        <f t="shared" ca="1" si="97"/>
        <v>3.009613006187529</v>
      </c>
      <c r="AO14" s="40">
        <f t="shared" ca="1" si="98"/>
        <v>1.9189828130659177</v>
      </c>
      <c r="AP14" s="40">
        <f t="shared" ca="1" si="99"/>
        <v>1.4908413872492983</v>
      </c>
      <c r="AQ14" s="40">
        <f t="shared" ca="1" si="100"/>
        <v>3.2798510519484556</v>
      </c>
      <c r="AR14" s="40">
        <f t="shared" ca="1" si="101"/>
        <v>0.74542069362464913</v>
      </c>
      <c r="AS14" s="40">
        <f t="shared" ca="1" si="102"/>
        <v>15.785223220604953</v>
      </c>
      <c r="AT14" s="40">
        <f t="shared" ca="1" si="103"/>
        <v>2.1563925197866993</v>
      </c>
      <c r="AU14" s="40">
        <f t="shared" ca="1" si="104"/>
        <v>3.9664589869038673</v>
      </c>
      <c r="AV14" s="40">
        <f t="shared" ca="1" si="105"/>
        <v>1.0781962598933497</v>
      </c>
      <c r="AW14" s="40">
        <f t="shared" ca="1" si="106"/>
        <v>1.0435889710745088</v>
      </c>
      <c r="AX14" s="40">
        <f t="shared" ca="1" si="107"/>
        <v>2.2086539070359974</v>
      </c>
      <c r="AY14" s="40">
        <f t="shared" ca="1" si="108"/>
        <v>0.52179448553725438</v>
      </c>
      <c r="AZ14" s="40">
        <f t="shared" ca="1" si="109"/>
        <v>16.721634767589993</v>
      </c>
      <c r="BA14" s="40">
        <f t="shared" ca="1" si="110"/>
        <v>4.1966715962002681</v>
      </c>
      <c r="BB14" s="40">
        <f t="shared" ca="1" si="111"/>
        <v>8.0549267569420842</v>
      </c>
      <c r="BC14" s="40">
        <f t="shared" ca="1" si="112"/>
        <v>2.098335798100134</v>
      </c>
      <c r="BD14" s="40">
        <f t="shared" ca="1" si="113"/>
        <v>1.606795717368688</v>
      </c>
      <c r="BE14" s="40">
        <f t="shared" ca="1" si="114"/>
        <v>1.9215288991213175</v>
      </c>
      <c r="BF14" s="40">
        <f t="shared" ca="1" si="115"/>
        <v>14.731760230246785</v>
      </c>
      <c r="BG14" s="40">
        <f t="shared" ca="1" si="116"/>
        <v>7.8779233083875031</v>
      </c>
      <c r="BH14" s="40">
        <f t="shared" ca="1" si="117"/>
        <v>3.9976199789891882</v>
      </c>
      <c r="BI14" s="40">
        <f t="shared" ca="1" si="118"/>
        <v>2.6779928622811466</v>
      </c>
      <c r="BJ14" s="40">
        <f t="shared" ca="1" si="119"/>
        <v>1.4577115786437582</v>
      </c>
      <c r="BK14" s="40">
        <f t="shared" ca="1" si="120"/>
        <v>6.3709428464517872</v>
      </c>
      <c r="BL14" s="40">
        <f t="shared" ca="1" si="121"/>
        <v>6.4444747868736538</v>
      </c>
      <c r="BM14" s="40">
        <f t="shared" ca="1" si="122"/>
        <v>0.8625570079146796</v>
      </c>
      <c r="BN14" s="40">
        <f t="shared" ca="1" si="123"/>
        <v>0.9938942581661987</v>
      </c>
      <c r="BO14" s="40">
        <f t="shared" ca="1" si="124"/>
        <v>0.37547116419611953</v>
      </c>
      <c r="BP14" s="40">
        <f t="shared" ca="1" si="125"/>
        <v>5.1000986041149474</v>
      </c>
      <c r="BQ14" s="40">
        <f t="shared" ca="1" si="126"/>
        <v>9.365698311120731</v>
      </c>
      <c r="BR14" s="40">
        <f t="shared" ca="1" si="127"/>
        <v>2.2393306936246491</v>
      </c>
      <c r="BS14" s="40">
        <f t="shared" ca="1" si="128"/>
        <v>1.5681442739955578</v>
      </c>
      <c r="BT14" s="40">
        <f t="shared" ca="1" si="129"/>
        <v>1.3472788832919582</v>
      </c>
      <c r="BU14" s="40">
        <f t="shared" ca="1" si="130"/>
        <v>10.551351538349286</v>
      </c>
      <c r="BV14" s="40">
        <f t="shared" ca="1" si="131"/>
        <v>6.4458011169930431</v>
      </c>
      <c r="BW14" s="40">
        <f t="shared" ca="1" si="132"/>
        <v>2.4549699456033189</v>
      </c>
      <c r="BX14" s="40">
        <f t="shared" ca="1" si="133"/>
        <v>6.788983715641538</v>
      </c>
      <c r="BY14" s="40">
        <f t="shared" ca="1" si="134"/>
        <v>6.2629717139143857</v>
      </c>
      <c r="BZ14" s="40">
        <f t="shared" ca="1" si="135"/>
        <v>15.665898748306329</v>
      </c>
      <c r="CA14" s="40">
        <f t="shared" ca="1" si="136"/>
        <v>6.2629717139143857</v>
      </c>
      <c r="CB14" s="40">
        <f t="shared" ca="1" si="137"/>
        <v>6.3464504602085645</v>
      </c>
      <c r="CC14" s="40">
        <f t="shared" ca="1" si="138"/>
        <v>17.542471996830695</v>
      </c>
      <c r="CD14" s="40">
        <f t="shared" ca="1" si="139"/>
        <v>6.3464504602085645</v>
      </c>
      <c r="CE14" s="40">
        <f t="shared" ca="1" si="140"/>
        <v>4.1804086918974983</v>
      </c>
    </row>
    <row r="15" spans="1:83" x14ac:dyDescent="0.25">
      <c r="A15" t="str">
        <f>PLANTILLA!D18</f>
        <v>Rasheed Da'na</v>
      </c>
      <c r="B15">
        <f>PLANTILLA!E18</f>
        <v>29</v>
      </c>
      <c r="C15" s="36">
        <f ca="1">PLANTILLA!F18</f>
        <v>62</v>
      </c>
      <c r="D15" s="69" t="str">
        <f>PLANTILLA!G18</f>
        <v>RAP</v>
      </c>
      <c r="E15" s="33">
        <v>42341</v>
      </c>
      <c r="F15" s="51">
        <f>PLANTILLA!Q18</f>
        <v>5</v>
      </c>
      <c r="G15" s="52">
        <f t="shared" si="73"/>
        <v>0.84515425472851657</v>
      </c>
      <c r="H15" s="52">
        <f t="shared" si="74"/>
        <v>0.92504826128926143</v>
      </c>
      <c r="I15" s="55">
        <f t="shared" ca="1" si="6"/>
        <v>1</v>
      </c>
      <c r="J15" s="42">
        <f>PLANTILLA!I18</f>
        <v>9.5</v>
      </c>
      <c r="K15" s="50">
        <f>PLANTILLA!X18</f>
        <v>0</v>
      </c>
      <c r="L15" s="50">
        <f>PLANTILLA!Y18</f>
        <v>2.0384615384615383</v>
      </c>
      <c r="M15" s="50">
        <f>PLANTILLA!Z18</f>
        <v>13.499999999999998</v>
      </c>
      <c r="N15" s="50">
        <f>PLANTILLA!AA18</f>
        <v>4.0999999999999996</v>
      </c>
      <c r="O15" s="50">
        <f>PLANTILLA!AB18</f>
        <v>14.352222222222222</v>
      </c>
      <c r="P15" s="50">
        <f>PLANTILLA!AC18</f>
        <v>10.095333333333334</v>
      </c>
      <c r="Q15" s="50">
        <f>PLANTILLA!AD18</f>
        <v>14.599999999999998</v>
      </c>
      <c r="R15" s="50">
        <f t="shared" si="75"/>
        <v>4.2178632478632476</v>
      </c>
      <c r="S15" s="50">
        <f t="shared" si="76"/>
        <v>0.94276666666666675</v>
      </c>
      <c r="T15" s="50">
        <f t="shared" si="77"/>
        <v>0.51953846153846139</v>
      </c>
      <c r="U15" s="50">
        <f t="shared" ca="1" si="78"/>
        <v>14.286176060376023</v>
      </c>
      <c r="V15" s="50">
        <f t="shared" ca="1" si="79"/>
        <v>15.636674904237699</v>
      </c>
      <c r="W15" s="40">
        <f t="shared" ca="1" si="80"/>
        <v>2.5736856611716035</v>
      </c>
      <c r="X15" s="40">
        <f t="shared" ca="1" si="81"/>
        <v>3.8403343864166906</v>
      </c>
      <c r="Y15" s="40">
        <f t="shared" ca="1" si="82"/>
        <v>2.5736856611716035</v>
      </c>
      <c r="Z15" s="40">
        <f t="shared" ca="1" si="83"/>
        <v>2.240519994284881</v>
      </c>
      <c r="AA15" s="40">
        <f t="shared" ca="1" si="84"/>
        <v>4.3420930121800021</v>
      </c>
      <c r="AB15" s="40">
        <f t="shared" ca="1" si="85"/>
        <v>1.1202599971424405</v>
      </c>
      <c r="AC15" s="40">
        <f t="shared" ca="1" si="86"/>
        <v>3.7612642907449936</v>
      </c>
      <c r="AD15" s="40">
        <f t="shared" ca="1" si="87"/>
        <v>1.6413111586040408</v>
      </c>
      <c r="AE15" s="40">
        <f t="shared" ca="1" si="88"/>
        <v>3.1393332478061415</v>
      </c>
      <c r="AF15" s="40">
        <f t="shared" ca="1" si="89"/>
        <v>0.82065557930202038</v>
      </c>
      <c r="AG15" s="40">
        <f t="shared" ca="1" si="90"/>
        <v>6.0843981173816077</v>
      </c>
      <c r="AH15" s="40">
        <f t="shared" ca="1" si="91"/>
        <v>3.9947255712056022</v>
      </c>
      <c r="AI15" s="40">
        <f t="shared" ca="1" si="92"/>
        <v>1.7976265070425208</v>
      </c>
      <c r="AJ15" s="40">
        <f t="shared" ca="1" si="93"/>
        <v>2.6392064561109834</v>
      </c>
      <c r="AK15" s="40">
        <f t="shared" ca="1" si="94"/>
        <v>3.7653353065464561</v>
      </c>
      <c r="AL15" s="40">
        <f t="shared" ca="1" si="95"/>
        <v>3.2739381311837215</v>
      </c>
      <c r="AM15" s="40">
        <f t="shared" ca="1" si="96"/>
        <v>3.0742018526234411</v>
      </c>
      <c r="AN15" s="40">
        <f t="shared" ca="1" si="97"/>
        <v>2.8229064561109833</v>
      </c>
      <c r="AO15" s="40">
        <f t="shared" ca="1" si="98"/>
        <v>1.8781904798155327</v>
      </c>
      <c r="AP15" s="40">
        <f t="shared" ca="1" si="99"/>
        <v>1.1723651132886006</v>
      </c>
      <c r="AQ15" s="40">
        <f t="shared" ca="1" si="100"/>
        <v>2.5792032492349213</v>
      </c>
      <c r="AR15" s="40">
        <f t="shared" ca="1" si="101"/>
        <v>0.5861825566443003</v>
      </c>
      <c r="AS15" s="40">
        <f t="shared" ca="1" si="102"/>
        <v>14.918628111190227</v>
      </c>
      <c r="AT15" s="40">
        <f t="shared" ca="1" si="103"/>
        <v>2.1652609804722891</v>
      </c>
      <c r="AU15" s="40">
        <f t="shared" ca="1" si="104"/>
        <v>4.1437233551328427</v>
      </c>
      <c r="AV15" s="40">
        <f t="shared" ca="1" si="105"/>
        <v>1.0826304902361445</v>
      </c>
      <c r="AW15" s="40">
        <f t="shared" ca="1" si="106"/>
        <v>0.82065557930202038</v>
      </c>
      <c r="AX15" s="40">
        <f t="shared" ca="1" si="107"/>
        <v>1.7368372048720009</v>
      </c>
      <c r="AY15" s="40">
        <f t="shared" ca="1" si="108"/>
        <v>0.41032778965101019</v>
      </c>
      <c r="AZ15" s="40">
        <f t="shared" ca="1" si="109"/>
        <v>15.803631473718461</v>
      </c>
      <c r="BA15" s="40">
        <f t="shared" ca="1" si="110"/>
        <v>4.2139309850729934</v>
      </c>
      <c r="BB15" s="40">
        <f t="shared" ca="1" si="111"/>
        <v>8.2834287197966514</v>
      </c>
      <c r="BC15" s="40">
        <f t="shared" ca="1" si="112"/>
        <v>2.1069654925364967</v>
      </c>
      <c r="BD15" s="40">
        <f t="shared" ca="1" si="113"/>
        <v>1.2635490665443805</v>
      </c>
      <c r="BE15" s="40">
        <f t="shared" ca="1" si="114"/>
        <v>1.5110483682386406</v>
      </c>
      <c r="BF15" s="40">
        <f t="shared" ca="1" si="115"/>
        <v>13.922999328345965</v>
      </c>
      <c r="BG15" s="40">
        <f t="shared" ca="1" si="116"/>
        <v>8.9222783801357135</v>
      </c>
      <c r="BH15" s="40">
        <f t="shared" ca="1" si="117"/>
        <v>4.014060740721705</v>
      </c>
      <c r="BI15" s="40">
        <f t="shared" ca="1" si="118"/>
        <v>2.1059151109073011</v>
      </c>
      <c r="BJ15" s="40">
        <f t="shared" ca="1" si="119"/>
        <v>1.1463125552155207</v>
      </c>
      <c r="BK15" s="40">
        <f t="shared" ca="1" si="120"/>
        <v>6.021183591486734</v>
      </c>
      <c r="BL15" s="40">
        <f t="shared" ca="1" si="121"/>
        <v>7.6574705746966032</v>
      </c>
      <c r="BM15" s="40">
        <f t="shared" ca="1" si="122"/>
        <v>0.86610439218891555</v>
      </c>
      <c r="BN15" s="40">
        <f t="shared" ca="1" si="123"/>
        <v>0.78157674219240036</v>
      </c>
      <c r="BO15" s="40">
        <f t="shared" ca="1" si="124"/>
        <v>0.29526232482824016</v>
      </c>
      <c r="BP15" s="40">
        <f t="shared" ca="1" si="125"/>
        <v>4.8201075994841309</v>
      </c>
      <c r="BQ15" s="40">
        <f t="shared" ca="1" si="126"/>
        <v>11.167205630757499</v>
      </c>
      <c r="BR15" s="40">
        <f t="shared" ca="1" si="127"/>
        <v>2.2485402489519926</v>
      </c>
      <c r="BS15" s="40">
        <f t="shared" ca="1" si="128"/>
        <v>1.2331544154591205</v>
      </c>
      <c r="BT15" s="40">
        <f t="shared" ca="1" si="129"/>
        <v>1.0594706949719206</v>
      </c>
      <c r="BU15" s="40">
        <f t="shared" ca="1" si="130"/>
        <v>9.9720914599163493</v>
      </c>
      <c r="BV15" s="40">
        <f t="shared" ca="1" si="131"/>
        <v>7.7099290578669137</v>
      </c>
      <c r="BW15" s="40">
        <f t="shared" ca="1" si="132"/>
        <v>2.4650663469992211</v>
      </c>
      <c r="BX15" s="40">
        <f t="shared" ca="1" si="133"/>
        <v>6.416274378329696</v>
      </c>
      <c r="BY15" s="40">
        <f t="shared" ca="1" si="134"/>
        <v>6.6607548866962079</v>
      </c>
      <c r="BZ15" s="40">
        <f t="shared" ca="1" si="135"/>
        <v>16.272725039406989</v>
      </c>
      <c r="CA15" s="40">
        <f t="shared" ca="1" si="136"/>
        <v>6.6607548866962079</v>
      </c>
      <c r="CB15" s="40">
        <f t="shared" ca="1" si="137"/>
        <v>7.0040646303488252</v>
      </c>
      <c r="CC15" s="40">
        <f t="shared" ca="1" si="138"/>
        <v>18.544974820853909</v>
      </c>
      <c r="CD15" s="40">
        <f t="shared" ca="1" si="139"/>
        <v>7.0040646303488252</v>
      </c>
      <c r="CE15" s="40">
        <f t="shared" ca="1" si="140"/>
        <v>3.9509078684296153</v>
      </c>
    </row>
    <row r="16" spans="1:83" x14ac:dyDescent="0.25">
      <c r="A16" t="str">
        <f>PLANTILLA!D12</f>
        <v>Cezary Pauch</v>
      </c>
      <c r="B16">
        <f>PLANTILLA!E12</f>
        <v>29</v>
      </c>
      <c r="C16" s="36">
        <f ca="1">PLANTILLA!F12</f>
        <v>105</v>
      </c>
      <c r="D16" s="69" t="str">
        <f>PLANTILLA!G12</f>
        <v>RAP</v>
      </c>
      <c r="E16" s="33">
        <v>42630</v>
      </c>
      <c r="F16" s="51">
        <f>PLANTILLA!Q12</f>
        <v>5</v>
      </c>
      <c r="G16" s="52">
        <f t="shared" si="73"/>
        <v>0.84515425472851657</v>
      </c>
      <c r="H16" s="52">
        <f t="shared" si="74"/>
        <v>0.92504826128926143</v>
      </c>
      <c r="I16" s="55">
        <f t="shared" ca="1" si="6"/>
        <v>1</v>
      </c>
      <c r="J16" s="42">
        <f>PLANTILLA!I12</f>
        <v>6.1</v>
      </c>
      <c r="K16" s="50">
        <f>PLANTILLA!X12</f>
        <v>0</v>
      </c>
      <c r="L16" s="50">
        <f>PLANTILLA!Y12</f>
        <v>2</v>
      </c>
      <c r="M16" s="50">
        <f>PLANTILLA!Z12</f>
        <v>13.022727272727273</v>
      </c>
      <c r="N16" s="50">
        <f>PLANTILLA!AA12</f>
        <v>14.00679012345679</v>
      </c>
      <c r="O16" s="50">
        <f>PLANTILLA!AB12</f>
        <v>6.9986111111111118</v>
      </c>
      <c r="P16" s="50">
        <f>PLANTILLA!AC12</f>
        <v>5.01</v>
      </c>
      <c r="Q16" s="50">
        <f>PLANTILLA!AD12</f>
        <v>0.14444444444444443</v>
      </c>
      <c r="R16" s="50">
        <f t="shared" si="75"/>
        <v>2.3746527777777779</v>
      </c>
      <c r="S16" s="50">
        <f t="shared" si="76"/>
        <v>0.25483333333333336</v>
      </c>
      <c r="T16" s="50">
        <f t="shared" si="77"/>
        <v>8.4333333333333343E-2</v>
      </c>
      <c r="U16" s="50">
        <f t="shared" ca="1" si="78"/>
        <v>1.8521985600887605</v>
      </c>
      <c r="V16" s="50">
        <f t="shared" ca="1" si="79"/>
        <v>2.0272903413625447</v>
      </c>
      <c r="W16" s="40">
        <f t="shared" ca="1" si="80"/>
        <v>2.3391239279525324</v>
      </c>
      <c r="X16" s="40">
        <f t="shared" ca="1" si="81"/>
        <v>3.4928144226651998</v>
      </c>
      <c r="Y16" s="40">
        <f t="shared" ca="1" si="82"/>
        <v>2.3391239279525324</v>
      </c>
      <c r="Z16" s="40">
        <f t="shared" ca="1" si="83"/>
        <v>2.0883069264874075</v>
      </c>
      <c r="AA16" s="40">
        <f t="shared" ca="1" si="84"/>
        <v>4.0471064466810223</v>
      </c>
      <c r="AB16" s="40">
        <f t="shared" ca="1" si="85"/>
        <v>1.0441534632437037</v>
      </c>
      <c r="AC16" s="40">
        <f t="shared" ca="1" si="86"/>
        <v>3.586620425219174</v>
      </c>
      <c r="AD16" s="40">
        <f t="shared" ca="1" si="87"/>
        <v>1.5298062368454264</v>
      </c>
      <c r="AE16" s="40">
        <f t="shared" ca="1" si="88"/>
        <v>2.926057960950379</v>
      </c>
      <c r="AF16" s="40">
        <f t="shared" ca="1" si="89"/>
        <v>0.76490311842271319</v>
      </c>
      <c r="AG16" s="40">
        <f t="shared" ca="1" si="90"/>
        <v>5.8018859819721937</v>
      </c>
      <c r="AH16" s="40">
        <f t="shared" ca="1" si="91"/>
        <v>3.7233379309465406</v>
      </c>
      <c r="AI16" s="40">
        <f t="shared" ca="1" si="92"/>
        <v>1.6755020689259432</v>
      </c>
      <c r="AJ16" s="40">
        <f t="shared" ca="1" si="93"/>
        <v>2.5166622311411855</v>
      </c>
      <c r="AK16" s="40">
        <f t="shared" ca="1" si="94"/>
        <v>9.4396911832410328</v>
      </c>
      <c r="AL16" s="40">
        <f t="shared" ca="1" si="95"/>
        <v>3.0515182607974909</v>
      </c>
      <c r="AM16" s="40">
        <f t="shared" ca="1" si="96"/>
        <v>2.8653513642501638</v>
      </c>
      <c r="AN16" s="40">
        <f t="shared" ca="1" si="97"/>
        <v>0.36598899881795305</v>
      </c>
      <c r="AO16" s="40">
        <f t="shared" ca="1" si="98"/>
        <v>1.2734666566441344</v>
      </c>
      <c r="AP16" s="40">
        <f t="shared" ca="1" si="99"/>
        <v>1.0927187406038761</v>
      </c>
      <c r="AQ16" s="40">
        <f t="shared" ca="1" si="100"/>
        <v>2.4039812293285272</v>
      </c>
      <c r="AR16" s="40">
        <f t="shared" ca="1" si="101"/>
        <v>0.54635937030193804</v>
      </c>
      <c r="AS16" s="40">
        <f t="shared" ca="1" si="102"/>
        <v>14.225923031121431</v>
      </c>
      <c r="AT16" s="40">
        <f t="shared" ca="1" si="103"/>
        <v>1.1759432825129774</v>
      </c>
      <c r="AU16" s="40">
        <f t="shared" ca="1" si="104"/>
        <v>2.3063655222108728</v>
      </c>
      <c r="AV16" s="40">
        <f t="shared" ca="1" si="105"/>
        <v>0.58797164125648871</v>
      </c>
      <c r="AW16" s="40">
        <f t="shared" ca="1" si="106"/>
        <v>0.76490311842271319</v>
      </c>
      <c r="AX16" s="40">
        <f t="shared" ca="1" si="107"/>
        <v>1.618842578672409</v>
      </c>
      <c r="AY16" s="40">
        <f t="shared" ca="1" si="108"/>
        <v>0.3824515592113566</v>
      </c>
      <c r="AZ16" s="40">
        <f t="shared" ca="1" si="109"/>
        <v>15.069833719408296</v>
      </c>
      <c r="BA16" s="40">
        <f t="shared" ca="1" si="110"/>
        <v>2.2885665421214099</v>
      </c>
      <c r="BB16" s="40">
        <f t="shared" ca="1" si="111"/>
        <v>4.5665820410101325</v>
      </c>
      <c r="BC16" s="40">
        <f t="shared" ca="1" si="112"/>
        <v>1.1442832710607049</v>
      </c>
      <c r="BD16" s="40">
        <f t="shared" ca="1" si="113"/>
        <v>1.1777079759841773</v>
      </c>
      <c r="BE16" s="40">
        <f t="shared" ca="1" si="114"/>
        <v>1.4083930434449956</v>
      </c>
      <c r="BF16" s="40">
        <f t="shared" ca="1" si="115"/>
        <v>13.276523506798709</v>
      </c>
      <c r="BG16" s="40">
        <f t="shared" ca="1" si="116"/>
        <v>12.064337661963625</v>
      </c>
      <c r="BH16" s="40">
        <f t="shared" ca="1" si="117"/>
        <v>2.1800179314279045</v>
      </c>
      <c r="BI16" s="40">
        <f t="shared" ca="1" si="118"/>
        <v>1.9628466266402957</v>
      </c>
      <c r="BJ16" s="40">
        <f t="shared" ca="1" si="119"/>
        <v>1.06843610192379</v>
      </c>
      <c r="BK16" s="40">
        <f t="shared" ca="1" si="120"/>
        <v>5.741606647094561</v>
      </c>
      <c r="BL16" s="40">
        <f t="shared" ca="1" si="121"/>
        <v>12.622461620818967</v>
      </c>
      <c r="BM16" s="40">
        <f t="shared" ca="1" si="122"/>
        <v>0.47037731300519092</v>
      </c>
      <c r="BN16" s="40">
        <f t="shared" ca="1" si="123"/>
        <v>0.72847916040258398</v>
      </c>
      <c r="BO16" s="40">
        <f t="shared" ca="1" si="124"/>
        <v>0.27520323837430954</v>
      </c>
      <c r="BP16" s="40">
        <f t="shared" ca="1" si="125"/>
        <v>4.5962992844195298</v>
      </c>
      <c r="BQ16" s="40">
        <f t="shared" ca="1" si="126"/>
        <v>18.640971791666363</v>
      </c>
      <c r="BR16" s="40">
        <f t="shared" ca="1" si="127"/>
        <v>1.2211718703019381</v>
      </c>
      <c r="BS16" s="40">
        <f t="shared" ca="1" si="128"/>
        <v>1.1493782308574103</v>
      </c>
      <c r="BT16" s="40">
        <f t="shared" ca="1" si="129"/>
        <v>0.98749397299016939</v>
      </c>
      <c r="BU16" s="40">
        <f t="shared" ca="1" si="130"/>
        <v>9.5090650769466354</v>
      </c>
      <c r="BV16" s="40">
        <f t="shared" ca="1" si="131"/>
        <v>13.015658880890625</v>
      </c>
      <c r="BW16" s="40">
        <f t="shared" ca="1" si="132"/>
        <v>1.3387661985532358</v>
      </c>
      <c r="BX16" s="40">
        <f t="shared" ca="1" si="133"/>
        <v>6.1183524900797686</v>
      </c>
      <c r="BY16" s="40">
        <f t="shared" ca="1" si="134"/>
        <v>5.4694430142763686</v>
      </c>
      <c r="BZ16" s="40">
        <f t="shared" ca="1" si="135"/>
        <v>9.0261176922961646</v>
      </c>
      <c r="CA16" s="40">
        <f t="shared" ca="1" si="136"/>
        <v>5.4694430142763686</v>
      </c>
      <c r="CB16" s="40">
        <f t="shared" ca="1" si="137"/>
        <v>6.667250711344006</v>
      </c>
      <c r="CC16" s="40">
        <f t="shared" ca="1" si="138"/>
        <v>10.394976225506319</v>
      </c>
      <c r="CD16" s="40">
        <f t="shared" ca="1" si="139"/>
        <v>6.667250711344006</v>
      </c>
      <c r="CE16" s="40">
        <f t="shared" ca="1" si="140"/>
        <v>3.7674584298520739</v>
      </c>
    </row>
    <row r="19" spans="1:75" x14ac:dyDescent="0.25">
      <c r="M19" s="40"/>
      <c r="N19" s="40"/>
      <c r="AH19" s="40">
        <f ca="1">AG7*G7</f>
        <v>1.7067834569456877</v>
      </c>
      <c r="AI19" s="40">
        <f ca="1">AG7*H7</f>
        <v>1.868128877552713</v>
      </c>
    </row>
    <row r="20" spans="1:75" ht="18.75" x14ac:dyDescent="0.3">
      <c r="A20" s="112" t="s">
        <v>173</v>
      </c>
      <c r="B20" s="112" t="s">
        <v>174</v>
      </c>
      <c r="C20" s="112"/>
      <c r="D20" s="113"/>
      <c r="Z20" s="40"/>
      <c r="AA20" s="40"/>
      <c r="BV20" s="40"/>
      <c r="BW20" s="40"/>
    </row>
    <row r="21" spans="1:75" x14ac:dyDescent="0.25">
      <c r="A21" s="114" t="s">
        <v>175</v>
      </c>
      <c r="B21" s="115">
        <v>1</v>
      </c>
      <c r="C21" s="117">
        <v>0.624</v>
      </c>
      <c r="D21" s="118">
        <v>0.245</v>
      </c>
      <c r="AH21" s="40">
        <f ca="1">AG8*G8</f>
        <v>4.1859910106577649</v>
      </c>
      <c r="AI21" s="40">
        <f ca="1">AG8*H8</f>
        <v>4.6753978039073063</v>
      </c>
    </row>
    <row r="22" spans="1:75" x14ac:dyDescent="0.25">
      <c r="A22" s="114" t="s">
        <v>176</v>
      </c>
      <c r="B22" s="115">
        <v>1</v>
      </c>
      <c r="C22" s="117">
        <v>1.002</v>
      </c>
      <c r="D22" s="118">
        <v>0.34</v>
      </c>
      <c r="AG22" s="133"/>
      <c r="AH22" s="134"/>
    </row>
    <row r="23" spans="1:75" x14ac:dyDescent="0.25">
      <c r="A23" s="114" t="s">
        <v>177</v>
      </c>
      <c r="B23" s="115">
        <v>1</v>
      </c>
      <c r="C23" s="117">
        <v>0.46800000000000003</v>
      </c>
      <c r="D23" s="118">
        <v>0.125</v>
      </c>
      <c r="Z23" s="40"/>
      <c r="AA23" s="40"/>
      <c r="AH23" s="135">
        <f ca="1">(AI19-AH21)/AI19</f>
        <v>-1.2407399515934356</v>
      </c>
      <c r="AI23" s="135">
        <f ca="1">(AH19-AI21)/AH19</f>
        <v>-1.7393034452501634</v>
      </c>
      <c r="BV23" s="40"/>
      <c r="BW23" s="40"/>
    </row>
    <row r="24" spans="1:75" x14ac:dyDescent="0.25">
      <c r="A24" s="114" t="s">
        <v>178</v>
      </c>
      <c r="B24" s="115">
        <v>1</v>
      </c>
      <c r="C24" s="117">
        <v>0.877</v>
      </c>
      <c r="D24" s="118">
        <v>0.25</v>
      </c>
      <c r="W24" s="134"/>
    </row>
    <row r="25" spans="1:75" x14ac:dyDescent="0.25">
      <c r="A25" s="114" t="s">
        <v>179</v>
      </c>
      <c r="B25" s="115">
        <v>1</v>
      </c>
      <c r="C25" s="117">
        <v>0.59299999999999997</v>
      </c>
      <c r="D25" s="118">
        <v>0.19</v>
      </c>
      <c r="W25" s="134"/>
    </row>
    <row r="27" spans="1:75" x14ac:dyDescent="0.25">
      <c r="Z27" s="134"/>
      <c r="AA27" s="134"/>
      <c r="BV27" s="134"/>
      <c r="BW27" s="134"/>
    </row>
  </sheetData>
  <conditionalFormatting sqref="U3:V16">
    <cfRule type="cellIs" dxfId="33" priority="20" operator="greaterThan">
      <formula>15</formula>
    </cfRule>
  </conditionalFormatting>
  <conditionalFormatting sqref="R3:R16">
    <cfRule type="cellIs" dxfId="32" priority="19" operator="greaterThan">
      <formula>3.2</formula>
    </cfRule>
  </conditionalFormatting>
  <conditionalFormatting sqref="S3:T16">
    <cfRule type="cellIs" dxfId="31" priority="18" operator="greaterThan">
      <formula>0.6</formula>
    </cfRule>
  </conditionalFormatting>
  <conditionalFormatting sqref="W3:AI16 BF3:CE16 AO3:BD16 AK3:AM16">
    <cfRule type="cellIs" dxfId="30" priority="17" operator="greaterThan">
      <formula>12.5</formula>
    </cfRule>
  </conditionalFormatting>
  <conditionalFormatting sqref="J3:J16">
    <cfRule type="cellIs" dxfId="29" priority="14" operator="greaterThan">
      <formula>7</formula>
    </cfRule>
  </conditionalFormatting>
  <conditionalFormatting sqref="K3:Q16">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17" activePane="bottomLeft" state="frozen"/>
      <selection pane="bottomLeft" activeCell="F36" sqref="F36"/>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0" t="s">
        <v>274</v>
      </c>
      <c r="B1" s="260"/>
      <c r="C1" s="260"/>
      <c r="D1" s="260"/>
      <c r="F1" s="11" t="s">
        <v>3</v>
      </c>
      <c r="G1" s="11" t="s">
        <v>4</v>
      </c>
      <c r="H1" s="11" t="s">
        <v>5</v>
      </c>
      <c r="I1" s="37" t="s">
        <v>91</v>
      </c>
      <c r="J1" s="37" t="s">
        <v>7</v>
      </c>
      <c r="K1" s="37" t="s">
        <v>70</v>
      </c>
      <c r="L1" s="37" t="s">
        <v>216</v>
      </c>
      <c r="M1" s="37" t="s">
        <v>340</v>
      </c>
      <c r="N1" s="159" t="s">
        <v>217</v>
      </c>
      <c r="O1" s="159" t="s">
        <v>218</v>
      </c>
      <c r="P1" s="159" t="s">
        <v>334</v>
      </c>
      <c r="Q1" s="159" t="s">
        <v>129</v>
      </c>
      <c r="R1" s="160" t="s">
        <v>219</v>
      </c>
      <c r="S1" s="160" t="s">
        <v>220</v>
      </c>
      <c r="T1" s="160" t="s">
        <v>334</v>
      </c>
      <c r="U1" s="160" t="s">
        <v>129</v>
      </c>
    </row>
    <row r="2" spans="1:21" x14ac:dyDescent="0.25">
      <c r="A2" s="261" t="s">
        <v>275</v>
      </c>
      <c r="B2" s="262" t="s">
        <v>276</v>
      </c>
      <c r="C2" s="262" t="s">
        <v>277</v>
      </c>
      <c r="D2" s="262" t="s">
        <v>278</v>
      </c>
      <c r="F2" s="222" t="s">
        <v>391</v>
      </c>
      <c r="G2">
        <v>39</v>
      </c>
      <c r="H2">
        <v>100</v>
      </c>
      <c r="I2" s="123">
        <v>12.4</v>
      </c>
      <c r="J2" s="130">
        <v>6</v>
      </c>
      <c r="K2" s="76">
        <v>372</v>
      </c>
      <c r="L2" s="76">
        <v>2819000</v>
      </c>
      <c r="M2" s="149">
        <v>3</v>
      </c>
      <c r="N2" s="76">
        <v>375000</v>
      </c>
      <c r="O2" s="76">
        <f t="shared" ref="O2:O38" si="0">L2+N2</f>
        <v>3194000</v>
      </c>
      <c r="P2" s="161">
        <v>9.5</v>
      </c>
      <c r="Q2" s="218">
        <f t="shared" ref="Q2:Q38" si="1">O2/P2</f>
        <v>336210.5263157895</v>
      </c>
      <c r="R2" s="76">
        <v>2700000</v>
      </c>
      <c r="S2" s="76">
        <f t="shared" ref="S2:S38" si="2">R2+L2</f>
        <v>5519000</v>
      </c>
      <c r="T2" s="162">
        <f t="shared" ref="T2:T38" si="3">P2</f>
        <v>9.5</v>
      </c>
      <c r="U2" s="218">
        <f t="shared" ref="U2:U38" si="4">S2/T2</f>
        <v>580947.36842105258</v>
      </c>
    </row>
    <row r="3" spans="1:21" x14ac:dyDescent="0.25">
      <c r="A3" s="261"/>
      <c r="B3" s="262"/>
      <c r="C3" s="262"/>
      <c r="D3" s="262"/>
      <c r="F3" s="222" t="s">
        <v>405</v>
      </c>
      <c r="G3">
        <v>38</v>
      </c>
      <c r="H3">
        <v>97</v>
      </c>
      <c r="I3" s="123">
        <v>13.3</v>
      </c>
      <c r="J3" s="130">
        <v>6</v>
      </c>
      <c r="K3" s="76">
        <v>552</v>
      </c>
      <c r="L3" s="76">
        <v>3094000</v>
      </c>
      <c r="M3" s="149">
        <v>3</v>
      </c>
      <c r="N3" s="76">
        <v>355000</v>
      </c>
      <c r="O3" s="76">
        <f t="shared" si="0"/>
        <v>3449000</v>
      </c>
      <c r="P3" s="161">
        <v>9.5</v>
      </c>
      <c r="Q3" s="218">
        <f t="shared" si="1"/>
        <v>363052.63157894736</v>
      </c>
      <c r="R3" s="76">
        <v>2495000</v>
      </c>
      <c r="S3" s="76">
        <f t="shared" si="2"/>
        <v>5589000</v>
      </c>
      <c r="T3" s="162">
        <f t="shared" si="3"/>
        <v>9.5</v>
      </c>
      <c r="U3" s="218">
        <f t="shared" si="4"/>
        <v>588315.78947368416</v>
      </c>
    </row>
    <row r="4" spans="1:21" x14ac:dyDescent="0.25">
      <c r="A4" s="214" t="s">
        <v>276</v>
      </c>
      <c r="B4" s="215" t="s">
        <v>279</v>
      </c>
      <c r="C4" s="215" t="s">
        <v>280</v>
      </c>
      <c r="D4" s="215" t="s">
        <v>280</v>
      </c>
      <c r="F4" s="222" t="s">
        <v>343</v>
      </c>
      <c r="G4">
        <v>40</v>
      </c>
      <c r="H4">
        <v>44</v>
      </c>
      <c r="I4" s="123">
        <v>16.399999999999999</v>
      </c>
      <c r="J4" s="130">
        <v>6</v>
      </c>
      <c r="K4" s="76">
        <v>360</v>
      </c>
      <c r="L4" s="76">
        <v>4331000</v>
      </c>
      <c r="M4" s="149">
        <v>3</v>
      </c>
      <c r="N4" s="76">
        <v>289000</v>
      </c>
      <c r="O4" s="76">
        <f t="shared" si="0"/>
        <v>4620000</v>
      </c>
      <c r="P4" s="161">
        <v>9.5</v>
      </c>
      <c r="Q4" s="218">
        <f t="shared" si="1"/>
        <v>486315.78947368421</v>
      </c>
      <c r="R4" s="76">
        <v>2015000</v>
      </c>
      <c r="S4" s="76">
        <f t="shared" si="2"/>
        <v>6346000</v>
      </c>
      <c r="T4" s="162">
        <f t="shared" si="3"/>
        <v>9.5</v>
      </c>
      <c r="U4" s="218">
        <f t="shared" si="4"/>
        <v>668000</v>
      </c>
    </row>
    <row r="5" spans="1:21" x14ac:dyDescent="0.25">
      <c r="A5" s="216" t="s">
        <v>277</v>
      </c>
      <c r="B5" s="217" t="s">
        <v>281</v>
      </c>
      <c r="C5" s="217" t="s">
        <v>282</v>
      </c>
      <c r="D5" s="217" t="s">
        <v>280</v>
      </c>
      <c r="F5" s="222" t="s">
        <v>396</v>
      </c>
      <c r="G5">
        <v>35</v>
      </c>
      <c r="H5">
        <v>7</v>
      </c>
      <c r="I5" s="123">
        <v>13.3</v>
      </c>
      <c r="J5" s="130">
        <v>6</v>
      </c>
      <c r="K5" s="76">
        <v>4236</v>
      </c>
      <c r="L5" s="76">
        <v>3947000</v>
      </c>
      <c r="M5" s="149">
        <v>3</v>
      </c>
      <c r="N5" s="76">
        <v>355000</v>
      </c>
      <c r="O5" s="76">
        <f t="shared" si="0"/>
        <v>4302000</v>
      </c>
      <c r="P5" s="161">
        <v>9.5</v>
      </c>
      <c r="Q5" s="218">
        <f t="shared" si="1"/>
        <v>452842.10526315792</v>
      </c>
      <c r="R5" s="76">
        <v>2495000</v>
      </c>
      <c r="S5" s="76">
        <f t="shared" si="2"/>
        <v>6442000</v>
      </c>
      <c r="T5" s="162">
        <f t="shared" si="3"/>
        <v>9.5</v>
      </c>
      <c r="U5" s="218">
        <f t="shared" si="4"/>
        <v>678105.26315789472</v>
      </c>
    </row>
    <row r="6" spans="1:21" x14ac:dyDescent="0.25">
      <c r="A6" s="214" t="s">
        <v>278</v>
      </c>
      <c r="B6" s="215" t="s">
        <v>283</v>
      </c>
      <c r="C6" s="215" t="s">
        <v>284</v>
      </c>
      <c r="D6" s="215" t="s">
        <v>285</v>
      </c>
      <c r="F6" s="222" t="s">
        <v>410</v>
      </c>
      <c r="G6">
        <v>37</v>
      </c>
      <c r="H6">
        <v>1</v>
      </c>
      <c r="I6" s="123">
        <v>21.9</v>
      </c>
      <c r="J6" s="130">
        <v>6</v>
      </c>
      <c r="K6" s="76">
        <v>2088</v>
      </c>
      <c r="L6" s="76">
        <v>7699000</v>
      </c>
      <c r="M6" s="149">
        <v>3</v>
      </c>
      <c r="N6" s="76">
        <v>228000</v>
      </c>
      <c r="O6" s="76">
        <f>L6+N6</f>
        <v>7927000</v>
      </c>
      <c r="P6" s="161">
        <v>9.5</v>
      </c>
      <c r="Q6" s="218">
        <f>O6/P6</f>
        <v>834421.05263157899</v>
      </c>
      <c r="R6" s="76">
        <v>1575000</v>
      </c>
      <c r="S6" s="76">
        <f>R6+L6</f>
        <v>9274000</v>
      </c>
      <c r="T6" s="162">
        <f>P6</f>
        <v>9.5</v>
      </c>
      <c r="U6" s="218">
        <f>S6/T6</f>
        <v>976210.52631578944</v>
      </c>
    </row>
    <row r="7" spans="1:21" x14ac:dyDescent="0.25">
      <c r="A7" s="216" t="s">
        <v>286</v>
      </c>
      <c r="B7" s="217" t="s">
        <v>287</v>
      </c>
      <c r="C7" s="217" t="s">
        <v>288</v>
      </c>
      <c r="D7" s="217" t="s">
        <v>289</v>
      </c>
      <c r="F7" s="222" t="s">
        <v>403</v>
      </c>
      <c r="G7">
        <v>40</v>
      </c>
      <c r="H7">
        <v>76</v>
      </c>
      <c r="I7" s="123">
        <v>15.5</v>
      </c>
      <c r="J7" s="130">
        <v>5</v>
      </c>
      <c r="K7" s="76">
        <v>336</v>
      </c>
      <c r="L7" s="76">
        <v>531420</v>
      </c>
      <c r="M7" s="149">
        <v>3</v>
      </c>
      <c r="N7" s="76">
        <v>305000</v>
      </c>
      <c r="O7" s="76">
        <f t="shared" si="0"/>
        <v>836420</v>
      </c>
      <c r="P7" s="161">
        <v>8</v>
      </c>
      <c r="Q7" s="218">
        <f t="shared" si="1"/>
        <v>104552.5</v>
      </c>
      <c r="R7" s="76">
        <v>2175000</v>
      </c>
      <c r="S7" s="76">
        <f t="shared" si="2"/>
        <v>2706420</v>
      </c>
      <c r="T7" s="162">
        <f t="shared" si="3"/>
        <v>8</v>
      </c>
      <c r="U7" s="218">
        <f t="shared" si="4"/>
        <v>338302.5</v>
      </c>
    </row>
    <row r="8" spans="1:21" x14ac:dyDescent="0.25">
      <c r="A8" s="214" t="s">
        <v>290</v>
      </c>
      <c r="B8" s="215" t="s">
        <v>291</v>
      </c>
      <c r="C8" s="215" t="s">
        <v>292</v>
      </c>
      <c r="D8" s="215" t="s">
        <v>293</v>
      </c>
      <c r="F8" s="222" t="s">
        <v>395</v>
      </c>
      <c r="G8">
        <v>39</v>
      </c>
      <c r="H8">
        <v>9</v>
      </c>
      <c r="I8" s="123">
        <v>12.5</v>
      </c>
      <c r="J8" s="130">
        <v>5</v>
      </c>
      <c r="K8" s="76">
        <v>408</v>
      </c>
      <c r="L8" s="76">
        <v>100000</v>
      </c>
      <c r="M8" s="149">
        <v>3</v>
      </c>
      <c r="N8" s="76">
        <v>380000</v>
      </c>
      <c r="O8" s="76">
        <f t="shared" si="0"/>
        <v>480000</v>
      </c>
      <c r="P8" s="161">
        <v>8</v>
      </c>
      <c r="Q8" s="218">
        <f t="shared" si="1"/>
        <v>60000</v>
      </c>
      <c r="R8" s="76">
        <v>2700000</v>
      </c>
      <c r="S8" s="76">
        <f t="shared" si="2"/>
        <v>2800000</v>
      </c>
      <c r="T8" s="162">
        <f t="shared" si="3"/>
        <v>8</v>
      </c>
      <c r="U8" s="218">
        <f t="shared" si="4"/>
        <v>350000</v>
      </c>
    </row>
    <row r="9" spans="1:21" x14ac:dyDescent="0.25">
      <c r="A9" s="216" t="s">
        <v>294</v>
      </c>
      <c r="B9" s="217" t="s">
        <v>295</v>
      </c>
      <c r="C9" s="217" t="s">
        <v>296</v>
      </c>
      <c r="D9" s="217" t="s">
        <v>297</v>
      </c>
      <c r="F9" s="222" t="s">
        <v>404</v>
      </c>
      <c r="G9">
        <v>39</v>
      </c>
      <c r="H9">
        <v>43</v>
      </c>
      <c r="I9" s="123">
        <v>14.2</v>
      </c>
      <c r="J9" s="130">
        <v>5</v>
      </c>
      <c r="K9" s="76">
        <v>370</v>
      </c>
      <c r="L9" s="76">
        <v>456000</v>
      </c>
      <c r="M9" s="149">
        <v>3</v>
      </c>
      <c r="N9" s="163">
        <v>329000</v>
      </c>
      <c r="O9" s="76">
        <f t="shared" si="0"/>
        <v>785000</v>
      </c>
      <c r="P9" s="161">
        <v>8</v>
      </c>
      <c r="Q9" s="218">
        <f t="shared" si="1"/>
        <v>98125</v>
      </c>
      <c r="R9" s="76">
        <v>2375000</v>
      </c>
      <c r="S9" s="76">
        <f t="shared" si="2"/>
        <v>2831000</v>
      </c>
      <c r="T9" s="162">
        <f t="shared" si="3"/>
        <v>8</v>
      </c>
      <c r="U9" s="218">
        <f t="shared" si="4"/>
        <v>353875</v>
      </c>
    </row>
    <row r="10" spans="1:21" x14ac:dyDescent="0.25">
      <c r="A10" s="214" t="s">
        <v>298</v>
      </c>
      <c r="B10" s="215" t="s">
        <v>299</v>
      </c>
      <c r="C10" s="215" t="s">
        <v>300</v>
      </c>
      <c r="D10" s="215" t="s">
        <v>301</v>
      </c>
      <c r="F10" s="222" t="s">
        <v>390</v>
      </c>
      <c r="G10">
        <v>41</v>
      </c>
      <c r="H10">
        <v>74</v>
      </c>
      <c r="I10" s="123">
        <v>17.5</v>
      </c>
      <c r="J10" s="130">
        <v>5</v>
      </c>
      <c r="K10" s="76">
        <v>324</v>
      </c>
      <c r="L10" s="76">
        <v>945000</v>
      </c>
      <c r="M10" s="149">
        <v>4</v>
      </c>
      <c r="N10" s="76">
        <v>270000</v>
      </c>
      <c r="O10" s="76">
        <f t="shared" si="0"/>
        <v>1215000</v>
      </c>
      <c r="P10" s="161">
        <v>8</v>
      </c>
      <c r="Q10" s="218">
        <f t="shared" si="1"/>
        <v>151875</v>
      </c>
      <c r="R10" s="76">
        <v>1900000</v>
      </c>
      <c r="S10" s="76">
        <f t="shared" si="2"/>
        <v>2845000</v>
      </c>
      <c r="T10" s="162">
        <f t="shared" si="3"/>
        <v>8</v>
      </c>
      <c r="U10" s="218">
        <f t="shared" si="4"/>
        <v>355625</v>
      </c>
    </row>
    <row r="11" spans="1:21" x14ac:dyDescent="0.25">
      <c r="A11" s="216" t="s">
        <v>302</v>
      </c>
      <c r="B11" s="217" t="s">
        <v>303</v>
      </c>
      <c r="C11" s="217" t="s">
        <v>304</v>
      </c>
      <c r="D11" s="217" t="s">
        <v>305</v>
      </c>
      <c r="F11" s="222" t="s">
        <v>402</v>
      </c>
      <c r="G11">
        <v>39</v>
      </c>
      <c r="H11">
        <v>13</v>
      </c>
      <c r="I11" s="123">
        <v>16.7</v>
      </c>
      <c r="J11" s="130">
        <v>5</v>
      </c>
      <c r="K11" s="76">
        <v>612</v>
      </c>
      <c r="L11" s="76">
        <v>854000</v>
      </c>
      <c r="M11" s="149">
        <v>3</v>
      </c>
      <c r="N11" s="76">
        <v>281000</v>
      </c>
      <c r="O11" s="76">
        <f t="shared" si="0"/>
        <v>1135000</v>
      </c>
      <c r="P11" s="161">
        <v>8</v>
      </c>
      <c r="Q11" s="218">
        <f t="shared" si="1"/>
        <v>141875</v>
      </c>
      <c r="R11" s="76">
        <v>2005000</v>
      </c>
      <c r="S11" s="76">
        <f t="shared" si="2"/>
        <v>2859000</v>
      </c>
      <c r="T11" s="162">
        <f t="shared" si="3"/>
        <v>8</v>
      </c>
      <c r="U11" s="218">
        <f t="shared" si="4"/>
        <v>357375</v>
      </c>
    </row>
    <row r="12" spans="1:21" x14ac:dyDescent="0.25">
      <c r="A12" s="214" t="s">
        <v>306</v>
      </c>
      <c r="B12" s="215" t="s">
        <v>307</v>
      </c>
      <c r="C12" s="215" t="s">
        <v>308</v>
      </c>
      <c r="D12" s="215" t="s">
        <v>309</v>
      </c>
      <c r="F12" s="220" t="s">
        <v>339</v>
      </c>
      <c r="G12">
        <v>37</v>
      </c>
      <c r="H12">
        <v>22</v>
      </c>
      <c r="I12" s="123">
        <v>16.899999999999999</v>
      </c>
      <c r="J12" s="130">
        <v>5</v>
      </c>
      <c r="K12" s="76">
        <v>2388</v>
      </c>
      <c r="L12" s="76">
        <v>894000</v>
      </c>
      <c r="M12" s="149">
        <v>3</v>
      </c>
      <c r="N12" s="76">
        <v>281000</v>
      </c>
      <c r="O12" s="76">
        <f t="shared" si="0"/>
        <v>1175000</v>
      </c>
      <c r="P12" s="161">
        <v>8</v>
      </c>
      <c r="Q12" s="218">
        <f t="shared" si="1"/>
        <v>146875</v>
      </c>
      <c r="R12" s="76">
        <v>1995000</v>
      </c>
      <c r="S12" s="76">
        <f t="shared" si="2"/>
        <v>2889000</v>
      </c>
      <c r="T12" s="162">
        <f t="shared" si="3"/>
        <v>8</v>
      </c>
      <c r="U12" s="218">
        <f t="shared" si="4"/>
        <v>361125</v>
      </c>
    </row>
    <row r="13" spans="1:21" x14ac:dyDescent="0.25">
      <c r="A13" s="216" t="s">
        <v>310</v>
      </c>
      <c r="B13" s="217" t="s">
        <v>311</v>
      </c>
      <c r="C13" s="217" t="s">
        <v>312</v>
      </c>
      <c r="D13" s="217" t="s">
        <v>313</v>
      </c>
      <c r="F13" s="222" t="s">
        <v>397</v>
      </c>
      <c r="G13">
        <v>39</v>
      </c>
      <c r="H13">
        <v>50</v>
      </c>
      <c r="I13" s="123">
        <v>12.2</v>
      </c>
      <c r="J13" s="130">
        <v>5</v>
      </c>
      <c r="K13" s="76">
        <v>300</v>
      </c>
      <c r="L13" s="76">
        <v>148920</v>
      </c>
      <c r="M13" s="149">
        <v>3</v>
      </c>
      <c r="N13" s="76">
        <v>385000</v>
      </c>
      <c r="O13" s="76">
        <f t="shared" si="0"/>
        <v>533920</v>
      </c>
      <c r="P13" s="161">
        <v>8</v>
      </c>
      <c r="Q13" s="218">
        <f t="shared" si="1"/>
        <v>66740</v>
      </c>
      <c r="R13" s="76">
        <v>2750000</v>
      </c>
      <c r="S13" s="76">
        <f t="shared" si="2"/>
        <v>2898920</v>
      </c>
      <c r="T13" s="162">
        <f t="shared" si="3"/>
        <v>8</v>
      </c>
      <c r="U13" s="218">
        <f t="shared" si="4"/>
        <v>362365</v>
      </c>
    </row>
    <row r="14" spans="1:21" x14ac:dyDescent="0.25">
      <c r="A14" s="214" t="s">
        <v>314</v>
      </c>
      <c r="B14" s="215" t="s">
        <v>315</v>
      </c>
      <c r="C14" s="215" t="s">
        <v>316</v>
      </c>
      <c r="D14" s="215" t="s">
        <v>317</v>
      </c>
      <c r="F14" s="222" t="s">
        <v>400</v>
      </c>
      <c r="G14">
        <v>35</v>
      </c>
      <c r="H14">
        <v>108</v>
      </c>
      <c r="I14" s="123">
        <v>12.5</v>
      </c>
      <c r="J14" s="130">
        <v>5</v>
      </c>
      <c r="K14" s="76">
        <v>1296</v>
      </c>
      <c r="L14" s="76">
        <v>255000</v>
      </c>
      <c r="M14" s="149">
        <v>3</v>
      </c>
      <c r="N14" s="76">
        <v>375000</v>
      </c>
      <c r="O14" s="76">
        <f t="shared" si="0"/>
        <v>630000</v>
      </c>
      <c r="P14" s="161">
        <v>8</v>
      </c>
      <c r="Q14" s="218">
        <f t="shared" si="1"/>
        <v>78750</v>
      </c>
      <c r="R14" s="76">
        <v>2700000</v>
      </c>
      <c r="S14" s="76">
        <f t="shared" si="2"/>
        <v>2955000</v>
      </c>
      <c r="T14" s="162">
        <f t="shared" si="3"/>
        <v>8</v>
      </c>
      <c r="U14" s="218">
        <f t="shared" si="4"/>
        <v>369375</v>
      </c>
    </row>
    <row r="15" spans="1:21" x14ac:dyDescent="0.25">
      <c r="A15" s="216" t="s">
        <v>318</v>
      </c>
      <c r="B15" s="217" t="s">
        <v>319</v>
      </c>
      <c r="C15" s="217" t="s">
        <v>320</v>
      </c>
      <c r="D15" s="217" t="s">
        <v>321</v>
      </c>
      <c r="F15" s="222" t="s">
        <v>394</v>
      </c>
      <c r="G15">
        <v>39</v>
      </c>
      <c r="H15">
        <v>27</v>
      </c>
      <c r="I15" s="123">
        <v>13.2</v>
      </c>
      <c r="J15" s="130">
        <v>5</v>
      </c>
      <c r="K15" s="76">
        <v>384</v>
      </c>
      <c r="L15" s="76">
        <v>500000</v>
      </c>
      <c r="M15" s="149">
        <v>3</v>
      </c>
      <c r="N15" s="163">
        <v>355000</v>
      </c>
      <c r="O15" s="76">
        <f t="shared" si="0"/>
        <v>855000</v>
      </c>
      <c r="P15" s="161">
        <v>8</v>
      </c>
      <c r="Q15" s="218">
        <f t="shared" si="1"/>
        <v>106875</v>
      </c>
      <c r="R15" s="76">
        <v>2495000</v>
      </c>
      <c r="S15" s="76">
        <f t="shared" si="2"/>
        <v>2995000</v>
      </c>
      <c r="T15" s="162">
        <f t="shared" si="3"/>
        <v>8</v>
      </c>
      <c r="U15" s="218">
        <f t="shared" si="4"/>
        <v>374375</v>
      </c>
    </row>
    <row r="16" spans="1:21" x14ac:dyDescent="0.25">
      <c r="A16" s="214" t="s">
        <v>322</v>
      </c>
      <c r="B16" s="215" t="s">
        <v>323</v>
      </c>
      <c r="C16" s="215" t="s">
        <v>324</v>
      </c>
      <c r="D16" s="215" t="s">
        <v>325</v>
      </c>
      <c r="F16" s="222" t="s">
        <v>393</v>
      </c>
      <c r="G16">
        <v>36</v>
      </c>
      <c r="H16">
        <v>50</v>
      </c>
      <c r="I16" s="123">
        <v>13.2</v>
      </c>
      <c r="J16" s="130">
        <v>5</v>
      </c>
      <c r="K16" s="76">
        <v>1884</v>
      </c>
      <c r="L16" s="76">
        <v>510000</v>
      </c>
      <c r="M16" s="149">
        <v>3</v>
      </c>
      <c r="N16" s="76">
        <v>355000</v>
      </c>
      <c r="O16" s="76">
        <f t="shared" si="0"/>
        <v>865000</v>
      </c>
      <c r="P16" s="161">
        <v>8</v>
      </c>
      <c r="Q16" s="218">
        <f t="shared" si="1"/>
        <v>108125</v>
      </c>
      <c r="R16" s="76">
        <v>2495000</v>
      </c>
      <c r="S16" s="76">
        <f t="shared" si="2"/>
        <v>3005000</v>
      </c>
      <c r="T16" s="162">
        <f t="shared" si="3"/>
        <v>8</v>
      </c>
      <c r="U16" s="218">
        <f t="shared" si="4"/>
        <v>375625</v>
      </c>
    </row>
    <row r="17" spans="1:21" x14ac:dyDescent="0.25">
      <c r="A17" s="216" t="s">
        <v>326</v>
      </c>
      <c r="B17" s="217" t="s">
        <v>327</v>
      </c>
      <c r="C17" s="217" t="s">
        <v>328</v>
      </c>
      <c r="D17" s="217" t="s">
        <v>329</v>
      </c>
      <c r="F17" s="222" t="s">
        <v>347</v>
      </c>
      <c r="G17">
        <v>43</v>
      </c>
      <c r="H17">
        <v>37</v>
      </c>
      <c r="I17" s="123">
        <v>17.2</v>
      </c>
      <c r="J17" s="130">
        <v>5</v>
      </c>
      <c r="K17" s="76">
        <v>324</v>
      </c>
      <c r="L17" s="76">
        <v>1200000</v>
      </c>
      <c r="M17" s="149">
        <v>3</v>
      </c>
      <c r="N17" s="76">
        <v>273000</v>
      </c>
      <c r="O17" s="76">
        <f t="shared" si="0"/>
        <v>1473000</v>
      </c>
      <c r="P17" s="161">
        <v>8</v>
      </c>
      <c r="Q17" s="218">
        <f t="shared" si="1"/>
        <v>184125</v>
      </c>
      <c r="R17" s="76">
        <v>1940000</v>
      </c>
      <c r="S17" s="76">
        <f t="shared" si="2"/>
        <v>3140000</v>
      </c>
      <c r="T17" s="162">
        <f t="shared" si="3"/>
        <v>8</v>
      </c>
      <c r="U17" s="218">
        <f t="shared" si="4"/>
        <v>392500</v>
      </c>
    </row>
    <row r="18" spans="1:21" x14ac:dyDescent="0.25">
      <c r="A18" s="214" t="s">
        <v>330</v>
      </c>
      <c r="B18" s="215" t="s">
        <v>331</v>
      </c>
      <c r="C18" s="215" t="s">
        <v>332</v>
      </c>
      <c r="D18" s="215" t="s">
        <v>333</v>
      </c>
      <c r="F18" s="222" t="s">
        <v>392</v>
      </c>
      <c r="G18">
        <v>39</v>
      </c>
      <c r="H18">
        <v>27</v>
      </c>
      <c r="I18" s="123">
        <v>13.3</v>
      </c>
      <c r="J18" s="130">
        <v>5</v>
      </c>
      <c r="K18" s="76">
        <v>396</v>
      </c>
      <c r="L18" s="76">
        <v>700000</v>
      </c>
      <c r="M18" s="149">
        <v>3</v>
      </c>
      <c r="N18" s="76">
        <v>355000</v>
      </c>
      <c r="O18" s="76">
        <f t="shared" si="0"/>
        <v>1055000</v>
      </c>
      <c r="P18" s="161">
        <v>8</v>
      </c>
      <c r="Q18" s="218">
        <f t="shared" si="1"/>
        <v>131875</v>
      </c>
      <c r="R18" s="76">
        <v>2495000</v>
      </c>
      <c r="S18" s="76">
        <f t="shared" si="2"/>
        <v>3195000</v>
      </c>
      <c r="T18" s="162">
        <f t="shared" si="3"/>
        <v>8</v>
      </c>
      <c r="U18" s="218">
        <f t="shared" si="4"/>
        <v>399375</v>
      </c>
    </row>
    <row r="19" spans="1:21" x14ac:dyDescent="0.25">
      <c r="F19" s="222" t="s">
        <v>408</v>
      </c>
      <c r="G19">
        <v>42</v>
      </c>
      <c r="H19">
        <v>63</v>
      </c>
      <c r="I19" s="123">
        <v>16</v>
      </c>
      <c r="J19" s="130">
        <v>5</v>
      </c>
      <c r="K19" s="76">
        <v>300</v>
      </c>
      <c r="L19" s="76">
        <v>1193000</v>
      </c>
      <c r="M19" s="149">
        <v>3</v>
      </c>
      <c r="N19" s="76">
        <v>296000</v>
      </c>
      <c r="O19" s="76">
        <f t="shared" si="0"/>
        <v>1489000</v>
      </c>
      <c r="P19" s="161">
        <v>8</v>
      </c>
      <c r="Q19" s="218">
        <f t="shared" si="1"/>
        <v>186125</v>
      </c>
      <c r="R19" s="76">
        <v>2105200</v>
      </c>
      <c r="S19" s="76">
        <f t="shared" si="2"/>
        <v>3298200</v>
      </c>
      <c r="T19" s="162">
        <f t="shared" si="3"/>
        <v>8</v>
      </c>
      <c r="U19" s="218">
        <f t="shared" si="4"/>
        <v>412275</v>
      </c>
    </row>
    <row r="20" spans="1:21" x14ac:dyDescent="0.25">
      <c r="A20" s="11" t="s">
        <v>272</v>
      </c>
      <c r="B20" s="11" t="s">
        <v>273</v>
      </c>
      <c r="F20" s="220" t="s">
        <v>342</v>
      </c>
      <c r="G20">
        <v>37</v>
      </c>
      <c r="H20">
        <v>47</v>
      </c>
      <c r="I20" s="123">
        <v>20.100000000000001</v>
      </c>
      <c r="J20" s="130">
        <v>4</v>
      </c>
      <c r="K20" s="76">
        <f>2240*1.2</f>
        <v>2688</v>
      </c>
      <c r="L20" s="76">
        <v>510001</v>
      </c>
      <c r="M20" s="149">
        <v>3</v>
      </c>
      <c r="N20" s="76">
        <v>235000</v>
      </c>
      <c r="O20" s="76">
        <f t="shared" si="0"/>
        <v>745001</v>
      </c>
      <c r="P20" s="161">
        <v>6.5</v>
      </c>
      <c r="Q20" s="218">
        <f t="shared" si="1"/>
        <v>114615.53846153847</v>
      </c>
      <c r="R20" s="76">
        <v>1600000</v>
      </c>
      <c r="S20" s="76">
        <f t="shared" si="2"/>
        <v>2110001</v>
      </c>
      <c r="T20" s="162">
        <f t="shared" si="3"/>
        <v>6.5</v>
      </c>
      <c r="U20" s="218">
        <f t="shared" si="4"/>
        <v>324615.53846153844</v>
      </c>
    </row>
    <row r="21" spans="1:21" x14ac:dyDescent="0.25">
      <c r="A21" s="251" t="s">
        <v>271</v>
      </c>
      <c r="B21" s="251">
        <v>2</v>
      </c>
      <c r="F21" s="220" t="s">
        <v>352</v>
      </c>
      <c r="G21">
        <v>36</v>
      </c>
      <c r="H21">
        <v>51</v>
      </c>
      <c r="I21" s="123">
        <v>22.6</v>
      </c>
      <c r="J21" s="130">
        <v>4</v>
      </c>
      <c r="K21" s="76">
        <v>6540</v>
      </c>
      <c r="L21" s="76">
        <v>692580</v>
      </c>
      <c r="M21" s="149">
        <v>3</v>
      </c>
      <c r="N21" s="76">
        <v>225000</v>
      </c>
      <c r="O21" s="76">
        <f t="shared" si="0"/>
        <v>917580</v>
      </c>
      <c r="P21" s="161">
        <v>6.5</v>
      </c>
      <c r="Q21" s="218">
        <f t="shared" si="1"/>
        <v>141166.15384615384</v>
      </c>
      <c r="R21" s="76">
        <v>1550000</v>
      </c>
      <c r="S21" s="76">
        <f t="shared" si="2"/>
        <v>2242580</v>
      </c>
      <c r="T21" s="162">
        <f t="shared" si="3"/>
        <v>6.5</v>
      </c>
      <c r="U21" s="218">
        <f t="shared" si="4"/>
        <v>345012.30769230769</v>
      </c>
    </row>
    <row r="22" spans="1:21" x14ac:dyDescent="0.25">
      <c r="A22" s="251" t="s">
        <v>270</v>
      </c>
      <c r="B22" s="251">
        <v>1.5</v>
      </c>
      <c r="F22" s="222" t="s">
        <v>389</v>
      </c>
      <c r="G22">
        <v>41</v>
      </c>
      <c r="H22">
        <v>59</v>
      </c>
      <c r="I22" s="123">
        <v>16.3</v>
      </c>
      <c r="J22" s="130">
        <v>4</v>
      </c>
      <c r="K22" s="76">
        <v>312</v>
      </c>
      <c r="L22" s="76">
        <v>463000</v>
      </c>
      <c r="M22" s="149">
        <v>4</v>
      </c>
      <c r="N22" s="163">
        <v>289000</v>
      </c>
      <c r="O22" s="76">
        <f t="shared" si="0"/>
        <v>752000</v>
      </c>
      <c r="P22" s="161">
        <v>6.5</v>
      </c>
      <c r="Q22" s="218">
        <f t="shared" si="1"/>
        <v>115692.30769230769</v>
      </c>
      <c r="R22" s="76">
        <v>2015000</v>
      </c>
      <c r="S22" s="76">
        <f t="shared" si="2"/>
        <v>2478000</v>
      </c>
      <c r="T22" s="162">
        <f t="shared" si="3"/>
        <v>6.5</v>
      </c>
      <c r="U22" s="218">
        <f t="shared" si="4"/>
        <v>381230.76923076925</v>
      </c>
    </row>
    <row r="23" spans="1:21" x14ac:dyDescent="0.25">
      <c r="A23" s="251" t="s">
        <v>269</v>
      </c>
      <c r="B23" s="251">
        <v>1.5</v>
      </c>
      <c r="F23" s="222" t="s">
        <v>378</v>
      </c>
      <c r="G23">
        <v>37</v>
      </c>
      <c r="H23">
        <v>4</v>
      </c>
      <c r="I23" s="123">
        <v>16.899999999999999</v>
      </c>
      <c r="J23" s="130">
        <v>4</v>
      </c>
      <c r="K23" s="76">
        <v>3384</v>
      </c>
      <c r="L23" s="76">
        <v>500000</v>
      </c>
      <c r="M23" s="149">
        <v>3</v>
      </c>
      <c r="N23" s="76">
        <v>280000</v>
      </c>
      <c r="O23" s="76">
        <f t="shared" si="0"/>
        <v>780000</v>
      </c>
      <c r="P23" s="161">
        <v>6.5</v>
      </c>
      <c r="Q23" s="218">
        <f t="shared" si="1"/>
        <v>120000</v>
      </c>
      <c r="R23" s="76">
        <v>1999000</v>
      </c>
      <c r="S23" s="76">
        <f t="shared" si="2"/>
        <v>2499000</v>
      </c>
      <c r="T23" s="162">
        <f t="shared" si="3"/>
        <v>6.5</v>
      </c>
      <c r="U23" s="218">
        <f t="shared" si="4"/>
        <v>384461.53846153844</v>
      </c>
    </row>
    <row r="24" spans="1:21" x14ac:dyDescent="0.25">
      <c r="A24" s="251" t="s">
        <v>266</v>
      </c>
      <c r="B24" s="251">
        <v>1.5</v>
      </c>
      <c r="F24" s="222" t="s">
        <v>380</v>
      </c>
      <c r="G24">
        <v>36</v>
      </c>
      <c r="H24">
        <v>83</v>
      </c>
      <c r="I24" s="123">
        <v>16.600000000000001</v>
      </c>
      <c r="J24" s="130">
        <v>4</v>
      </c>
      <c r="K24" s="76">
        <v>3552</v>
      </c>
      <c r="L24" s="76">
        <v>569000</v>
      </c>
      <c r="M24" s="149">
        <v>3</v>
      </c>
      <c r="N24" s="76">
        <v>284000</v>
      </c>
      <c r="O24" s="76">
        <f t="shared" si="0"/>
        <v>853000</v>
      </c>
      <c r="P24" s="161">
        <v>6.5</v>
      </c>
      <c r="Q24" s="218">
        <f t="shared" si="1"/>
        <v>131230.76923076922</v>
      </c>
      <c r="R24" s="76">
        <v>2000000</v>
      </c>
      <c r="S24" s="76">
        <f t="shared" si="2"/>
        <v>2569000</v>
      </c>
      <c r="T24" s="162">
        <f t="shared" si="3"/>
        <v>6.5</v>
      </c>
      <c r="U24" s="218">
        <f t="shared" si="4"/>
        <v>395230.76923076925</v>
      </c>
    </row>
    <row r="25" spans="1:21" x14ac:dyDescent="0.25">
      <c r="A25" s="251" t="s">
        <v>267</v>
      </c>
      <c r="B25" s="251">
        <v>1.5</v>
      </c>
      <c r="F25" s="222" t="s">
        <v>401</v>
      </c>
      <c r="G25">
        <v>39</v>
      </c>
      <c r="H25">
        <v>107</v>
      </c>
      <c r="I25" s="123">
        <v>16.3</v>
      </c>
      <c r="J25" s="130">
        <v>4</v>
      </c>
      <c r="K25" s="76">
        <v>1008</v>
      </c>
      <c r="L25" s="76">
        <v>600000</v>
      </c>
      <c r="M25" s="149">
        <v>3</v>
      </c>
      <c r="N25" s="76">
        <v>289000</v>
      </c>
      <c r="O25" s="76">
        <f t="shared" si="0"/>
        <v>889000</v>
      </c>
      <c r="P25" s="161">
        <v>6.5</v>
      </c>
      <c r="Q25" s="218">
        <f t="shared" si="1"/>
        <v>136769.23076923078</v>
      </c>
      <c r="R25" s="76">
        <v>2015000</v>
      </c>
      <c r="S25" s="76">
        <f t="shared" si="2"/>
        <v>2615000</v>
      </c>
      <c r="T25" s="162">
        <f t="shared" si="3"/>
        <v>6.5</v>
      </c>
      <c r="U25" s="218">
        <f t="shared" si="4"/>
        <v>402307.69230769231</v>
      </c>
    </row>
    <row r="26" spans="1:21" x14ac:dyDescent="0.25">
      <c r="A26" s="251" t="s">
        <v>268</v>
      </c>
      <c r="B26" s="251">
        <v>1.5</v>
      </c>
      <c r="F26" s="222" t="s">
        <v>379</v>
      </c>
      <c r="G26">
        <v>37</v>
      </c>
      <c r="H26">
        <v>48</v>
      </c>
      <c r="I26" s="123">
        <v>18.399999999999999</v>
      </c>
      <c r="J26" s="130">
        <v>4</v>
      </c>
      <c r="K26" s="76">
        <v>1872</v>
      </c>
      <c r="L26" s="76">
        <v>849660</v>
      </c>
      <c r="M26" s="149">
        <v>3</v>
      </c>
      <c r="N26" s="76">
        <v>258000</v>
      </c>
      <c r="O26" s="76">
        <f t="shared" si="0"/>
        <v>1107660</v>
      </c>
      <c r="P26" s="161">
        <v>6.5</v>
      </c>
      <c r="Q26" s="218">
        <f t="shared" si="1"/>
        <v>170409.23076923078</v>
      </c>
      <c r="R26" s="76">
        <v>1820000</v>
      </c>
      <c r="S26" s="76">
        <f t="shared" si="2"/>
        <v>2669660</v>
      </c>
      <c r="T26" s="162">
        <f t="shared" si="3"/>
        <v>6.5</v>
      </c>
      <c r="U26" s="218">
        <f t="shared" si="4"/>
        <v>410716.92307692306</v>
      </c>
    </row>
    <row r="27" spans="1:21" x14ac:dyDescent="0.25">
      <c r="A27" s="251"/>
      <c r="B27" s="251"/>
      <c r="F27" s="222" t="s">
        <v>411</v>
      </c>
      <c r="G27">
        <v>38</v>
      </c>
      <c r="H27">
        <v>37</v>
      </c>
      <c r="I27" s="123">
        <v>19.2</v>
      </c>
      <c r="J27" s="130">
        <v>4</v>
      </c>
      <c r="K27" s="76">
        <v>1500</v>
      </c>
      <c r="L27" s="76">
        <v>1019000</v>
      </c>
      <c r="M27" s="149">
        <v>3</v>
      </c>
      <c r="N27" s="76">
        <v>245000</v>
      </c>
      <c r="O27" s="76">
        <f>L27+N27</f>
        <v>1264000</v>
      </c>
      <c r="P27" s="161">
        <v>6.5</v>
      </c>
      <c r="Q27" s="218">
        <f>O27/P27</f>
        <v>194461.53846153847</v>
      </c>
      <c r="R27" s="76">
        <v>1700000</v>
      </c>
      <c r="S27" s="76">
        <f>R27+L27</f>
        <v>2719000</v>
      </c>
      <c r="T27" s="162">
        <f>P27</f>
        <v>6.5</v>
      </c>
      <c r="U27" s="218">
        <f>S27/T27</f>
        <v>418307.69230769231</v>
      </c>
    </row>
    <row r="28" spans="1:21" x14ac:dyDescent="0.25">
      <c r="A28" s="11" t="s">
        <v>335</v>
      </c>
      <c r="B28" s="11" t="s">
        <v>336</v>
      </c>
      <c r="F28" s="222" t="s">
        <v>413</v>
      </c>
      <c r="G28">
        <v>37</v>
      </c>
      <c r="H28">
        <v>75</v>
      </c>
      <c r="I28" s="123">
        <v>18.8</v>
      </c>
      <c r="J28" s="130">
        <v>4</v>
      </c>
      <c r="K28" s="76">
        <v>2496</v>
      </c>
      <c r="L28" s="76">
        <v>995000</v>
      </c>
      <c r="M28" s="149">
        <v>3</v>
      </c>
      <c r="N28" s="76">
        <v>255000</v>
      </c>
      <c r="O28" s="76">
        <f>L28+N28</f>
        <v>1250000</v>
      </c>
      <c r="P28" s="161">
        <v>6.5</v>
      </c>
      <c r="Q28" s="218">
        <f>O28/P28</f>
        <v>192307.69230769231</v>
      </c>
      <c r="R28" s="76">
        <v>1800000</v>
      </c>
      <c r="S28" s="76">
        <f>R28+L28</f>
        <v>2795000</v>
      </c>
      <c r="T28" s="162">
        <f>P28</f>
        <v>6.5</v>
      </c>
      <c r="U28" s="218">
        <f>S28/T28</f>
        <v>430000</v>
      </c>
    </row>
    <row r="29" spans="1:21" x14ac:dyDescent="0.25">
      <c r="A29" s="251" t="s">
        <v>148</v>
      </c>
      <c r="B29" s="42">
        <v>9.5</v>
      </c>
      <c r="F29" s="220" t="s">
        <v>377</v>
      </c>
      <c r="G29">
        <v>35</v>
      </c>
      <c r="H29">
        <v>102</v>
      </c>
      <c r="I29" s="123">
        <v>18.899999999999999</v>
      </c>
      <c r="J29" s="130">
        <v>4</v>
      </c>
      <c r="K29" s="76">
        <v>8052</v>
      </c>
      <c r="L29" s="76">
        <v>1250000</v>
      </c>
      <c r="M29" s="149">
        <v>3</v>
      </c>
      <c r="N29" s="76">
        <v>251000</v>
      </c>
      <c r="O29" s="76">
        <f t="shared" si="0"/>
        <v>1501000</v>
      </c>
      <c r="P29" s="161">
        <v>6.5</v>
      </c>
      <c r="Q29" s="218">
        <f t="shared" si="1"/>
        <v>230923.07692307694</v>
      </c>
      <c r="R29" s="76">
        <v>1778000</v>
      </c>
      <c r="S29" s="76">
        <f t="shared" si="2"/>
        <v>3028000</v>
      </c>
      <c r="T29" s="162">
        <f t="shared" si="3"/>
        <v>6.5</v>
      </c>
      <c r="U29" s="218">
        <f t="shared" si="4"/>
        <v>465846.15384615387</v>
      </c>
    </row>
    <row r="30" spans="1:21" x14ac:dyDescent="0.25">
      <c r="A30" s="251" t="s">
        <v>109</v>
      </c>
      <c r="B30" s="42">
        <v>8</v>
      </c>
      <c r="F30" s="222" t="s">
        <v>412</v>
      </c>
      <c r="G30">
        <v>33</v>
      </c>
      <c r="H30">
        <v>38</v>
      </c>
      <c r="I30" s="123">
        <v>18.5</v>
      </c>
      <c r="J30" s="130">
        <v>4</v>
      </c>
      <c r="K30" s="76">
        <v>21756</v>
      </c>
      <c r="L30" s="76">
        <v>1246441</v>
      </c>
      <c r="M30" s="149">
        <v>3</v>
      </c>
      <c r="N30" s="76">
        <v>258000</v>
      </c>
      <c r="O30" s="76">
        <f>L30+N30</f>
        <v>1504441</v>
      </c>
      <c r="P30" s="161">
        <v>6.5</v>
      </c>
      <c r="Q30" s="218">
        <f>O30/P30</f>
        <v>231452.46153846153</v>
      </c>
      <c r="R30" s="76">
        <v>1830000</v>
      </c>
      <c r="S30" s="76">
        <f>R30+L30</f>
        <v>3076441</v>
      </c>
      <c r="T30" s="162">
        <f>P30</f>
        <v>6.5</v>
      </c>
      <c r="U30" s="218">
        <f>S30/T30</f>
        <v>473298.61538461538</v>
      </c>
    </row>
    <row r="31" spans="1:21" x14ac:dyDescent="0.25">
      <c r="A31" s="251" t="s">
        <v>110</v>
      </c>
      <c r="B31" s="42">
        <f>B30-1.5</f>
        <v>6.5</v>
      </c>
      <c r="F31" s="222" t="s">
        <v>381</v>
      </c>
      <c r="G31">
        <v>34</v>
      </c>
      <c r="H31">
        <v>43</v>
      </c>
      <c r="I31" s="123">
        <v>18.2</v>
      </c>
      <c r="J31" s="130">
        <v>4</v>
      </c>
      <c r="K31" s="76">
        <v>9804</v>
      </c>
      <c r="L31" s="76">
        <v>1400000</v>
      </c>
      <c r="M31" s="149">
        <v>3</v>
      </c>
      <c r="N31" s="76">
        <v>258000</v>
      </c>
      <c r="O31" s="76">
        <f t="shared" si="0"/>
        <v>1658000</v>
      </c>
      <c r="P31" s="161">
        <v>6.5</v>
      </c>
      <c r="Q31" s="218">
        <f t="shared" si="1"/>
        <v>255076.92307692306</v>
      </c>
      <c r="R31" s="76">
        <v>1830000</v>
      </c>
      <c r="S31" s="76">
        <f t="shared" si="2"/>
        <v>3230000</v>
      </c>
      <c r="T31" s="162">
        <f t="shared" si="3"/>
        <v>6.5</v>
      </c>
      <c r="U31" s="218">
        <f t="shared" si="4"/>
        <v>496923.07692307694</v>
      </c>
    </row>
    <row r="32" spans="1:21" x14ac:dyDescent="0.25">
      <c r="A32" s="251" t="s">
        <v>111</v>
      </c>
      <c r="B32" s="42">
        <f t="shared" ref="B32" si="5">B31-1.5</f>
        <v>5</v>
      </c>
      <c r="F32" s="222" t="s">
        <v>387</v>
      </c>
      <c r="G32">
        <v>36</v>
      </c>
      <c r="H32">
        <v>16</v>
      </c>
      <c r="I32" s="123">
        <v>19.3</v>
      </c>
      <c r="J32" s="130">
        <v>4</v>
      </c>
      <c r="K32" s="76">
        <v>7020</v>
      </c>
      <c r="L32" s="76">
        <v>1745000</v>
      </c>
      <c r="M32" s="149">
        <v>4</v>
      </c>
      <c r="N32" s="76">
        <v>245000</v>
      </c>
      <c r="O32" s="76">
        <f t="shared" si="0"/>
        <v>1990000</v>
      </c>
      <c r="P32" s="161">
        <v>6.5</v>
      </c>
      <c r="Q32" s="218">
        <f t="shared" si="1"/>
        <v>306153.84615384613</v>
      </c>
      <c r="R32" s="76">
        <v>1700000</v>
      </c>
      <c r="S32" s="76">
        <f t="shared" si="2"/>
        <v>3445000</v>
      </c>
      <c r="T32" s="162">
        <f t="shared" si="3"/>
        <v>6.5</v>
      </c>
      <c r="U32" s="218">
        <f t="shared" si="4"/>
        <v>530000</v>
      </c>
    </row>
    <row r="33" spans="1:21" x14ac:dyDescent="0.25">
      <c r="A33" s="251" t="s">
        <v>112</v>
      </c>
      <c r="B33" s="42">
        <f>2+1.5</f>
        <v>3.5</v>
      </c>
      <c r="F33" s="222" t="s">
        <v>383</v>
      </c>
      <c r="G33">
        <v>34</v>
      </c>
      <c r="H33">
        <v>105</v>
      </c>
      <c r="I33" s="123">
        <v>28.5</v>
      </c>
      <c r="J33" s="130">
        <v>4</v>
      </c>
      <c r="K33" s="76">
        <v>15024</v>
      </c>
      <c r="L33" s="76">
        <v>2554080</v>
      </c>
      <c r="M33" s="149">
        <v>3</v>
      </c>
      <c r="N33" s="163">
        <v>178000</v>
      </c>
      <c r="O33" s="76">
        <f t="shared" si="0"/>
        <v>2732080</v>
      </c>
      <c r="P33" s="161">
        <v>6.5</v>
      </c>
      <c r="Q33" s="218">
        <f t="shared" si="1"/>
        <v>420320</v>
      </c>
      <c r="R33" s="76">
        <v>1369000</v>
      </c>
      <c r="S33" s="76">
        <f t="shared" si="2"/>
        <v>3923080</v>
      </c>
      <c r="T33" s="162">
        <f t="shared" si="3"/>
        <v>6.5</v>
      </c>
      <c r="U33" s="218">
        <f t="shared" si="4"/>
        <v>603550.76923076925</v>
      </c>
    </row>
    <row r="34" spans="1:21" x14ac:dyDescent="0.25">
      <c r="A34" s="251" t="s">
        <v>338</v>
      </c>
      <c r="B34" s="42">
        <v>2</v>
      </c>
      <c r="F34" s="222" t="s">
        <v>386</v>
      </c>
      <c r="G34">
        <v>38</v>
      </c>
      <c r="H34">
        <v>2</v>
      </c>
      <c r="I34" s="123">
        <v>22.7</v>
      </c>
      <c r="J34" s="130">
        <v>3</v>
      </c>
      <c r="K34" s="76">
        <v>1980</v>
      </c>
      <c r="L34" s="76">
        <v>153000</v>
      </c>
      <c r="M34" s="149">
        <v>4</v>
      </c>
      <c r="N34" s="76">
        <v>225000</v>
      </c>
      <c r="O34" s="76">
        <f t="shared" si="0"/>
        <v>378000</v>
      </c>
      <c r="P34" s="161">
        <v>5</v>
      </c>
      <c r="Q34" s="218">
        <f t="shared" si="1"/>
        <v>75600</v>
      </c>
      <c r="R34" s="76">
        <v>1555000</v>
      </c>
      <c r="S34" s="76">
        <f t="shared" si="2"/>
        <v>1708000</v>
      </c>
      <c r="T34" s="162">
        <f t="shared" si="3"/>
        <v>5</v>
      </c>
      <c r="U34" s="218">
        <f t="shared" si="4"/>
        <v>341600</v>
      </c>
    </row>
    <row r="35" spans="1:21" x14ac:dyDescent="0.25">
      <c r="A35" s="251" t="s">
        <v>337</v>
      </c>
      <c r="B35" s="42">
        <v>1</v>
      </c>
      <c r="F35" s="222" t="s">
        <v>345</v>
      </c>
      <c r="G35">
        <v>39</v>
      </c>
      <c r="H35">
        <v>26</v>
      </c>
      <c r="I35" s="123">
        <v>20.100000000000001</v>
      </c>
      <c r="J35" s="130">
        <v>3</v>
      </c>
      <c r="K35" s="76">
        <v>888</v>
      </c>
      <c r="L35" s="76">
        <v>213180</v>
      </c>
      <c r="M35" s="149">
        <v>3</v>
      </c>
      <c r="N35" s="76">
        <v>235000</v>
      </c>
      <c r="O35" s="76">
        <f t="shared" si="0"/>
        <v>448180</v>
      </c>
      <c r="P35" s="161">
        <v>5</v>
      </c>
      <c r="Q35" s="218">
        <f t="shared" si="1"/>
        <v>89636</v>
      </c>
      <c r="R35" s="76">
        <v>1600000</v>
      </c>
      <c r="S35" s="76">
        <f t="shared" si="2"/>
        <v>1813180</v>
      </c>
      <c r="T35" s="162">
        <f t="shared" si="3"/>
        <v>5</v>
      </c>
      <c r="U35" s="218">
        <f t="shared" si="4"/>
        <v>362636</v>
      </c>
    </row>
    <row r="36" spans="1:21" x14ac:dyDescent="0.25">
      <c r="F36" s="222" t="s">
        <v>414</v>
      </c>
      <c r="G36">
        <v>40</v>
      </c>
      <c r="H36">
        <v>31</v>
      </c>
      <c r="I36" s="123">
        <v>18.7</v>
      </c>
      <c r="J36" s="130">
        <v>3</v>
      </c>
      <c r="K36" s="76">
        <v>432</v>
      </c>
      <c r="L36" s="76">
        <v>75480</v>
      </c>
      <c r="M36" s="149">
        <v>3</v>
      </c>
      <c r="N36" s="163">
        <v>257000</v>
      </c>
      <c r="O36" s="76">
        <f>L36+N36</f>
        <v>332480</v>
      </c>
      <c r="P36" s="161">
        <v>5</v>
      </c>
      <c r="Q36" s="218">
        <f>O36/P36</f>
        <v>66496</v>
      </c>
      <c r="R36" s="76">
        <v>1810000</v>
      </c>
      <c r="S36" s="76">
        <f>R36+L36</f>
        <v>1885480</v>
      </c>
      <c r="T36" s="162">
        <f>P36</f>
        <v>5</v>
      </c>
      <c r="U36" s="218">
        <f>S36/T36</f>
        <v>377096</v>
      </c>
    </row>
    <row r="37" spans="1:21" x14ac:dyDescent="0.25">
      <c r="F37" s="222" t="s">
        <v>407</v>
      </c>
      <c r="G37">
        <v>39</v>
      </c>
      <c r="H37">
        <v>27</v>
      </c>
      <c r="I37" s="123">
        <v>19.8</v>
      </c>
      <c r="J37" s="130">
        <v>3</v>
      </c>
      <c r="K37" s="76">
        <v>552</v>
      </c>
      <c r="L37" s="76">
        <v>230520</v>
      </c>
      <c r="M37" s="149">
        <v>3</v>
      </c>
      <c r="N37" s="76">
        <v>240000</v>
      </c>
      <c r="O37" s="76">
        <f t="shared" si="0"/>
        <v>470520</v>
      </c>
      <c r="P37" s="161">
        <v>5</v>
      </c>
      <c r="Q37" s="218">
        <f t="shared" si="1"/>
        <v>94104</v>
      </c>
      <c r="R37" s="76">
        <v>1700000</v>
      </c>
      <c r="S37" s="76">
        <f t="shared" si="2"/>
        <v>1930520</v>
      </c>
      <c r="T37" s="162">
        <f t="shared" si="3"/>
        <v>5</v>
      </c>
      <c r="U37" s="218">
        <f t="shared" si="4"/>
        <v>386104</v>
      </c>
    </row>
    <row r="38" spans="1:21" x14ac:dyDescent="0.25">
      <c r="F38" s="222" t="s">
        <v>341</v>
      </c>
      <c r="G38">
        <v>38</v>
      </c>
      <c r="H38">
        <v>39</v>
      </c>
      <c r="I38" s="123">
        <v>18.8</v>
      </c>
      <c r="J38" s="130">
        <v>3</v>
      </c>
      <c r="K38" s="76">
        <v>864</v>
      </c>
      <c r="L38" s="76">
        <v>235620</v>
      </c>
      <c r="M38" s="149">
        <v>3</v>
      </c>
      <c r="N38" s="76">
        <v>255000</v>
      </c>
      <c r="O38" s="76">
        <f t="shared" si="0"/>
        <v>490620</v>
      </c>
      <c r="P38" s="161">
        <v>5</v>
      </c>
      <c r="Q38" s="218">
        <f t="shared" si="1"/>
        <v>98124</v>
      </c>
      <c r="R38" s="76">
        <v>1795000</v>
      </c>
      <c r="S38" s="76">
        <f t="shared" si="2"/>
        <v>2030620</v>
      </c>
      <c r="T38" s="162">
        <f t="shared" si="3"/>
        <v>5</v>
      </c>
      <c r="U38" s="218">
        <f t="shared" si="4"/>
        <v>406124</v>
      </c>
    </row>
    <row r="39" spans="1:21" x14ac:dyDescent="0.25">
      <c r="F39" s="222" t="s">
        <v>398</v>
      </c>
      <c r="G39">
        <v>41</v>
      </c>
      <c r="H39">
        <v>100</v>
      </c>
      <c r="I39" s="123">
        <v>16.3</v>
      </c>
      <c r="J39" s="130">
        <v>3</v>
      </c>
      <c r="K39" s="76">
        <v>444</v>
      </c>
      <c r="L39" s="76">
        <v>32000</v>
      </c>
      <c r="M39" s="149">
        <v>3</v>
      </c>
      <c r="N39" s="76">
        <v>289000</v>
      </c>
      <c r="O39" s="76">
        <f t="shared" ref="O39:O65" si="6">L39+N39</f>
        <v>321000</v>
      </c>
      <c r="P39" s="161">
        <v>5</v>
      </c>
      <c r="Q39" s="218">
        <f t="shared" ref="Q39:Q65" si="7">O39/P39</f>
        <v>64200</v>
      </c>
      <c r="R39" s="76">
        <v>2015000</v>
      </c>
      <c r="S39" s="76">
        <f t="shared" ref="S39:S65" si="8">R39+L39</f>
        <v>2047000</v>
      </c>
      <c r="T39" s="162">
        <f t="shared" ref="T39:T65" si="9">P39</f>
        <v>5</v>
      </c>
      <c r="U39" s="218">
        <f t="shared" ref="U39:U65" si="10">S39/T39</f>
        <v>409400</v>
      </c>
    </row>
    <row r="40" spans="1:21" x14ac:dyDescent="0.25">
      <c r="F40" s="222" t="s">
        <v>399</v>
      </c>
      <c r="G40">
        <v>39</v>
      </c>
      <c r="H40">
        <v>66</v>
      </c>
      <c r="I40" s="123">
        <v>16.7</v>
      </c>
      <c r="J40" s="130">
        <v>3</v>
      </c>
      <c r="K40" s="76">
        <v>492</v>
      </c>
      <c r="L40" s="76">
        <v>51000</v>
      </c>
      <c r="M40" s="149">
        <v>3</v>
      </c>
      <c r="N40" s="163">
        <v>284000</v>
      </c>
      <c r="O40" s="76">
        <f t="shared" si="6"/>
        <v>335000</v>
      </c>
      <c r="P40" s="161">
        <v>5</v>
      </c>
      <c r="Q40" s="218">
        <f t="shared" si="7"/>
        <v>67000</v>
      </c>
      <c r="R40" s="76">
        <v>2000000</v>
      </c>
      <c r="S40" s="76">
        <f t="shared" si="8"/>
        <v>2051000</v>
      </c>
      <c r="T40" s="162">
        <f t="shared" si="9"/>
        <v>5</v>
      </c>
      <c r="U40" s="218">
        <f t="shared" si="10"/>
        <v>410200</v>
      </c>
    </row>
    <row r="41" spans="1:21" x14ac:dyDescent="0.25">
      <c r="F41" s="220" t="s">
        <v>344</v>
      </c>
      <c r="G41">
        <v>39</v>
      </c>
      <c r="H41">
        <v>103</v>
      </c>
      <c r="I41" s="123">
        <v>16.7</v>
      </c>
      <c r="J41" s="130">
        <v>3</v>
      </c>
      <c r="K41" s="76">
        <v>972</v>
      </c>
      <c r="L41" s="76">
        <v>242500</v>
      </c>
      <c r="M41" s="149">
        <v>3</v>
      </c>
      <c r="N41" s="76">
        <v>285000</v>
      </c>
      <c r="O41" s="76">
        <f t="shared" si="6"/>
        <v>527500</v>
      </c>
      <c r="P41" s="161">
        <v>5</v>
      </c>
      <c r="Q41" s="218">
        <f t="shared" si="7"/>
        <v>105500</v>
      </c>
      <c r="R41" s="76">
        <v>2000000</v>
      </c>
      <c r="S41" s="76">
        <f t="shared" si="8"/>
        <v>2242500</v>
      </c>
      <c r="T41" s="162">
        <f t="shared" si="9"/>
        <v>5</v>
      </c>
      <c r="U41" s="218">
        <f t="shared" si="10"/>
        <v>448500</v>
      </c>
    </row>
    <row r="42" spans="1:21" x14ac:dyDescent="0.25">
      <c r="F42" s="222" t="s">
        <v>409</v>
      </c>
      <c r="G42">
        <v>35</v>
      </c>
      <c r="H42">
        <v>58</v>
      </c>
      <c r="I42" s="123">
        <v>18.8</v>
      </c>
      <c r="J42" s="130">
        <v>3</v>
      </c>
      <c r="K42" s="76">
        <v>9432</v>
      </c>
      <c r="L42" s="76">
        <v>955800</v>
      </c>
      <c r="M42" s="149">
        <v>3</v>
      </c>
      <c r="N42" s="163">
        <v>255000</v>
      </c>
      <c r="O42" s="76">
        <f>L42+N42</f>
        <v>1210800</v>
      </c>
      <c r="P42" s="161">
        <v>5</v>
      </c>
      <c r="Q42" s="218">
        <f>O42/P42</f>
        <v>242160</v>
      </c>
      <c r="R42" s="76">
        <v>1800000</v>
      </c>
      <c r="S42" s="76">
        <f>R42+L42</f>
        <v>2755800</v>
      </c>
      <c r="T42" s="162">
        <f>P42</f>
        <v>5</v>
      </c>
      <c r="U42" s="218">
        <f>S42/T42</f>
        <v>551160</v>
      </c>
    </row>
    <row r="43" spans="1:21" x14ac:dyDescent="0.25">
      <c r="F43" s="222" t="s">
        <v>406</v>
      </c>
      <c r="G43">
        <v>36</v>
      </c>
      <c r="H43">
        <v>51</v>
      </c>
      <c r="I43" s="123">
        <v>16.8</v>
      </c>
      <c r="J43" s="130">
        <v>3</v>
      </c>
      <c r="K43" s="76">
        <v>1836</v>
      </c>
      <c r="L43" s="76">
        <v>796620</v>
      </c>
      <c r="M43" s="149">
        <v>3</v>
      </c>
      <c r="N43" s="76">
        <v>284000</v>
      </c>
      <c r="O43" s="76">
        <f t="shared" si="6"/>
        <v>1080620</v>
      </c>
      <c r="P43" s="161">
        <v>5</v>
      </c>
      <c r="Q43" s="218">
        <f t="shared" si="7"/>
        <v>216124</v>
      </c>
      <c r="R43" s="76">
        <v>2000000</v>
      </c>
      <c r="S43" s="76">
        <f t="shared" si="8"/>
        <v>2796620</v>
      </c>
      <c r="T43" s="162">
        <f t="shared" si="9"/>
        <v>5</v>
      </c>
      <c r="U43" s="218">
        <f t="shared" si="10"/>
        <v>559324</v>
      </c>
    </row>
    <row r="44" spans="1:21" x14ac:dyDescent="0.25">
      <c r="F44" s="220" t="s">
        <v>346</v>
      </c>
      <c r="G44">
        <v>40</v>
      </c>
      <c r="H44">
        <v>0</v>
      </c>
      <c r="I44" s="123">
        <v>35.5</v>
      </c>
      <c r="J44" s="130">
        <v>2</v>
      </c>
      <c r="K44" s="76">
        <v>420</v>
      </c>
      <c r="L44" s="76">
        <v>102000</v>
      </c>
      <c r="M44" s="149">
        <v>3</v>
      </c>
      <c r="N44" s="76">
        <v>150000</v>
      </c>
      <c r="O44" s="76">
        <f t="shared" si="6"/>
        <v>252000</v>
      </c>
      <c r="P44" s="161">
        <v>3.5</v>
      </c>
      <c r="Q44" s="218">
        <f t="shared" si="7"/>
        <v>72000</v>
      </c>
      <c r="R44" s="76">
        <v>1000000</v>
      </c>
      <c r="S44" s="76">
        <f t="shared" si="8"/>
        <v>1102000</v>
      </c>
      <c r="T44" s="162">
        <f t="shared" si="9"/>
        <v>3.5</v>
      </c>
      <c r="U44" s="218">
        <f t="shared" si="10"/>
        <v>314857.14285714284</v>
      </c>
    </row>
    <row r="45" spans="1:21" x14ac:dyDescent="0.25">
      <c r="F45" s="222" t="s">
        <v>351</v>
      </c>
      <c r="G45">
        <v>57</v>
      </c>
      <c r="H45">
        <v>111</v>
      </c>
      <c r="I45" s="123">
        <v>33.5</v>
      </c>
      <c r="J45" s="130">
        <v>2</v>
      </c>
      <c r="K45" s="76">
        <v>300</v>
      </c>
      <c r="L45" s="76">
        <v>240000</v>
      </c>
      <c r="M45" s="149">
        <v>3</v>
      </c>
      <c r="N45" s="76">
        <v>165000</v>
      </c>
      <c r="O45" s="76">
        <f t="shared" si="6"/>
        <v>405000</v>
      </c>
      <c r="P45" s="161">
        <v>3.5</v>
      </c>
      <c r="Q45" s="218">
        <f t="shared" si="7"/>
        <v>115714.28571428571</v>
      </c>
      <c r="R45" s="76">
        <v>1150000</v>
      </c>
      <c r="S45" s="76">
        <f t="shared" si="8"/>
        <v>1390000</v>
      </c>
      <c r="T45" s="162">
        <f t="shared" si="9"/>
        <v>3.5</v>
      </c>
      <c r="U45" s="218">
        <f t="shared" si="10"/>
        <v>397142.85714285716</v>
      </c>
    </row>
    <row r="46" spans="1:21" x14ac:dyDescent="0.25">
      <c r="F46" s="220" t="s">
        <v>348</v>
      </c>
      <c r="G46">
        <v>42</v>
      </c>
      <c r="H46">
        <v>4</v>
      </c>
      <c r="I46" s="123">
        <v>23.5</v>
      </c>
      <c r="J46" s="130">
        <v>2</v>
      </c>
      <c r="K46" s="76">
        <f>250*1.2</f>
        <v>300</v>
      </c>
      <c r="L46" s="76">
        <v>41000</v>
      </c>
      <c r="M46" s="149">
        <v>3</v>
      </c>
      <c r="N46" s="76">
        <v>210000</v>
      </c>
      <c r="O46" s="76">
        <f t="shared" si="6"/>
        <v>251000</v>
      </c>
      <c r="P46" s="161">
        <v>3.5</v>
      </c>
      <c r="Q46" s="218">
        <f t="shared" si="7"/>
        <v>71714.28571428571</v>
      </c>
      <c r="R46" s="76">
        <v>1500000</v>
      </c>
      <c r="S46" s="76">
        <f t="shared" si="8"/>
        <v>1541000</v>
      </c>
      <c r="T46" s="162">
        <f t="shared" si="9"/>
        <v>3.5</v>
      </c>
      <c r="U46" s="218">
        <f t="shared" si="10"/>
        <v>440285.71428571426</v>
      </c>
    </row>
    <row r="47" spans="1:21" x14ac:dyDescent="0.25">
      <c r="F47" s="220" t="s">
        <v>350</v>
      </c>
      <c r="G47">
        <v>46</v>
      </c>
      <c r="H47">
        <v>23</v>
      </c>
      <c r="I47" s="123">
        <v>25.2</v>
      </c>
      <c r="J47" s="130">
        <v>2</v>
      </c>
      <c r="K47" s="76">
        <v>300</v>
      </c>
      <c r="L47" s="76">
        <v>120000</v>
      </c>
      <c r="M47" s="149">
        <v>3</v>
      </c>
      <c r="N47" s="76">
        <v>202000</v>
      </c>
      <c r="O47" s="76">
        <f t="shared" si="6"/>
        <v>322000</v>
      </c>
      <c r="P47" s="161">
        <v>3.5</v>
      </c>
      <c r="Q47" s="218">
        <f t="shared" si="7"/>
        <v>92000</v>
      </c>
      <c r="R47" s="76">
        <v>1465000</v>
      </c>
      <c r="S47" s="76">
        <f t="shared" si="8"/>
        <v>1585000</v>
      </c>
      <c r="T47" s="162">
        <f t="shared" si="9"/>
        <v>3.5</v>
      </c>
      <c r="U47" s="218">
        <f t="shared" si="10"/>
        <v>452857.14285714284</v>
      </c>
    </row>
    <row r="48" spans="1:21" x14ac:dyDescent="0.25">
      <c r="F48" s="222" t="s">
        <v>382</v>
      </c>
      <c r="G48">
        <v>49</v>
      </c>
      <c r="H48">
        <v>63</v>
      </c>
      <c r="I48" s="123">
        <v>29</v>
      </c>
      <c r="J48" s="130">
        <v>2</v>
      </c>
      <c r="K48" s="76">
        <v>300</v>
      </c>
      <c r="L48" s="76">
        <v>301000</v>
      </c>
      <c r="M48" s="149">
        <v>3</v>
      </c>
      <c r="N48" s="76">
        <v>175000</v>
      </c>
      <c r="O48" s="76">
        <f t="shared" si="6"/>
        <v>476000</v>
      </c>
      <c r="P48" s="161">
        <v>3.5</v>
      </c>
      <c r="Q48" s="218">
        <f t="shared" si="7"/>
        <v>136000</v>
      </c>
      <c r="R48" s="76">
        <v>1350000</v>
      </c>
      <c r="S48" s="76">
        <f t="shared" si="8"/>
        <v>1651000</v>
      </c>
      <c r="T48" s="162">
        <f t="shared" si="9"/>
        <v>3.5</v>
      </c>
      <c r="U48" s="218">
        <f t="shared" si="10"/>
        <v>471714.28571428574</v>
      </c>
    </row>
    <row r="49" spans="1:21" x14ac:dyDescent="0.25">
      <c r="F49" s="222" t="s">
        <v>353</v>
      </c>
      <c r="G49">
        <v>41</v>
      </c>
      <c r="H49">
        <v>41</v>
      </c>
      <c r="I49" s="123">
        <v>20.100000000000001</v>
      </c>
      <c r="J49" s="130">
        <v>2</v>
      </c>
      <c r="K49" s="76">
        <v>480</v>
      </c>
      <c r="L49" s="76">
        <v>109000</v>
      </c>
      <c r="M49" s="149">
        <v>3</v>
      </c>
      <c r="N49" s="76">
        <v>235000</v>
      </c>
      <c r="O49" s="76">
        <f t="shared" si="6"/>
        <v>344000</v>
      </c>
      <c r="P49" s="161">
        <v>3.5</v>
      </c>
      <c r="Q49" s="218">
        <f t="shared" si="7"/>
        <v>98285.71428571429</v>
      </c>
      <c r="R49" s="76">
        <v>1600000</v>
      </c>
      <c r="S49" s="76">
        <f t="shared" si="8"/>
        <v>1709000</v>
      </c>
      <c r="T49" s="162">
        <f t="shared" si="9"/>
        <v>3.5</v>
      </c>
      <c r="U49" s="218">
        <f t="shared" si="10"/>
        <v>488285.71428571426</v>
      </c>
    </row>
    <row r="50" spans="1:21" x14ac:dyDescent="0.25">
      <c r="A50" s="33"/>
      <c r="F50" s="222" t="s">
        <v>385</v>
      </c>
      <c r="G50">
        <v>36</v>
      </c>
      <c r="H50">
        <v>12</v>
      </c>
      <c r="I50" s="123">
        <v>25.9</v>
      </c>
      <c r="J50" s="130">
        <v>2</v>
      </c>
      <c r="K50" s="76">
        <v>4632</v>
      </c>
      <c r="L50" s="76">
        <v>435000</v>
      </c>
      <c r="M50" s="149">
        <v>4</v>
      </c>
      <c r="N50" s="76">
        <v>200000</v>
      </c>
      <c r="O50" s="76">
        <f t="shared" si="6"/>
        <v>635000</v>
      </c>
      <c r="P50" s="161">
        <v>3.5</v>
      </c>
      <c r="Q50" s="218">
        <f t="shared" si="7"/>
        <v>181428.57142857142</v>
      </c>
      <c r="R50" s="76">
        <v>1450000</v>
      </c>
      <c r="S50" s="76">
        <f t="shared" si="8"/>
        <v>1885000</v>
      </c>
      <c r="T50" s="162">
        <f t="shared" si="9"/>
        <v>3.5</v>
      </c>
      <c r="U50" s="218">
        <f t="shared" si="10"/>
        <v>538571.42857142852</v>
      </c>
    </row>
    <row r="51" spans="1:21" x14ac:dyDescent="0.25">
      <c r="A51" s="33"/>
      <c r="F51" s="222" t="s">
        <v>388</v>
      </c>
      <c r="G51">
        <v>36</v>
      </c>
      <c r="H51">
        <v>108</v>
      </c>
      <c r="I51" s="123">
        <v>30.1</v>
      </c>
      <c r="J51" s="130">
        <v>2</v>
      </c>
      <c r="K51" s="76">
        <v>8448</v>
      </c>
      <c r="L51" s="76">
        <v>638000</v>
      </c>
      <c r="M51" s="149">
        <v>4</v>
      </c>
      <c r="N51" s="76">
        <v>170000</v>
      </c>
      <c r="O51" s="76">
        <f t="shared" si="6"/>
        <v>808000</v>
      </c>
      <c r="P51" s="161">
        <v>3.5</v>
      </c>
      <c r="Q51" s="218">
        <f t="shared" si="7"/>
        <v>230857.14285714287</v>
      </c>
      <c r="R51" s="76">
        <v>1300000</v>
      </c>
      <c r="S51" s="76">
        <f t="shared" si="8"/>
        <v>1938000</v>
      </c>
      <c r="T51" s="162">
        <f t="shared" si="9"/>
        <v>3.5</v>
      </c>
      <c r="U51" s="218">
        <f t="shared" si="10"/>
        <v>553714.28571428568</v>
      </c>
    </row>
    <row r="52" spans="1:21" x14ac:dyDescent="0.25">
      <c r="A52" s="33"/>
      <c r="F52" s="222" t="s">
        <v>349</v>
      </c>
      <c r="G52">
        <v>39</v>
      </c>
      <c r="H52">
        <v>5</v>
      </c>
      <c r="I52" s="123">
        <v>25.9</v>
      </c>
      <c r="J52" s="130">
        <v>1</v>
      </c>
      <c r="K52" s="76">
        <v>636</v>
      </c>
      <c r="L52" s="76">
        <v>60000</v>
      </c>
      <c r="M52" s="149">
        <v>3</v>
      </c>
      <c r="N52" s="76">
        <v>200000</v>
      </c>
      <c r="O52" s="76">
        <f t="shared" si="6"/>
        <v>260000</v>
      </c>
      <c r="P52" s="161">
        <v>2</v>
      </c>
      <c r="Q52" s="218">
        <f t="shared" si="7"/>
        <v>130000</v>
      </c>
      <c r="R52" s="76">
        <v>1450000</v>
      </c>
      <c r="S52" s="76">
        <f t="shared" si="8"/>
        <v>1510000</v>
      </c>
      <c r="T52" s="162">
        <f t="shared" si="9"/>
        <v>2</v>
      </c>
      <c r="U52" s="218">
        <f t="shared" si="10"/>
        <v>755000</v>
      </c>
    </row>
    <row r="53" spans="1:21" x14ac:dyDescent="0.25">
      <c r="I53" s="123">
        <v>0</v>
      </c>
      <c r="J53" s="130">
        <v>0</v>
      </c>
      <c r="K53" s="76"/>
      <c r="L53" s="76"/>
      <c r="M53" s="149">
        <v>3</v>
      </c>
      <c r="N53" s="76"/>
      <c r="O53" s="76">
        <f t="shared" si="6"/>
        <v>0</v>
      </c>
      <c r="P53" s="161">
        <v>9</v>
      </c>
      <c r="Q53" s="218">
        <f t="shared" si="7"/>
        <v>0</v>
      </c>
      <c r="R53" s="76"/>
      <c r="S53" s="76">
        <f t="shared" si="8"/>
        <v>0</v>
      </c>
      <c r="T53" s="162">
        <f t="shared" si="9"/>
        <v>9</v>
      </c>
      <c r="U53" s="218">
        <f t="shared" si="10"/>
        <v>0</v>
      </c>
    </row>
    <row r="54" spans="1:21" x14ac:dyDescent="0.25">
      <c r="I54" s="123">
        <v>0</v>
      </c>
      <c r="J54" s="130">
        <v>0</v>
      </c>
      <c r="K54" s="76"/>
      <c r="L54" s="76"/>
      <c r="M54" s="149">
        <v>3</v>
      </c>
      <c r="N54" s="76"/>
      <c r="O54" s="76">
        <f t="shared" si="6"/>
        <v>0</v>
      </c>
      <c r="P54" s="161">
        <v>9</v>
      </c>
      <c r="Q54" s="218">
        <f t="shared" si="7"/>
        <v>0</v>
      </c>
      <c r="R54" s="76"/>
      <c r="S54" s="76">
        <f t="shared" si="8"/>
        <v>0</v>
      </c>
      <c r="T54" s="162">
        <f t="shared" si="9"/>
        <v>9</v>
      </c>
      <c r="U54" s="218">
        <f t="shared" si="10"/>
        <v>0</v>
      </c>
    </row>
    <row r="55" spans="1:21" x14ac:dyDescent="0.25">
      <c r="I55" s="123">
        <v>0</v>
      </c>
      <c r="J55" s="130">
        <v>0</v>
      </c>
      <c r="K55" s="76"/>
      <c r="L55" s="76"/>
      <c r="M55" s="149">
        <v>3</v>
      </c>
      <c r="N55" s="76"/>
      <c r="O55" s="76">
        <f t="shared" si="6"/>
        <v>0</v>
      </c>
      <c r="P55" s="161">
        <v>9</v>
      </c>
      <c r="Q55" s="218">
        <f t="shared" si="7"/>
        <v>0</v>
      </c>
      <c r="R55" s="76"/>
      <c r="S55" s="76">
        <f t="shared" si="8"/>
        <v>0</v>
      </c>
      <c r="T55" s="162">
        <f t="shared" si="9"/>
        <v>9</v>
      </c>
      <c r="U55" s="218">
        <f t="shared" si="10"/>
        <v>0</v>
      </c>
    </row>
    <row r="56" spans="1:21" x14ac:dyDescent="0.25">
      <c r="I56" s="123">
        <v>0</v>
      </c>
      <c r="J56" s="130">
        <v>0</v>
      </c>
      <c r="K56" s="76"/>
      <c r="L56" s="76"/>
      <c r="M56" s="149">
        <v>3</v>
      </c>
      <c r="N56" s="76"/>
      <c r="O56" s="76">
        <f t="shared" si="6"/>
        <v>0</v>
      </c>
      <c r="P56" s="161">
        <v>9</v>
      </c>
      <c r="Q56" s="218">
        <f t="shared" si="7"/>
        <v>0</v>
      </c>
      <c r="R56" s="76"/>
      <c r="S56" s="76">
        <f t="shared" si="8"/>
        <v>0</v>
      </c>
      <c r="T56" s="162">
        <f t="shared" si="9"/>
        <v>9</v>
      </c>
      <c r="U56" s="218">
        <f t="shared" si="10"/>
        <v>0</v>
      </c>
    </row>
    <row r="57" spans="1:21" x14ac:dyDescent="0.25">
      <c r="A57" s="33"/>
      <c r="I57" s="123">
        <v>0</v>
      </c>
      <c r="J57" s="130">
        <v>0</v>
      </c>
      <c r="K57" s="76"/>
      <c r="L57" s="76"/>
      <c r="M57" s="149">
        <v>3</v>
      </c>
      <c r="N57" s="163"/>
      <c r="O57" s="76">
        <f t="shared" si="6"/>
        <v>0</v>
      </c>
      <c r="P57" s="161">
        <v>9</v>
      </c>
      <c r="Q57" s="218">
        <f t="shared" si="7"/>
        <v>0</v>
      </c>
      <c r="R57" s="76"/>
      <c r="S57" s="76">
        <f t="shared" si="8"/>
        <v>0</v>
      </c>
      <c r="T57" s="162">
        <f t="shared" si="9"/>
        <v>9</v>
      </c>
      <c r="U57" s="218">
        <f t="shared" si="10"/>
        <v>0</v>
      </c>
    </row>
    <row r="58" spans="1:21" x14ac:dyDescent="0.25">
      <c r="A58" s="33"/>
      <c r="I58" s="123">
        <v>0</v>
      </c>
      <c r="J58" s="130">
        <v>0</v>
      </c>
      <c r="K58" s="76"/>
      <c r="L58" s="76"/>
      <c r="M58" s="149">
        <v>3</v>
      </c>
      <c r="N58" s="76"/>
      <c r="O58" s="76">
        <f t="shared" si="6"/>
        <v>0</v>
      </c>
      <c r="P58" s="161">
        <v>9</v>
      </c>
      <c r="Q58" s="218">
        <f t="shared" si="7"/>
        <v>0</v>
      </c>
      <c r="R58" s="76"/>
      <c r="S58" s="76">
        <f t="shared" si="8"/>
        <v>0</v>
      </c>
      <c r="T58" s="162">
        <f t="shared" si="9"/>
        <v>9</v>
      </c>
      <c r="U58" s="218">
        <f t="shared" si="10"/>
        <v>0</v>
      </c>
    </row>
    <row r="59" spans="1:21" x14ac:dyDescent="0.25">
      <c r="A59" s="33"/>
      <c r="I59" s="123">
        <v>0</v>
      </c>
      <c r="J59" s="130">
        <v>0</v>
      </c>
      <c r="K59" s="76"/>
      <c r="L59" s="76"/>
      <c r="M59" s="149">
        <v>3</v>
      </c>
      <c r="N59" s="76"/>
      <c r="O59" s="76">
        <f t="shared" si="6"/>
        <v>0</v>
      </c>
      <c r="P59" s="161">
        <v>9</v>
      </c>
      <c r="Q59" s="218">
        <f t="shared" si="7"/>
        <v>0</v>
      </c>
      <c r="R59" s="76"/>
      <c r="S59" s="76">
        <f t="shared" si="8"/>
        <v>0</v>
      </c>
      <c r="T59" s="162">
        <f t="shared" si="9"/>
        <v>9</v>
      </c>
      <c r="U59" s="218">
        <f t="shared" si="10"/>
        <v>0</v>
      </c>
    </row>
    <row r="60" spans="1:21" x14ac:dyDescent="0.25">
      <c r="I60" s="123">
        <v>0</v>
      </c>
      <c r="J60" s="130">
        <v>0</v>
      </c>
      <c r="K60" s="76"/>
      <c r="L60" s="76"/>
      <c r="M60" s="149">
        <v>3</v>
      </c>
      <c r="N60" s="76"/>
      <c r="O60" s="76">
        <f t="shared" si="6"/>
        <v>0</v>
      </c>
      <c r="P60" s="161">
        <v>9</v>
      </c>
      <c r="Q60" s="218">
        <f t="shared" si="7"/>
        <v>0</v>
      </c>
      <c r="R60" s="76"/>
      <c r="S60" s="76">
        <f t="shared" si="8"/>
        <v>0</v>
      </c>
      <c r="T60" s="162">
        <f t="shared" si="9"/>
        <v>9</v>
      </c>
      <c r="U60" s="218">
        <f t="shared" si="10"/>
        <v>0</v>
      </c>
    </row>
    <row r="61" spans="1:21" x14ac:dyDescent="0.25">
      <c r="I61" s="123">
        <v>0</v>
      </c>
      <c r="J61" s="130">
        <v>0</v>
      </c>
      <c r="K61" s="76"/>
      <c r="L61" s="76"/>
      <c r="M61" s="149">
        <v>3</v>
      </c>
      <c r="N61" s="76"/>
      <c r="O61" s="76">
        <f t="shared" si="6"/>
        <v>0</v>
      </c>
      <c r="P61" s="161">
        <v>9</v>
      </c>
      <c r="Q61" s="218">
        <f t="shared" si="7"/>
        <v>0</v>
      </c>
      <c r="R61" s="76"/>
      <c r="S61" s="76">
        <f t="shared" si="8"/>
        <v>0</v>
      </c>
      <c r="T61" s="162">
        <f t="shared" si="9"/>
        <v>9</v>
      </c>
      <c r="U61" s="218">
        <f t="shared" si="10"/>
        <v>0</v>
      </c>
    </row>
    <row r="62" spans="1:21" x14ac:dyDescent="0.25">
      <c r="I62" s="123">
        <v>0</v>
      </c>
      <c r="J62" s="130">
        <v>0</v>
      </c>
      <c r="K62" s="76"/>
      <c r="L62" s="76"/>
      <c r="M62" s="149">
        <v>3</v>
      </c>
      <c r="N62" s="163"/>
      <c r="O62" s="76">
        <f t="shared" si="6"/>
        <v>0</v>
      </c>
      <c r="P62" s="161">
        <v>9</v>
      </c>
      <c r="Q62" s="218">
        <f t="shared" si="7"/>
        <v>0</v>
      </c>
      <c r="R62" s="76"/>
      <c r="S62" s="76">
        <f t="shared" si="8"/>
        <v>0</v>
      </c>
      <c r="T62" s="162">
        <f t="shared" si="9"/>
        <v>9</v>
      </c>
      <c r="U62" s="218">
        <f t="shared" si="10"/>
        <v>0</v>
      </c>
    </row>
    <row r="63" spans="1:21" x14ac:dyDescent="0.25">
      <c r="I63" s="123">
        <v>0</v>
      </c>
      <c r="J63" s="130">
        <v>0</v>
      </c>
      <c r="K63" s="76"/>
      <c r="L63" s="76"/>
      <c r="M63" s="149">
        <v>3</v>
      </c>
      <c r="N63" s="76"/>
      <c r="O63" s="76">
        <f t="shared" si="6"/>
        <v>0</v>
      </c>
      <c r="P63" s="161">
        <v>9</v>
      </c>
      <c r="Q63" s="218">
        <f t="shared" si="7"/>
        <v>0</v>
      </c>
      <c r="R63" s="76"/>
      <c r="S63" s="76">
        <f t="shared" si="8"/>
        <v>0</v>
      </c>
      <c r="T63" s="162">
        <f t="shared" si="9"/>
        <v>9</v>
      </c>
      <c r="U63" s="218">
        <f t="shared" si="10"/>
        <v>0</v>
      </c>
    </row>
    <row r="64" spans="1:21" x14ac:dyDescent="0.25">
      <c r="I64" s="123">
        <v>0</v>
      </c>
      <c r="J64" s="130">
        <v>0</v>
      </c>
      <c r="K64" s="76"/>
      <c r="L64" s="76"/>
      <c r="M64" s="149">
        <v>3</v>
      </c>
      <c r="N64" s="76"/>
      <c r="O64" s="76">
        <f t="shared" si="6"/>
        <v>0</v>
      </c>
      <c r="P64" s="161">
        <v>9</v>
      </c>
      <c r="Q64" s="218">
        <f t="shared" si="7"/>
        <v>0</v>
      </c>
      <c r="R64" s="76"/>
      <c r="S64" s="76">
        <f t="shared" si="8"/>
        <v>0</v>
      </c>
      <c r="T64" s="162">
        <f t="shared" si="9"/>
        <v>9</v>
      </c>
      <c r="U64" s="218">
        <f t="shared" si="10"/>
        <v>0</v>
      </c>
    </row>
    <row r="65" spans="9:21" x14ac:dyDescent="0.25">
      <c r="I65" s="123">
        <v>0</v>
      </c>
      <c r="J65" s="130">
        <v>0</v>
      </c>
      <c r="K65" s="76"/>
      <c r="L65" s="76"/>
      <c r="M65" s="149">
        <v>3</v>
      </c>
      <c r="N65" s="76"/>
      <c r="O65" s="76">
        <f t="shared" si="6"/>
        <v>0</v>
      </c>
      <c r="P65" s="161">
        <v>9</v>
      </c>
      <c r="Q65" s="218">
        <f t="shared" si="7"/>
        <v>0</v>
      </c>
      <c r="R65" s="76"/>
      <c r="S65" s="76">
        <f t="shared" si="8"/>
        <v>0</v>
      </c>
      <c r="T65" s="162">
        <f t="shared" si="9"/>
        <v>9</v>
      </c>
      <c r="U65" s="218">
        <f t="shared" si="10"/>
        <v>0</v>
      </c>
    </row>
    <row r="66" spans="9:21" x14ac:dyDescent="0.25">
      <c r="I66" s="123">
        <v>0</v>
      </c>
      <c r="J66" s="130">
        <v>0</v>
      </c>
      <c r="K66" s="76"/>
      <c r="L66" s="76"/>
      <c r="M66" s="149">
        <v>3</v>
      </c>
      <c r="N66" s="76"/>
      <c r="O66" s="76">
        <f t="shared" ref="O66:O97" si="11">L66+N66</f>
        <v>0</v>
      </c>
      <c r="P66" s="161">
        <v>9</v>
      </c>
      <c r="Q66" s="218">
        <f t="shared" ref="Q66:Q97" si="12">O66/P66</f>
        <v>0</v>
      </c>
      <c r="R66" s="76"/>
      <c r="S66" s="76">
        <f t="shared" ref="S66:S97" si="13">R66+L66</f>
        <v>0</v>
      </c>
      <c r="T66" s="162">
        <f t="shared" ref="T66:T97" si="14">P66</f>
        <v>9</v>
      </c>
      <c r="U66" s="218">
        <f t="shared" ref="U66:U97" si="15">S66/T66</f>
        <v>0</v>
      </c>
    </row>
    <row r="67" spans="9:21" x14ac:dyDescent="0.25">
      <c r="I67" s="123">
        <v>0</v>
      </c>
      <c r="J67" s="130">
        <v>0</v>
      </c>
      <c r="K67" s="76"/>
      <c r="L67" s="76"/>
      <c r="M67" s="149">
        <v>3</v>
      </c>
      <c r="N67" s="163"/>
      <c r="O67" s="76">
        <f t="shared" si="11"/>
        <v>0</v>
      </c>
      <c r="P67" s="161">
        <v>9</v>
      </c>
      <c r="Q67" s="218">
        <f t="shared" si="12"/>
        <v>0</v>
      </c>
      <c r="R67" s="76"/>
      <c r="S67" s="76">
        <f t="shared" si="13"/>
        <v>0</v>
      </c>
      <c r="T67" s="162">
        <f t="shared" si="14"/>
        <v>9</v>
      </c>
      <c r="U67" s="218">
        <f t="shared" si="15"/>
        <v>0</v>
      </c>
    </row>
    <row r="68" spans="9:21" x14ac:dyDescent="0.25">
      <c r="I68" s="123">
        <v>0</v>
      </c>
      <c r="J68" s="130">
        <v>0</v>
      </c>
      <c r="K68" s="76"/>
      <c r="L68" s="76"/>
      <c r="M68" s="149">
        <v>3</v>
      </c>
      <c r="N68" s="76"/>
      <c r="O68" s="76">
        <f t="shared" si="11"/>
        <v>0</v>
      </c>
      <c r="P68" s="161">
        <v>9</v>
      </c>
      <c r="Q68" s="218">
        <f t="shared" si="12"/>
        <v>0</v>
      </c>
      <c r="R68" s="76"/>
      <c r="S68" s="76">
        <f t="shared" si="13"/>
        <v>0</v>
      </c>
      <c r="T68" s="162">
        <f t="shared" si="14"/>
        <v>9</v>
      </c>
      <c r="U68" s="218">
        <f t="shared" si="15"/>
        <v>0</v>
      </c>
    </row>
    <row r="69" spans="9:21" x14ac:dyDescent="0.25">
      <c r="I69" s="123">
        <v>0</v>
      </c>
      <c r="J69" s="130">
        <v>0</v>
      </c>
      <c r="K69" s="76"/>
      <c r="L69" s="76"/>
      <c r="M69" s="149">
        <v>3</v>
      </c>
      <c r="N69" s="76"/>
      <c r="O69" s="76">
        <f t="shared" si="11"/>
        <v>0</v>
      </c>
      <c r="P69" s="161">
        <v>9</v>
      </c>
      <c r="Q69" s="218">
        <f t="shared" si="12"/>
        <v>0</v>
      </c>
      <c r="R69" s="76"/>
      <c r="S69" s="76">
        <f t="shared" si="13"/>
        <v>0</v>
      </c>
      <c r="T69" s="162">
        <f t="shared" si="14"/>
        <v>9</v>
      </c>
      <c r="U69" s="218">
        <f t="shared" si="15"/>
        <v>0</v>
      </c>
    </row>
    <row r="70" spans="9:21" x14ac:dyDescent="0.25">
      <c r="I70" s="123">
        <v>0</v>
      </c>
      <c r="J70" s="130">
        <v>0</v>
      </c>
      <c r="K70" s="76"/>
      <c r="L70" s="76"/>
      <c r="M70" s="149">
        <v>3</v>
      </c>
      <c r="N70" s="76"/>
      <c r="O70" s="76">
        <f t="shared" si="11"/>
        <v>0</v>
      </c>
      <c r="P70" s="161">
        <v>9</v>
      </c>
      <c r="Q70" s="218">
        <f t="shared" si="12"/>
        <v>0</v>
      </c>
      <c r="R70" s="76"/>
      <c r="S70" s="76">
        <f t="shared" si="13"/>
        <v>0</v>
      </c>
      <c r="T70" s="162">
        <f t="shared" si="14"/>
        <v>9</v>
      </c>
      <c r="U70" s="218">
        <f t="shared" si="15"/>
        <v>0</v>
      </c>
    </row>
    <row r="71" spans="9:21" x14ac:dyDescent="0.25">
      <c r="I71" s="123">
        <v>0</v>
      </c>
      <c r="J71" s="130">
        <v>0</v>
      </c>
      <c r="K71" s="76"/>
      <c r="L71" s="76"/>
      <c r="M71" s="149">
        <v>3</v>
      </c>
      <c r="N71" s="76"/>
      <c r="O71" s="76">
        <f t="shared" si="11"/>
        <v>0</v>
      </c>
      <c r="P71" s="161">
        <v>9</v>
      </c>
      <c r="Q71" s="218">
        <f t="shared" si="12"/>
        <v>0</v>
      </c>
      <c r="R71" s="76"/>
      <c r="S71" s="76">
        <f t="shared" si="13"/>
        <v>0</v>
      </c>
      <c r="T71" s="162">
        <f t="shared" si="14"/>
        <v>9</v>
      </c>
      <c r="U71" s="218">
        <f t="shared" si="15"/>
        <v>0</v>
      </c>
    </row>
    <row r="72" spans="9:21" x14ac:dyDescent="0.25">
      <c r="I72" s="123">
        <v>0</v>
      </c>
      <c r="J72" s="130">
        <v>0</v>
      </c>
      <c r="K72" s="76"/>
      <c r="L72" s="76"/>
      <c r="M72" s="149">
        <v>3</v>
      </c>
      <c r="N72" s="163"/>
      <c r="O72" s="76">
        <f t="shared" si="11"/>
        <v>0</v>
      </c>
      <c r="P72" s="161">
        <v>9</v>
      </c>
      <c r="Q72" s="218">
        <f t="shared" si="12"/>
        <v>0</v>
      </c>
      <c r="R72" s="76"/>
      <c r="S72" s="76">
        <f t="shared" si="13"/>
        <v>0</v>
      </c>
      <c r="T72" s="162">
        <f t="shared" si="14"/>
        <v>9</v>
      </c>
      <c r="U72" s="218">
        <f t="shared" si="15"/>
        <v>0</v>
      </c>
    </row>
    <row r="73" spans="9:21" x14ac:dyDescent="0.25">
      <c r="I73" s="123">
        <v>0</v>
      </c>
      <c r="J73" s="130">
        <v>0</v>
      </c>
      <c r="K73" s="76"/>
      <c r="L73" s="76"/>
      <c r="M73" s="149">
        <v>3</v>
      </c>
      <c r="N73" s="76"/>
      <c r="O73" s="76">
        <f t="shared" si="11"/>
        <v>0</v>
      </c>
      <c r="P73" s="161">
        <v>9</v>
      </c>
      <c r="Q73" s="218">
        <f t="shared" si="12"/>
        <v>0</v>
      </c>
      <c r="R73" s="76"/>
      <c r="S73" s="76">
        <f t="shared" si="13"/>
        <v>0</v>
      </c>
      <c r="T73" s="162">
        <f t="shared" si="14"/>
        <v>9</v>
      </c>
      <c r="U73" s="218">
        <f t="shared" si="15"/>
        <v>0</v>
      </c>
    </row>
    <row r="74" spans="9:21" x14ac:dyDescent="0.25">
      <c r="I74" s="123">
        <v>0</v>
      </c>
      <c r="J74" s="130">
        <v>0</v>
      </c>
      <c r="K74" s="76"/>
      <c r="L74" s="76"/>
      <c r="M74" s="149">
        <v>3</v>
      </c>
      <c r="N74" s="76"/>
      <c r="O74" s="76">
        <f t="shared" si="11"/>
        <v>0</v>
      </c>
      <c r="P74" s="161">
        <v>9</v>
      </c>
      <c r="Q74" s="218">
        <f t="shared" si="12"/>
        <v>0</v>
      </c>
      <c r="R74" s="76"/>
      <c r="S74" s="76">
        <f t="shared" si="13"/>
        <v>0</v>
      </c>
      <c r="T74" s="162">
        <f t="shared" si="14"/>
        <v>9</v>
      </c>
      <c r="U74" s="218">
        <f t="shared" si="15"/>
        <v>0</v>
      </c>
    </row>
    <row r="75" spans="9:21" x14ac:dyDescent="0.25">
      <c r="I75" s="123">
        <v>0</v>
      </c>
      <c r="J75" s="130">
        <v>0</v>
      </c>
      <c r="K75" s="76"/>
      <c r="L75" s="76"/>
      <c r="M75" s="149">
        <v>3</v>
      </c>
      <c r="N75" s="76"/>
      <c r="O75" s="76">
        <f t="shared" si="11"/>
        <v>0</v>
      </c>
      <c r="P75" s="161">
        <v>9</v>
      </c>
      <c r="Q75" s="218">
        <f t="shared" si="12"/>
        <v>0</v>
      </c>
      <c r="R75" s="76"/>
      <c r="S75" s="76">
        <f t="shared" si="13"/>
        <v>0</v>
      </c>
      <c r="T75" s="162">
        <f t="shared" si="14"/>
        <v>9</v>
      </c>
      <c r="U75" s="218">
        <f t="shared" si="15"/>
        <v>0</v>
      </c>
    </row>
    <row r="76" spans="9:21" x14ac:dyDescent="0.25">
      <c r="I76" s="123">
        <v>0</v>
      </c>
      <c r="J76" s="130">
        <v>0</v>
      </c>
      <c r="K76" s="76"/>
      <c r="L76" s="76"/>
      <c r="M76" s="149">
        <v>3</v>
      </c>
      <c r="N76" s="76"/>
      <c r="O76" s="76">
        <f t="shared" si="11"/>
        <v>0</v>
      </c>
      <c r="P76" s="161">
        <v>9</v>
      </c>
      <c r="Q76" s="218">
        <f t="shared" si="12"/>
        <v>0</v>
      </c>
      <c r="R76" s="76"/>
      <c r="S76" s="76">
        <f t="shared" si="13"/>
        <v>0</v>
      </c>
      <c r="T76" s="162">
        <f t="shared" si="14"/>
        <v>9</v>
      </c>
      <c r="U76" s="218">
        <f t="shared" si="15"/>
        <v>0</v>
      </c>
    </row>
    <row r="77" spans="9:21" x14ac:dyDescent="0.25">
      <c r="I77" s="123">
        <v>0</v>
      </c>
      <c r="J77" s="130">
        <v>0</v>
      </c>
      <c r="K77" s="76"/>
      <c r="L77" s="76"/>
      <c r="M77" s="149">
        <v>3</v>
      </c>
      <c r="N77" s="163"/>
      <c r="O77" s="76">
        <f t="shared" si="11"/>
        <v>0</v>
      </c>
      <c r="P77" s="161">
        <v>9</v>
      </c>
      <c r="Q77" s="218">
        <f t="shared" si="12"/>
        <v>0</v>
      </c>
      <c r="R77" s="76"/>
      <c r="S77" s="76">
        <f t="shared" si="13"/>
        <v>0</v>
      </c>
      <c r="T77" s="162">
        <f t="shared" si="14"/>
        <v>9</v>
      </c>
      <c r="U77" s="218">
        <f t="shared" si="15"/>
        <v>0</v>
      </c>
    </row>
    <row r="78" spans="9:21" x14ac:dyDescent="0.25">
      <c r="I78" s="123">
        <v>0</v>
      </c>
      <c r="J78" s="130">
        <v>0</v>
      </c>
      <c r="K78" s="76"/>
      <c r="L78" s="76"/>
      <c r="M78" s="149">
        <v>3</v>
      </c>
      <c r="N78" s="76"/>
      <c r="O78" s="76">
        <f t="shared" si="11"/>
        <v>0</v>
      </c>
      <c r="P78" s="161">
        <v>9</v>
      </c>
      <c r="Q78" s="218">
        <f t="shared" si="12"/>
        <v>0</v>
      </c>
      <c r="R78" s="76"/>
      <c r="S78" s="76">
        <f t="shared" si="13"/>
        <v>0</v>
      </c>
      <c r="T78" s="162">
        <f t="shared" si="14"/>
        <v>9</v>
      </c>
      <c r="U78" s="218">
        <f t="shared" si="15"/>
        <v>0</v>
      </c>
    </row>
    <row r="79" spans="9:21" x14ac:dyDescent="0.25">
      <c r="I79" s="123">
        <v>0</v>
      </c>
      <c r="J79" s="130">
        <v>0</v>
      </c>
      <c r="K79" s="76"/>
      <c r="L79" s="76"/>
      <c r="M79" s="149">
        <v>3</v>
      </c>
      <c r="N79" s="76"/>
      <c r="O79" s="76">
        <f t="shared" si="11"/>
        <v>0</v>
      </c>
      <c r="P79" s="161">
        <v>9</v>
      </c>
      <c r="Q79" s="218">
        <f t="shared" si="12"/>
        <v>0</v>
      </c>
      <c r="R79" s="76"/>
      <c r="S79" s="76">
        <f t="shared" si="13"/>
        <v>0</v>
      </c>
      <c r="T79" s="162">
        <f t="shared" si="14"/>
        <v>9</v>
      </c>
      <c r="U79" s="218">
        <f t="shared" si="15"/>
        <v>0</v>
      </c>
    </row>
    <row r="80" spans="9:21" x14ac:dyDescent="0.25">
      <c r="I80" s="123">
        <v>0</v>
      </c>
      <c r="J80" s="130">
        <v>0</v>
      </c>
      <c r="K80" s="76"/>
      <c r="L80" s="76"/>
      <c r="M80" s="149">
        <v>3</v>
      </c>
      <c r="N80" s="76"/>
      <c r="O80" s="76">
        <f t="shared" si="11"/>
        <v>0</v>
      </c>
      <c r="P80" s="161">
        <v>9</v>
      </c>
      <c r="Q80" s="218">
        <f t="shared" si="12"/>
        <v>0</v>
      </c>
      <c r="R80" s="76"/>
      <c r="S80" s="76">
        <f t="shared" si="13"/>
        <v>0</v>
      </c>
      <c r="T80" s="162">
        <f t="shared" si="14"/>
        <v>9</v>
      </c>
      <c r="U80" s="218">
        <f t="shared" si="15"/>
        <v>0</v>
      </c>
    </row>
    <row r="81" spans="9:21" x14ac:dyDescent="0.25">
      <c r="I81" s="123">
        <v>0</v>
      </c>
      <c r="J81" s="130">
        <v>0</v>
      </c>
      <c r="K81" s="76"/>
      <c r="L81" s="76"/>
      <c r="M81" s="149">
        <v>3</v>
      </c>
      <c r="N81" s="76"/>
      <c r="O81" s="76">
        <f t="shared" si="11"/>
        <v>0</v>
      </c>
      <c r="P81" s="161">
        <v>9</v>
      </c>
      <c r="Q81" s="218">
        <f t="shared" si="12"/>
        <v>0</v>
      </c>
      <c r="R81" s="76"/>
      <c r="S81" s="76">
        <f t="shared" si="13"/>
        <v>0</v>
      </c>
      <c r="T81" s="162">
        <f t="shared" si="14"/>
        <v>9</v>
      </c>
      <c r="U81" s="218">
        <f t="shared" si="15"/>
        <v>0</v>
      </c>
    </row>
    <row r="82" spans="9:21" x14ac:dyDescent="0.25">
      <c r="I82" s="123">
        <v>0</v>
      </c>
      <c r="J82" s="130">
        <v>0</v>
      </c>
      <c r="K82" s="76"/>
      <c r="L82" s="76"/>
      <c r="M82" s="149">
        <v>3</v>
      </c>
      <c r="N82" s="163"/>
      <c r="O82" s="76">
        <f t="shared" si="11"/>
        <v>0</v>
      </c>
      <c r="P82" s="161">
        <v>9</v>
      </c>
      <c r="Q82" s="218">
        <f t="shared" si="12"/>
        <v>0</v>
      </c>
      <c r="R82" s="76"/>
      <c r="S82" s="76">
        <f t="shared" si="13"/>
        <v>0</v>
      </c>
      <c r="T82" s="162">
        <f t="shared" si="14"/>
        <v>9</v>
      </c>
      <c r="U82" s="218">
        <f t="shared" si="15"/>
        <v>0</v>
      </c>
    </row>
    <row r="83" spans="9:21" x14ac:dyDescent="0.25">
      <c r="I83" s="123">
        <v>0</v>
      </c>
      <c r="J83" s="130">
        <v>0</v>
      </c>
      <c r="K83" s="76"/>
      <c r="L83" s="76"/>
      <c r="M83" s="149">
        <v>3</v>
      </c>
      <c r="N83" s="76"/>
      <c r="O83" s="76">
        <f t="shared" si="11"/>
        <v>0</v>
      </c>
      <c r="P83" s="161">
        <v>9</v>
      </c>
      <c r="Q83" s="218">
        <f t="shared" si="12"/>
        <v>0</v>
      </c>
      <c r="R83" s="76"/>
      <c r="S83" s="76">
        <f t="shared" si="13"/>
        <v>0</v>
      </c>
      <c r="T83" s="162">
        <f t="shared" si="14"/>
        <v>9</v>
      </c>
      <c r="U83" s="218">
        <f t="shared" si="15"/>
        <v>0</v>
      </c>
    </row>
    <row r="84" spans="9:21" x14ac:dyDescent="0.25">
      <c r="I84" s="123">
        <v>0</v>
      </c>
      <c r="J84" s="130">
        <v>0</v>
      </c>
      <c r="K84" s="76"/>
      <c r="L84" s="76"/>
      <c r="M84" s="149">
        <v>3</v>
      </c>
      <c r="N84" s="76"/>
      <c r="O84" s="76">
        <f t="shared" si="11"/>
        <v>0</v>
      </c>
      <c r="P84" s="161">
        <v>9</v>
      </c>
      <c r="Q84" s="218">
        <f t="shared" si="12"/>
        <v>0</v>
      </c>
      <c r="R84" s="76"/>
      <c r="S84" s="76">
        <f t="shared" si="13"/>
        <v>0</v>
      </c>
      <c r="T84" s="162">
        <f t="shared" si="14"/>
        <v>9</v>
      </c>
      <c r="U84" s="218">
        <f t="shared" si="15"/>
        <v>0</v>
      </c>
    </row>
    <row r="85" spans="9:21" x14ac:dyDescent="0.25">
      <c r="I85" s="123">
        <v>0</v>
      </c>
      <c r="J85" s="130">
        <v>0</v>
      </c>
      <c r="K85" s="76"/>
      <c r="L85" s="76"/>
      <c r="M85" s="149">
        <v>3</v>
      </c>
      <c r="N85" s="76"/>
      <c r="O85" s="76">
        <f t="shared" si="11"/>
        <v>0</v>
      </c>
      <c r="P85" s="161">
        <v>9</v>
      </c>
      <c r="Q85" s="218">
        <f t="shared" si="12"/>
        <v>0</v>
      </c>
      <c r="R85" s="76"/>
      <c r="S85" s="76">
        <f t="shared" si="13"/>
        <v>0</v>
      </c>
      <c r="T85" s="162">
        <f t="shared" si="14"/>
        <v>9</v>
      </c>
      <c r="U85" s="218">
        <f t="shared" si="15"/>
        <v>0</v>
      </c>
    </row>
    <row r="86" spans="9:21" x14ac:dyDescent="0.25">
      <c r="I86" s="123">
        <v>0</v>
      </c>
      <c r="J86" s="130">
        <v>0</v>
      </c>
      <c r="K86" s="76"/>
      <c r="L86" s="76"/>
      <c r="M86" s="149">
        <v>3</v>
      </c>
      <c r="N86" s="76"/>
      <c r="O86" s="76">
        <f t="shared" si="11"/>
        <v>0</v>
      </c>
      <c r="P86" s="161">
        <v>9</v>
      </c>
      <c r="Q86" s="218">
        <f t="shared" si="12"/>
        <v>0</v>
      </c>
      <c r="R86" s="76"/>
      <c r="S86" s="76">
        <f t="shared" si="13"/>
        <v>0</v>
      </c>
      <c r="T86" s="162">
        <f t="shared" si="14"/>
        <v>9</v>
      </c>
      <c r="U86" s="218">
        <f t="shared" si="15"/>
        <v>0</v>
      </c>
    </row>
    <row r="87" spans="9:21" x14ac:dyDescent="0.25">
      <c r="I87" s="123">
        <v>0</v>
      </c>
      <c r="J87" s="130">
        <v>0</v>
      </c>
      <c r="K87" s="76"/>
      <c r="L87" s="76"/>
      <c r="M87" s="149">
        <v>3</v>
      </c>
      <c r="N87" s="163"/>
      <c r="O87" s="76">
        <f t="shared" si="11"/>
        <v>0</v>
      </c>
      <c r="P87" s="161">
        <v>9</v>
      </c>
      <c r="Q87" s="218">
        <f t="shared" si="12"/>
        <v>0</v>
      </c>
      <c r="R87" s="76"/>
      <c r="S87" s="76">
        <f t="shared" si="13"/>
        <v>0</v>
      </c>
      <c r="T87" s="162">
        <f t="shared" si="14"/>
        <v>9</v>
      </c>
      <c r="U87" s="218">
        <f t="shared" si="15"/>
        <v>0</v>
      </c>
    </row>
    <row r="88" spans="9:21" x14ac:dyDescent="0.25">
      <c r="I88" s="123">
        <v>0</v>
      </c>
      <c r="J88" s="130">
        <v>0</v>
      </c>
      <c r="K88" s="76"/>
      <c r="L88" s="76"/>
      <c r="M88" s="149">
        <v>3</v>
      </c>
      <c r="N88" s="76"/>
      <c r="O88" s="76">
        <f t="shared" si="11"/>
        <v>0</v>
      </c>
      <c r="P88" s="161">
        <v>9</v>
      </c>
      <c r="Q88" s="218">
        <f t="shared" si="12"/>
        <v>0</v>
      </c>
      <c r="R88" s="76"/>
      <c r="S88" s="76">
        <f t="shared" si="13"/>
        <v>0</v>
      </c>
      <c r="T88" s="162">
        <f t="shared" si="14"/>
        <v>9</v>
      </c>
      <c r="U88" s="218">
        <f t="shared" si="15"/>
        <v>0</v>
      </c>
    </row>
    <row r="89" spans="9:21" x14ac:dyDescent="0.25">
      <c r="I89" s="123">
        <v>0</v>
      </c>
      <c r="J89" s="130">
        <v>0</v>
      </c>
      <c r="K89" s="76"/>
      <c r="L89" s="76"/>
      <c r="M89" s="149">
        <v>3</v>
      </c>
      <c r="N89" s="76"/>
      <c r="O89" s="76">
        <f t="shared" si="11"/>
        <v>0</v>
      </c>
      <c r="P89" s="161">
        <v>9</v>
      </c>
      <c r="Q89" s="218">
        <f t="shared" si="12"/>
        <v>0</v>
      </c>
      <c r="R89" s="76"/>
      <c r="S89" s="76">
        <f t="shared" si="13"/>
        <v>0</v>
      </c>
      <c r="T89" s="162">
        <f t="shared" si="14"/>
        <v>9</v>
      </c>
      <c r="U89" s="218">
        <f t="shared" si="15"/>
        <v>0</v>
      </c>
    </row>
    <row r="90" spans="9:21" x14ac:dyDescent="0.25">
      <c r="I90" s="123">
        <v>0</v>
      </c>
      <c r="J90" s="130">
        <v>0</v>
      </c>
      <c r="K90" s="76"/>
      <c r="L90" s="76"/>
      <c r="M90" s="149">
        <v>3</v>
      </c>
      <c r="N90" s="76"/>
      <c r="O90" s="76">
        <f t="shared" si="11"/>
        <v>0</v>
      </c>
      <c r="P90" s="161">
        <v>9</v>
      </c>
      <c r="Q90" s="218">
        <f t="shared" si="12"/>
        <v>0</v>
      </c>
      <c r="R90" s="76"/>
      <c r="S90" s="76">
        <f t="shared" si="13"/>
        <v>0</v>
      </c>
      <c r="T90" s="162">
        <f t="shared" si="14"/>
        <v>9</v>
      </c>
      <c r="U90" s="218">
        <f t="shared" si="15"/>
        <v>0</v>
      </c>
    </row>
    <row r="91" spans="9:21" x14ac:dyDescent="0.25">
      <c r="I91" s="123">
        <v>0</v>
      </c>
      <c r="J91" s="130">
        <v>0</v>
      </c>
      <c r="K91" s="76"/>
      <c r="L91" s="76"/>
      <c r="M91" s="149">
        <v>3</v>
      </c>
      <c r="N91" s="76"/>
      <c r="O91" s="76">
        <f t="shared" si="11"/>
        <v>0</v>
      </c>
      <c r="P91" s="161">
        <v>9</v>
      </c>
      <c r="Q91" s="218">
        <f t="shared" si="12"/>
        <v>0</v>
      </c>
      <c r="R91" s="76"/>
      <c r="S91" s="76">
        <f t="shared" si="13"/>
        <v>0</v>
      </c>
      <c r="T91" s="162">
        <f t="shared" si="14"/>
        <v>9</v>
      </c>
      <c r="U91" s="218">
        <f t="shared" si="15"/>
        <v>0</v>
      </c>
    </row>
    <row r="92" spans="9:21" x14ac:dyDescent="0.25">
      <c r="I92" s="123">
        <v>0</v>
      </c>
      <c r="J92" s="130">
        <v>0</v>
      </c>
      <c r="K92" s="76"/>
      <c r="L92" s="76"/>
      <c r="M92" s="149">
        <v>3</v>
      </c>
      <c r="N92" s="163"/>
      <c r="O92" s="76">
        <f t="shared" si="11"/>
        <v>0</v>
      </c>
      <c r="P92" s="161">
        <v>9</v>
      </c>
      <c r="Q92" s="218">
        <f t="shared" si="12"/>
        <v>0</v>
      </c>
      <c r="R92" s="76"/>
      <c r="S92" s="76">
        <f t="shared" si="13"/>
        <v>0</v>
      </c>
      <c r="T92" s="162">
        <f t="shared" si="14"/>
        <v>9</v>
      </c>
      <c r="U92" s="218">
        <f t="shared" si="15"/>
        <v>0</v>
      </c>
    </row>
    <row r="93" spans="9:21" x14ac:dyDescent="0.25">
      <c r="I93" s="123">
        <v>0</v>
      </c>
      <c r="J93" s="130">
        <v>0</v>
      </c>
      <c r="K93" s="76"/>
      <c r="L93" s="76"/>
      <c r="M93" s="149">
        <v>3</v>
      </c>
      <c r="N93" s="76"/>
      <c r="O93" s="76">
        <f t="shared" si="11"/>
        <v>0</v>
      </c>
      <c r="P93" s="161">
        <v>9</v>
      </c>
      <c r="Q93" s="218">
        <f t="shared" si="12"/>
        <v>0</v>
      </c>
      <c r="R93" s="76"/>
      <c r="S93" s="76">
        <f t="shared" si="13"/>
        <v>0</v>
      </c>
      <c r="T93" s="162">
        <f t="shared" si="14"/>
        <v>9</v>
      </c>
      <c r="U93" s="218">
        <f t="shared" si="15"/>
        <v>0</v>
      </c>
    </row>
    <row r="94" spans="9:21" x14ac:dyDescent="0.25">
      <c r="I94" s="123">
        <v>0</v>
      </c>
      <c r="J94" s="130">
        <v>0</v>
      </c>
      <c r="K94" s="76"/>
      <c r="L94" s="76"/>
      <c r="M94" s="149">
        <v>3</v>
      </c>
      <c r="N94" s="76"/>
      <c r="O94" s="76">
        <f t="shared" si="11"/>
        <v>0</v>
      </c>
      <c r="P94" s="161">
        <v>9</v>
      </c>
      <c r="Q94" s="218">
        <f t="shared" si="12"/>
        <v>0</v>
      </c>
      <c r="R94" s="76"/>
      <c r="S94" s="76">
        <f t="shared" si="13"/>
        <v>0</v>
      </c>
      <c r="T94" s="162">
        <f t="shared" si="14"/>
        <v>9</v>
      </c>
      <c r="U94" s="218">
        <f t="shared" si="15"/>
        <v>0</v>
      </c>
    </row>
    <row r="95" spans="9:21" x14ac:dyDescent="0.25">
      <c r="I95" s="123">
        <v>0</v>
      </c>
      <c r="J95" s="130">
        <v>0</v>
      </c>
      <c r="K95" s="76"/>
      <c r="L95" s="76"/>
      <c r="M95" s="149">
        <v>3</v>
      </c>
      <c r="N95" s="76"/>
      <c r="O95" s="76">
        <f t="shared" si="11"/>
        <v>0</v>
      </c>
      <c r="P95" s="161">
        <v>9</v>
      </c>
      <c r="Q95" s="218">
        <f t="shared" si="12"/>
        <v>0</v>
      </c>
      <c r="R95" s="76"/>
      <c r="S95" s="76">
        <f t="shared" si="13"/>
        <v>0</v>
      </c>
      <c r="T95" s="162">
        <f t="shared" si="14"/>
        <v>9</v>
      </c>
      <c r="U95" s="218">
        <f t="shared" si="15"/>
        <v>0</v>
      </c>
    </row>
    <row r="96" spans="9:21" x14ac:dyDescent="0.25">
      <c r="I96" s="123">
        <v>0</v>
      </c>
      <c r="J96" s="130">
        <v>0</v>
      </c>
      <c r="K96" s="76"/>
      <c r="L96" s="76"/>
      <c r="M96" s="149">
        <v>3</v>
      </c>
      <c r="N96" s="76"/>
      <c r="O96" s="76">
        <f t="shared" si="11"/>
        <v>0</v>
      </c>
      <c r="P96" s="161">
        <v>9</v>
      </c>
      <c r="Q96" s="218">
        <f t="shared" si="12"/>
        <v>0</v>
      </c>
      <c r="R96" s="76"/>
      <c r="S96" s="76">
        <f t="shared" si="13"/>
        <v>0</v>
      </c>
      <c r="T96" s="162">
        <f t="shared" si="14"/>
        <v>9</v>
      </c>
      <c r="U96" s="218">
        <f t="shared" si="15"/>
        <v>0</v>
      </c>
    </row>
    <row r="97" spans="9:21" x14ac:dyDescent="0.25">
      <c r="I97" s="123">
        <v>0</v>
      </c>
      <c r="J97" s="130">
        <v>0</v>
      </c>
      <c r="K97" s="76"/>
      <c r="L97" s="76"/>
      <c r="M97" s="149">
        <v>3</v>
      </c>
      <c r="N97" s="76"/>
      <c r="O97" s="76">
        <f t="shared" si="11"/>
        <v>0</v>
      </c>
      <c r="P97" s="161">
        <v>9</v>
      </c>
      <c r="Q97" s="218">
        <f t="shared" si="12"/>
        <v>0</v>
      </c>
      <c r="R97" s="76"/>
      <c r="S97" s="76">
        <f t="shared" si="13"/>
        <v>0</v>
      </c>
      <c r="T97" s="162">
        <f t="shared" si="14"/>
        <v>9</v>
      </c>
      <c r="U97" s="218">
        <f t="shared" si="15"/>
        <v>0</v>
      </c>
    </row>
    <row r="98" spans="9:21" x14ac:dyDescent="0.25">
      <c r="I98" s="123">
        <v>0</v>
      </c>
      <c r="J98" s="130">
        <v>0</v>
      </c>
      <c r="K98" s="76"/>
      <c r="L98" s="76"/>
      <c r="M98" s="149">
        <v>3</v>
      </c>
      <c r="N98" s="163"/>
      <c r="O98" s="76">
        <f t="shared" ref="O98:O127" si="16">L98+N98</f>
        <v>0</v>
      </c>
      <c r="P98" s="161">
        <v>9</v>
      </c>
      <c r="Q98" s="218">
        <f t="shared" ref="Q98:Q127" si="17">O98/P98</f>
        <v>0</v>
      </c>
      <c r="R98" s="76"/>
      <c r="S98" s="76">
        <f t="shared" ref="S98:S127" si="18">R98+L98</f>
        <v>0</v>
      </c>
      <c r="T98" s="162">
        <f t="shared" ref="T98:T127" si="19">P98</f>
        <v>9</v>
      </c>
      <c r="U98" s="218">
        <f t="shared" ref="U98:U127" si="20">S98/T98</f>
        <v>0</v>
      </c>
    </row>
    <row r="99" spans="9:21" x14ac:dyDescent="0.25">
      <c r="I99" s="123">
        <v>0</v>
      </c>
      <c r="J99" s="130">
        <v>0</v>
      </c>
      <c r="K99" s="76"/>
      <c r="L99" s="76"/>
      <c r="M99" s="149">
        <v>3</v>
      </c>
      <c r="N99" s="76"/>
      <c r="O99" s="76">
        <f t="shared" si="16"/>
        <v>0</v>
      </c>
      <c r="P99" s="161">
        <v>9</v>
      </c>
      <c r="Q99" s="218">
        <f t="shared" si="17"/>
        <v>0</v>
      </c>
      <c r="R99" s="76"/>
      <c r="S99" s="76">
        <f t="shared" si="18"/>
        <v>0</v>
      </c>
      <c r="T99" s="162">
        <f t="shared" si="19"/>
        <v>9</v>
      </c>
      <c r="U99" s="218">
        <f t="shared" si="20"/>
        <v>0</v>
      </c>
    </row>
    <row r="100" spans="9:21" x14ac:dyDescent="0.25">
      <c r="I100" s="123">
        <v>0</v>
      </c>
      <c r="J100" s="130">
        <v>0</v>
      </c>
      <c r="K100" s="76"/>
      <c r="L100" s="76"/>
      <c r="M100" s="149">
        <v>3</v>
      </c>
      <c r="N100" s="76"/>
      <c r="O100" s="76">
        <f t="shared" si="16"/>
        <v>0</v>
      </c>
      <c r="P100" s="161">
        <v>9</v>
      </c>
      <c r="Q100" s="218">
        <f t="shared" si="17"/>
        <v>0</v>
      </c>
      <c r="R100" s="76"/>
      <c r="S100" s="76">
        <f t="shared" si="18"/>
        <v>0</v>
      </c>
      <c r="T100" s="162">
        <f t="shared" si="19"/>
        <v>9</v>
      </c>
      <c r="U100" s="218">
        <f t="shared" si="20"/>
        <v>0</v>
      </c>
    </row>
    <row r="101" spans="9:21" x14ac:dyDescent="0.25">
      <c r="I101" s="123">
        <v>0</v>
      </c>
      <c r="J101" s="130">
        <v>0</v>
      </c>
      <c r="K101" s="76"/>
      <c r="L101" s="76"/>
      <c r="M101" s="149">
        <v>3</v>
      </c>
      <c r="N101" s="76"/>
      <c r="O101" s="76">
        <f t="shared" si="16"/>
        <v>0</v>
      </c>
      <c r="P101" s="161">
        <v>9</v>
      </c>
      <c r="Q101" s="218">
        <f t="shared" si="17"/>
        <v>0</v>
      </c>
      <c r="R101" s="76"/>
      <c r="S101" s="76">
        <f t="shared" si="18"/>
        <v>0</v>
      </c>
      <c r="T101" s="162">
        <f t="shared" si="19"/>
        <v>9</v>
      </c>
      <c r="U101" s="218">
        <f t="shared" si="20"/>
        <v>0</v>
      </c>
    </row>
    <row r="102" spans="9:21" x14ac:dyDescent="0.25">
      <c r="I102" s="123">
        <v>0</v>
      </c>
      <c r="J102" s="130">
        <v>0</v>
      </c>
      <c r="K102" s="76"/>
      <c r="L102" s="76"/>
      <c r="M102" s="149">
        <v>3</v>
      </c>
      <c r="N102" s="76"/>
      <c r="O102" s="76">
        <f t="shared" si="16"/>
        <v>0</v>
      </c>
      <c r="P102" s="161">
        <v>9</v>
      </c>
      <c r="Q102" s="218">
        <f t="shared" si="17"/>
        <v>0</v>
      </c>
      <c r="R102" s="76"/>
      <c r="S102" s="76">
        <f t="shared" si="18"/>
        <v>0</v>
      </c>
      <c r="T102" s="162">
        <f t="shared" si="19"/>
        <v>9</v>
      </c>
      <c r="U102" s="218">
        <f t="shared" si="20"/>
        <v>0</v>
      </c>
    </row>
    <row r="103" spans="9:21" x14ac:dyDescent="0.25">
      <c r="I103" s="123">
        <v>0</v>
      </c>
      <c r="J103" s="130">
        <v>0</v>
      </c>
      <c r="K103" s="76"/>
      <c r="L103" s="76"/>
      <c r="M103" s="149">
        <v>3</v>
      </c>
      <c r="N103" s="163"/>
      <c r="O103" s="76">
        <f t="shared" si="16"/>
        <v>0</v>
      </c>
      <c r="P103" s="161">
        <v>9</v>
      </c>
      <c r="Q103" s="218">
        <f t="shared" si="17"/>
        <v>0</v>
      </c>
      <c r="R103" s="76"/>
      <c r="S103" s="76">
        <f t="shared" si="18"/>
        <v>0</v>
      </c>
      <c r="T103" s="162">
        <f t="shared" si="19"/>
        <v>9</v>
      </c>
      <c r="U103" s="218">
        <f t="shared" si="20"/>
        <v>0</v>
      </c>
    </row>
    <row r="104" spans="9:21" x14ac:dyDescent="0.25">
      <c r="I104" s="123">
        <v>0</v>
      </c>
      <c r="J104" s="130">
        <v>0</v>
      </c>
      <c r="K104" s="76"/>
      <c r="L104" s="76"/>
      <c r="M104" s="149">
        <v>3</v>
      </c>
      <c r="N104" s="76"/>
      <c r="O104" s="76">
        <f t="shared" si="16"/>
        <v>0</v>
      </c>
      <c r="P104" s="161">
        <v>9</v>
      </c>
      <c r="Q104" s="218">
        <f t="shared" si="17"/>
        <v>0</v>
      </c>
      <c r="R104" s="76"/>
      <c r="S104" s="76">
        <f t="shared" si="18"/>
        <v>0</v>
      </c>
      <c r="T104" s="162">
        <f t="shared" si="19"/>
        <v>9</v>
      </c>
      <c r="U104" s="218">
        <f t="shared" si="20"/>
        <v>0</v>
      </c>
    </row>
    <row r="105" spans="9:21" x14ac:dyDescent="0.25">
      <c r="I105" s="123">
        <v>0</v>
      </c>
      <c r="J105" s="130">
        <v>0</v>
      </c>
      <c r="K105" s="76"/>
      <c r="L105" s="76"/>
      <c r="M105" s="149">
        <v>3</v>
      </c>
      <c r="N105" s="76"/>
      <c r="O105" s="76">
        <f t="shared" si="16"/>
        <v>0</v>
      </c>
      <c r="P105" s="161">
        <v>9</v>
      </c>
      <c r="Q105" s="218">
        <f t="shared" si="17"/>
        <v>0</v>
      </c>
      <c r="R105" s="76"/>
      <c r="S105" s="76">
        <f t="shared" si="18"/>
        <v>0</v>
      </c>
      <c r="T105" s="162">
        <f t="shared" si="19"/>
        <v>9</v>
      </c>
      <c r="U105" s="218">
        <f t="shared" si="20"/>
        <v>0</v>
      </c>
    </row>
    <row r="106" spans="9:21" x14ac:dyDescent="0.25">
      <c r="I106" s="123">
        <v>0</v>
      </c>
      <c r="J106" s="130">
        <v>0</v>
      </c>
      <c r="K106" s="76"/>
      <c r="L106" s="76"/>
      <c r="M106" s="149">
        <v>3</v>
      </c>
      <c r="N106" s="76"/>
      <c r="O106" s="76">
        <f t="shared" si="16"/>
        <v>0</v>
      </c>
      <c r="P106" s="161">
        <v>9</v>
      </c>
      <c r="Q106" s="218">
        <f t="shared" si="17"/>
        <v>0</v>
      </c>
      <c r="R106" s="76"/>
      <c r="S106" s="76">
        <f t="shared" si="18"/>
        <v>0</v>
      </c>
      <c r="T106" s="162">
        <f t="shared" si="19"/>
        <v>9</v>
      </c>
      <c r="U106" s="218">
        <f t="shared" si="20"/>
        <v>0</v>
      </c>
    </row>
    <row r="107" spans="9:21" x14ac:dyDescent="0.25">
      <c r="I107" s="123">
        <v>0</v>
      </c>
      <c r="J107" s="130">
        <v>0</v>
      </c>
      <c r="K107" s="76"/>
      <c r="L107" s="76"/>
      <c r="M107" s="149">
        <v>3</v>
      </c>
      <c r="N107" s="76"/>
      <c r="O107" s="76">
        <f t="shared" si="16"/>
        <v>0</v>
      </c>
      <c r="P107" s="161">
        <v>9</v>
      </c>
      <c r="Q107" s="218">
        <f t="shared" si="17"/>
        <v>0</v>
      </c>
      <c r="R107" s="76"/>
      <c r="S107" s="76">
        <f t="shared" si="18"/>
        <v>0</v>
      </c>
      <c r="T107" s="162">
        <f t="shared" si="19"/>
        <v>9</v>
      </c>
      <c r="U107" s="218">
        <f t="shared" si="20"/>
        <v>0</v>
      </c>
    </row>
    <row r="108" spans="9:21" x14ac:dyDescent="0.25">
      <c r="I108" s="123">
        <v>0</v>
      </c>
      <c r="J108" s="130">
        <v>0</v>
      </c>
      <c r="K108" s="76"/>
      <c r="L108" s="76"/>
      <c r="M108" s="149">
        <v>3</v>
      </c>
      <c r="N108" s="76"/>
      <c r="O108" s="76">
        <f t="shared" si="16"/>
        <v>0</v>
      </c>
      <c r="P108" s="161">
        <v>9</v>
      </c>
      <c r="Q108" s="218">
        <f t="shared" si="17"/>
        <v>0</v>
      </c>
      <c r="R108" s="76"/>
      <c r="S108" s="76">
        <f t="shared" si="18"/>
        <v>0</v>
      </c>
      <c r="T108" s="162">
        <f t="shared" si="19"/>
        <v>9</v>
      </c>
      <c r="U108" s="218">
        <f t="shared" si="20"/>
        <v>0</v>
      </c>
    </row>
    <row r="109" spans="9:21" x14ac:dyDescent="0.25">
      <c r="I109" s="123">
        <v>0</v>
      </c>
      <c r="J109" s="130">
        <v>0</v>
      </c>
      <c r="K109" s="76"/>
      <c r="L109" s="76"/>
      <c r="M109" s="149">
        <v>3</v>
      </c>
      <c r="N109" s="163"/>
      <c r="O109" s="76">
        <f t="shared" si="16"/>
        <v>0</v>
      </c>
      <c r="P109" s="161">
        <v>9</v>
      </c>
      <c r="Q109" s="218">
        <f t="shared" si="17"/>
        <v>0</v>
      </c>
      <c r="R109" s="76"/>
      <c r="S109" s="76">
        <f t="shared" si="18"/>
        <v>0</v>
      </c>
      <c r="T109" s="162">
        <f t="shared" si="19"/>
        <v>9</v>
      </c>
      <c r="U109" s="218">
        <f t="shared" si="20"/>
        <v>0</v>
      </c>
    </row>
    <row r="110" spans="9:21" x14ac:dyDescent="0.25">
      <c r="I110" s="123">
        <v>0</v>
      </c>
      <c r="J110" s="130">
        <v>0</v>
      </c>
      <c r="K110" s="76"/>
      <c r="L110" s="76"/>
      <c r="M110" s="149">
        <v>3</v>
      </c>
      <c r="N110" s="76"/>
      <c r="O110" s="76">
        <f t="shared" si="16"/>
        <v>0</v>
      </c>
      <c r="P110" s="161">
        <v>9</v>
      </c>
      <c r="Q110" s="218">
        <f t="shared" si="17"/>
        <v>0</v>
      </c>
      <c r="R110" s="76"/>
      <c r="S110" s="76">
        <f t="shared" si="18"/>
        <v>0</v>
      </c>
      <c r="T110" s="162">
        <f t="shared" si="19"/>
        <v>9</v>
      </c>
      <c r="U110" s="218">
        <f t="shared" si="20"/>
        <v>0</v>
      </c>
    </row>
    <row r="111" spans="9:21" x14ac:dyDescent="0.25">
      <c r="I111" s="123">
        <v>0</v>
      </c>
      <c r="J111" s="130">
        <v>0</v>
      </c>
      <c r="K111" s="76"/>
      <c r="L111" s="76"/>
      <c r="M111" s="149">
        <v>3</v>
      </c>
      <c r="N111" s="76"/>
      <c r="O111" s="76">
        <f t="shared" si="16"/>
        <v>0</v>
      </c>
      <c r="P111" s="161">
        <v>9</v>
      </c>
      <c r="Q111" s="218">
        <f t="shared" si="17"/>
        <v>0</v>
      </c>
      <c r="R111" s="76"/>
      <c r="S111" s="76">
        <f t="shared" si="18"/>
        <v>0</v>
      </c>
      <c r="T111" s="162">
        <f t="shared" si="19"/>
        <v>9</v>
      </c>
      <c r="U111" s="218">
        <f t="shared" si="20"/>
        <v>0</v>
      </c>
    </row>
    <row r="112" spans="9:21" x14ac:dyDescent="0.25">
      <c r="I112" s="123">
        <v>0</v>
      </c>
      <c r="J112" s="130">
        <v>0</v>
      </c>
      <c r="K112" s="76"/>
      <c r="L112" s="76"/>
      <c r="M112" s="149">
        <v>3</v>
      </c>
      <c r="N112" s="76"/>
      <c r="O112" s="76">
        <f t="shared" si="16"/>
        <v>0</v>
      </c>
      <c r="P112" s="161">
        <v>9</v>
      </c>
      <c r="Q112" s="218">
        <f t="shared" si="17"/>
        <v>0</v>
      </c>
      <c r="R112" s="76"/>
      <c r="S112" s="76">
        <f t="shared" si="18"/>
        <v>0</v>
      </c>
      <c r="T112" s="162">
        <f t="shared" si="19"/>
        <v>9</v>
      </c>
      <c r="U112" s="218">
        <f t="shared" si="20"/>
        <v>0</v>
      </c>
    </row>
    <row r="113" spans="9:21" x14ac:dyDescent="0.25">
      <c r="I113" s="123">
        <v>0</v>
      </c>
      <c r="J113" s="130">
        <v>0</v>
      </c>
      <c r="K113" s="76"/>
      <c r="L113" s="76"/>
      <c r="M113" s="149">
        <v>3</v>
      </c>
      <c r="N113" s="76"/>
      <c r="O113" s="76">
        <f t="shared" si="16"/>
        <v>0</v>
      </c>
      <c r="P113" s="161">
        <v>9</v>
      </c>
      <c r="Q113" s="218">
        <f t="shared" si="17"/>
        <v>0</v>
      </c>
      <c r="R113" s="76"/>
      <c r="S113" s="76">
        <f t="shared" si="18"/>
        <v>0</v>
      </c>
      <c r="T113" s="162">
        <f t="shared" si="19"/>
        <v>9</v>
      </c>
      <c r="U113" s="218">
        <f t="shared" si="20"/>
        <v>0</v>
      </c>
    </row>
    <row r="114" spans="9:21" x14ac:dyDescent="0.25">
      <c r="I114" s="123">
        <v>0</v>
      </c>
      <c r="J114" s="130">
        <v>0</v>
      </c>
      <c r="K114" s="76"/>
      <c r="L114" s="76"/>
      <c r="M114" s="149">
        <v>3</v>
      </c>
      <c r="N114" s="163"/>
      <c r="O114" s="76">
        <f t="shared" si="16"/>
        <v>0</v>
      </c>
      <c r="P114" s="161">
        <v>9</v>
      </c>
      <c r="Q114" s="218">
        <f t="shared" si="17"/>
        <v>0</v>
      </c>
      <c r="R114" s="76"/>
      <c r="S114" s="76">
        <f t="shared" si="18"/>
        <v>0</v>
      </c>
      <c r="T114" s="162">
        <f t="shared" si="19"/>
        <v>9</v>
      </c>
      <c r="U114" s="218">
        <f t="shared" si="20"/>
        <v>0</v>
      </c>
    </row>
    <row r="115" spans="9:21" x14ac:dyDescent="0.25">
      <c r="I115" s="123">
        <v>0</v>
      </c>
      <c r="J115" s="130">
        <v>0</v>
      </c>
      <c r="K115" s="76"/>
      <c r="L115" s="76"/>
      <c r="M115" s="149">
        <v>3</v>
      </c>
      <c r="N115" s="76"/>
      <c r="O115" s="76">
        <f t="shared" si="16"/>
        <v>0</v>
      </c>
      <c r="P115" s="161">
        <v>9</v>
      </c>
      <c r="Q115" s="218">
        <f t="shared" si="17"/>
        <v>0</v>
      </c>
      <c r="R115" s="76"/>
      <c r="S115" s="76">
        <f t="shared" si="18"/>
        <v>0</v>
      </c>
      <c r="T115" s="162">
        <f t="shared" si="19"/>
        <v>9</v>
      </c>
      <c r="U115" s="218">
        <f t="shared" si="20"/>
        <v>0</v>
      </c>
    </row>
    <row r="116" spans="9:21" x14ac:dyDescent="0.25">
      <c r="I116" s="123">
        <v>0</v>
      </c>
      <c r="J116" s="130">
        <v>0</v>
      </c>
      <c r="K116" s="76"/>
      <c r="L116" s="76"/>
      <c r="M116" s="149">
        <v>3</v>
      </c>
      <c r="N116" s="76"/>
      <c r="O116" s="76">
        <f t="shared" si="16"/>
        <v>0</v>
      </c>
      <c r="P116" s="161">
        <v>9</v>
      </c>
      <c r="Q116" s="218">
        <f t="shared" si="17"/>
        <v>0</v>
      </c>
      <c r="R116" s="76"/>
      <c r="S116" s="76">
        <f t="shared" si="18"/>
        <v>0</v>
      </c>
      <c r="T116" s="162">
        <f t="shared" si="19"/>
        <v>9</v>
      </c>
      <c r="U116" s="218">
        <f t="shared" si="20"/>
        <v>0</v>
      </c>
    </row>
    <row r="117" spans="9:21" x14ac:dyDescent="0.25">
      <c r="I117" s="123">
        <v>0</v>
      </c>
      <c r="J117" s="130">
        <v>0</v>
      </c>
      <c r="K117" s="76"/>
      <c r="L117" s="76"/>
      <c r="M117" s="149">
        <v>3</v>
      </c>
      <c r="N117" s="76"/>
      <c r="O117" s="76">
        <f t="shared" si="16"/>
        <v>0</v>
      </c>
      <c r="P117" s="161">
        <v>9</v>
      </c>
      <c r="Q117" s="218">
        <f t="shared" si="17"/>
        <v>0</v>
      </c>
      <c r="R117" s="76"/>
      <c r="S117" s="76">
        <f t="shared" si="18"/>
        <v>0</v>
      </c>
      <c r="T117" s="162">
        <f t="shared" si="19"/>
        <v>9</v>
      </c>
      <c r="U117" s="218">
        <f t="shared" si="20"/>
        <v>0</v>
      </c>
    </row>
    <row r="118" spans="9:21" x14ac:dyDescent="0.25">
      <c r="I118" s="123">
        <v>0</v>
      </c>
      <c r="J118" s="130">
        <v>0</v>
      </c>
      <c r="K118" s="76"/>
      <c r="L118" s="76"/>
      <c r="M118" s="149">
        <v>3</v>
      </c>
      <c r="N118" s="76"/>
      <c r="O118" s="76">
        <f t="shared" si="16"/>
        <v>0</v>
      </c>
      <c r="P118" s="161">
        <v>9</v>
      </c>
      <c r="Q118" s="218">
        <f t="shared" si="17"/>
        <v>0</v>
      </c>
      <c r="R118" s="76"/>
      <c r="S118" s="76">
        <f t="shared" si="18"/>
        <v>0</v>
      </c>
      <c r="T118" s="162">
        <f t="shared" si="19"/>
        <v>9</v>
      </c>
      <c r="U118" s="218">
        <f t="shared" si="20"/>
        <v>0</v>
      </c>
    </row>
    <row r="119" spans="9:21" x14ac:dyDescent="0.25">
      <c r="I119" s="123">
        <v>0</v>
      </c>
      <c r="J119" s="130">
        <v>0</v>
      </c>
      <c r="K119" s="76"/>
      <c r="L119" s="76"/>
      <c r="M119" s="149">
        <v>3</v>
      </c>
      <c r="N119" s="76"/>
      <c r="O119" s="76">
        <f t="shared" si="16"/>
        <v>0</v>
      </c>
      <c r="P119" s="161">
        <v>9</v>
      </c>
      <c r="Q119" s="218">
        <f t="shared" si="17"/>
        <v>0</v>
      </c>
      <c r="R119" s="76"/>
      <c r="S119" s="76">
        <f t="shared" si="18"/>
        <v>0</v>
      </c>
      <c r="T119" s="162">
        <f t="shared" si="19"/>
        <v>9</v>
      </c>
      <c r="U119" s="218">
        <f t="shared" si="20"/>
        <v>0</v>
      </c>
    </row>
    <row r="120" spans="9:21" x14ac:dyDescent="0.25">
      <c r="I120" s="123">
        <v>0</v>
      </c>
      <c r="J120" s="130">
        <v>0</v>
      </c>
      <c r="K120" s="76"/>
      <c r="L120" s="76"/>
      <c r="M120" s="149">
        <v>3</v>
      </c>
      <c r="N120" s="163"/>
      <c r="O120" s="76">
        <f t="shared" si="16"/>
        <v>0</v>
      </c>
      <c r="P120" s="161">
        <v>9</v>
      </c>
      <c r="Q120" s="218">
        <f t="shared" si="17"/>
        <v>0</v>
      </c>
      <c r="R120" s="76"/>
      <c r="S120" s="76">
        <f t="shared" si="18"/>
        <v>0</v>
      </c>
      <c r="T120" s="162">
        <f t="shared" si="19"/>
        <v>9</v>
      </c>
      <c r="U120" s="218">
        <f t="shared" si="20"/>
        <v>0</v>
      </c>
    </row>
    <row r="121" spans="9:21" x14ac:dyDescent="0.25">
      <c r="I121" s="123">
        <v>0</v>
      </c>
      <c r="J121" s="130">
        <v>0</v>
      </c>
      <c r="K121" s="76"/>
      <c r="L121" s="76"/>
      <c r="M121" s="149">
        <v>3</v>
      </c>
      <c r="N121" s="76"/>
      <c r="O121" s="76">
        <f t="shared" si="16"/>
        <v>0</v>
      </c>
      <c r="P121" s="161">
        <v>9</v>
      </c>
      <c r="Q121" s="218">
        <f t="shared" si="17"/>
        <v>0</v>
      </c>
      <c r="R121" s="76"/>
      <c r="S121" s="76">
        <f t="shared" si="18"/>
        <v>0</v>
      </c>
      <c r="T121" s="162">
        <f t="shared" si="19"/>
        <v>9</v>
      </c>
      <c r="U121" s="218">
        <f t="shared" si="20"/>
        <v>0</v>
      </c>
    </row>
    <row r="122" spans="9:21" x14ac:dyDescent="0.25">
      <c r="I122" s="123">
        <v>0</v>
      </c>
      <c r="J122" s="130">
        <v>0</v>
      </c>
      <c r="K122" s="76"/>
      <c r="L122" s="76"/>
      <c r="M122" s="149">
        <v>3</v>
      </c>
      <c r="N122" s="76"/>
      <c r="O122" s="76">
        <f t="shared" si="16"/>
        <v>0</v>
      </c>
      <c r="P122" s="161">
        <v>9</v>
      </c>
      <c r="Q122" s="218">
        <f t="shared" si="17"/>
        <v>0</v>
      </c>
      <c r="R122" s="76"/>
      <c r="S122" s="76">
        <f t="shared" si="18"/>
        <v>0</v>
      </c>
      <c r="T122" s="162">
        <f t="shared" si="19"/>
        <v>9</v>
      </c>
      <c r="U122" s="218">
        <f t="shared" si="20"/>
        <v>0</v>
      </c>
    </row>
    <row r="123" spans="9:21" x14ac:dyDescent="0.25">
      <c r="I123" s="123">
        <v>0</v>
      </c>
      <c r="J123" s="130">
        <v>0</v>
      </c>
      <c r="K123" s="76"/>
      <c r="L123" s="76"/>
      <c r="M123" s="149">
        <v>3</v>
      </c>
      <c r="N123" s="76"/>
      <c r="O123" s="76">
        <f t="shared" si="16"/>
        <v>0</v>
      </c>
      <c r="P123" s="161">
        <v>9</v>
      </c>
      <c r="Q123" s="218">
        <f t="shared" si="17"/>
        <v>0</v>
      </c>
      <c r="R123" s="76"/>
      <c r="S123" s="76">
        <f t="shared" si="18"/>
        <v>0</v>
      </c>
      <c r="T123" s="162">
        <f t="shared" si="19"/>
        <v>9</v>
      </c>
      <c r="U123" s="218">
        <f t="shared" si="20"/>
        <v>0</v>
      </c>
    </row>
    <row r="124" spans="9:21" x14ac:dyDescent="0.25">
      <c r="I124" s="123">
        <v>0</v>
      </c>
      <c r="J124" s="130">
        <v>0</v>
      </c>
      <c r="K124" s="76"/>
      <c r="L124" s="76"/>
      <c r="M124" s="149">
        <v>3</v>
      </c>
      <c r="N124" s="76"/>
      <c r="O124" s="76">
        <f t="shared" si="16"/>
        <v>0</v>
      </c>
      <c r="P124" s="161">
        <v>9</v>
      </c>
      <c r="Q124" s="218">
        <f t="shared" si="17"/>
        <v>0</v>
      </c>
      <c r="R124" s="76"/>
      <c r="S124" s="76">
        <f t="shared" si="18"/>
        <v>0</v>
      </c>
      <c r="T124" s="162">
        <f t="shared" si="19"/>
        <v>9</v>
      </c>
      <c r="U124" s="218">
        <f t="shared" si="20"/>
        <v>0</v>
      </c>
    </row>
    <row r="125" spans="9:21" x14ac:dyDescent="0.25">
      <c r="I125" s="123">
        <v>0</v>
      </c>
      <c r="J125" s="130">
        <v>0</v>
      </c>
      <c r="K125" s="76"/>
      <c r="L125" s="76"/>
      <c r="M125" s="149">
        <v>3</v>
      </c>
      <c r="N125" s="163"/>
      <c r="O125" s="76">
        <f t="shared" si="16"/>
        <v>0</v>
      </c>
      <c r="P125" s="161">
        <v>9</v>
      </c>
      <c r="Q125" s="218">
        <f t="shared" si="17"/>
        <v>0</v>
      </c>
      <c r="R125" s="76"/>
      <c r="S125" s="76">
        <f t="shared" si="18"/>
        <v>0</v>
      </c>
      <c r="T125" s="162">
        <f t="shared" si="19"/>
        <v>9</v>
      </c>
      <c r="U125" s="218">
        <f t="shared" si="20"/>
        <v>0</v>
      </c>
    </row>
    <row r="126" spans="9:21" x14ac:dyDescent="0.25">
      <c r="I126" s="123">
        <v>0</v>
      </c>
      <c r="J126" s="130">
        <v>0</v>
      </c>
      <c r="K126" s="76"/>
      <c r="L126" s="76"/>
      <c r="M126" s="149">
        <v>3</v>
      </c>
      <c r="N126" s="76"/>
      <c r="O126" s="76">
        <f t="shared" si="16"/>
        <v>0</v>
      </c>
      <c r="P126" s="161">
        <v>9</v>
      </c>
      <c r="Q126" s="218">
        <f t="shared" si="17"/>
        <v>0</v>
      </c>
      <c r="R126" s="76"/>
      <c r="S126" s="76">
        <f t="shared" si="18"/>
        <v>0</v>
      </c>
      <c r="T126" s="162">
        <f t="shared" si="19"/>
        <v>9</v>
      </c>
      <c r="U126" s="218">
        <f t="shared" si="20"/>
        <v>0</v>
      </c>
    </row>
    <row r="127" spans="9:21" x14ac:dyDescent="0.25">
      <c r="I127" s="123">
        <v>0</v>
      </c>
      <c r="J127" s="130">
        <v>0</v>
      </c>
      <c r="K127" s="76"/>
      <c r="L127" s="76"/>
      <c r="M127" s="149">
        <v>3</v>
      </c>
      <c r="N127" s="76"/>
      <c r="O127" s="76">
        <f t="shared" si="16"/>
        <v>0</v>
      </c>
      <c r="P127" s="161">
        <v>9</v>
      </c>
      <c r="Q127" s="218">
        <f t="shared" si="17"/>
        <v>0</v>
      </c>
      <c r="R127" s="76"/>
      <c r="S127" s="76">
        <f t="shared" si="18"/>
        <v>0</v>
      </c>
      <c r="T127" s="162">
        <f t="shared" si="19"/>
        <v>9</v>
      </c>
      <c r="U127" s="21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67"/>
      <c r="D1" s="119"/>
      <c r="G1" s="69"/>
      <c r="H1" s="56"/>
      <c r="J1" s="69"/>
      <c r="K1" s="69"/>
      <c r="M1" s="168"/>
      <c r="T1" s="265"/>
      <c r="U1" s="265"/>
      <c r="V1" s="265"/>
      <c r="W1" s="169"/>
      <c r="X1" s="265" t="s">
        <v>181</v>
      </c>
      <c r="Y1" s="265"/>
      <c r="Z1" s="131">
        <f>T2+U2+V2+W2+X2+Y2+Z2</f>
        <v>1</v>
      </c>
      <c r="AC1" s="69"/>
      <c r="AD1" s="69"/>
      <c r="AE1" s="69"/>
      <c r="AF1" s="69"/>
      <c r="AG1" s="69"/>
      <c r="AH1" s="69"/>
      <c r="AI1" s="69"/>
      <c r="AJ1" s="69"/>
      <c r="AS1" s="265" t="s">
        <v>223</v>
      </c>
      <c r="AT1" s="265"/>
      <c r="AU1" s="265"/>
      <c r="AV1" s="265"/>
      <c r="AW1" s="265"/>
      <c r="AX1" s="265"/>
      <c r="AY1" s="265"/>
      <c r="AZ1" s="265"/>
      <c r="BA1" s="265"/>
      <c r="BB1" s="265"/>
      <c r="BC1" s="265"/>
      <c r="BD1" s="265"/>
      <c r="BE1" s="265"/>
      <c r="BG1" s="112" t="s">
        <v>173</v>
      </c>
      <c r="BH1" s="112" t="s">
        <v>174</v>
      </c>
      <c r="BI1" s="112" t="s">
        <v>224</v>
      </c>
      <c r="BJ1" s="113" t="s">
        <v>225</v>
      </c>
      <c r="BK1" s="69" t="s">
        <v>226</v>
      </c>
      <c r="BL1" s="69" t="s">
        <v>227</v>
      </c>
    </row>
    <row r="2" spans="1:64" ht="18.75" x14ac:dyDescent="0.3">
      <c r="A2" s="170"/>
      <c r="B2" s="170"/>
      <c r="C2" s="171"/>
      <c r="D2" s="172">
        <f ca="1">TODAY()</f>
        <v>43056</v>
      </c>
      <c r="G2" s="69"/>
      <c r="H2" s="173"/>
      <c r="I2" s="173"/>
      <c r="J2" s="174"/>
      <c r="K2" s="174"/>
      <c r="L2" s="173"/>
      <c r="M2" s="175"/>
      <c r="N2" s="173"/>
      <c r="O2" s="173"/>
      <c r="P2" s="173"/>
      <c r="Q2" s="173"/>
      <c r="R2" s="173"/>
      <c r="S2" s="173"/>
      <c r="T2" s="178">
        <v>0</v>
      </c>
      <c r="U2" s="179">
        <v>0</v>
      </c>
      <c r="V2" s="179">
        <v>0</v>
      </c>
      <c r="W2" s="178">
        <v>0</v>
      </c>
      <c r="X2" s="180">
        <v>1</v>
      </c>
      <c r="Y2" s="180">
        <v>0</v>
      </c>
      <c r="Z2" s="180">
        <v>0</v>
      </c>
      <c r="AA2" s="176"/>
      <c r="AB2" s="177"/>
      <c r="AC2" s="177"/>
      <c r="AD2" s="177"/>
      <c r="AE2" s="177"/>
      <c r="AF2" s="177"/>
      <c r="AG2" s="177"/>
      <c r="AH2" s="177"/>
      <c r="AI2" s="177"/>
      <c r="AJ2" s="177"/>
      <c r="AK2" s="170"/>
      <c r="AL2" s="170"/>
      <c r="AM2" s="170"/>
      <c r="AN2" s="170"/>
      <c r="AO2" s="170"/>
      <c r="AP2" s="170"/>
      <c r="AQ2" s="170"/>
      <c r="AR2" s="170"/>
      <c r="AS2" s="170"/>
      <c r="AT2" s="170"/>
      <c r="AU2" s="181">
        <f>SUM(AU4:AU14)*$BJ$3</f>
        <v>0</v>
      </c>
      <c r="AV2" s="181">
        <f>SUM(AV4:AV14)*$BJ$3</f>
        <v>0</v>
      </c>
      <c r="AW2" s="181">
        <f>SUM(AW4:AW14)*$BJ$2</f>
        <v>0</v>
      </c>
      <c r="AX2" s="181">
        <f>SUM(AX4:AX14)*$BJ$4</f>
        <v>0</v>
      </c>
      <c r="AY2" s="181">
        <f>SUM(AY4:AY14)*$BJ$5</f>
        <v>3.251378205128197E-2</v>
      </c>
      <c r="AZ2" s="181">
        <f>SUM(AZ4:AZ14)*$BJ$5</f>
        <v>2.715373931623926E-2</v>
      </c>
      <c r="BA2" s="181">
        <f>SUM(BA4:BA14)*$BJ$6</f>
        <v>4.6422764957264884E-2</v>
      </c>
      <c r="BB2" s="182">
        <f>SUM(BB4:BB14)</f>
        <v>0</v>
      </c>
      <c r="BC2" s="182">
        <f>SUM(BC4:BC14)</f>
        <v>0</v>
      </c>
      <c r="BD2" s="182">
        <f t="shared" ref="BD2:BE2" si="0">SUM(BD4:BD14)</f>
        <v>12.261517857142856</v>
      </c>
      <c r="BE2" s="182">
        <f t="shared" si="0"/>
        <v>5.8482142857142705E-2</v>
      </c>
      <c r="BF2" s="170"/>
      <c r="BG2" s="114" t="s">
        <v>175</v>
      </c>
      <c r="BH2" s="115">
        <v>1</v>
      </c>
      <c r="BI2" s="183">
        <v>0.624</v>
      </c>
      <c r="BJ2" s="184">
        <v>0.245</v>
      </c>
      <c r="BK2" s="72">
        <f>BJ2*10</f>
        <v>2.4500000000000002</v>
      </c>
      <c r="BL2" s="72">
        <f>BJ2*15</f>
        <v>3.6749999999999998</v>
      </c>
    </row>
    <row r="3" spans="1:64" ht="18.75" x14ac:dyDescent="0.3">
      <c r="A3" s="11" t="s">
        <v>1</v>
      </c>
      <c r="B3" s="11" t="s">
        <v>2</v>
      </c>
      <c r="C3" s="12" t="s">
        <v>213</v>
      </c>
      <c r="D3" s="13" t="s">
        <v>3</v>
      </c>
      <c r="E3" s="11" t="s">
        <v>4</v>
      </c>
      <c r="F3" s="11" t="s">
        <v>5</v>
      </c>
      <c r="G3" s="11" t="s">
        <v>6</v>
      </c>
      <c r="H3" s="11" t="s">
        <v>7</v>
      </c>
      <c r="I3" s="11" t="s">
        <v>8</v>
      </c>
      <c r="J3" s="11" t="s">
        <v>9</v>
      </c>
      <c r="K3" s="14" t="s">
        <v>228</v>
      </c>
      <c r="L3" s="14" t="s">
        <v>229</v>
      </c>
      <c r="M3" s="11" t="s">
        <v>15</v>
      </c>
      <c r="N3" s="11" t="s">
        <v>16</v>
      </c>
      <c r="O3" s="11" t="s">
        <v>17</v>
      </c>
      <c r="P3" s="11" t="s">
        <v>18</v>
      </c>
      <c r="Q3" s="11" t="s">
        <v>19</v>
      </c>
      <c r="R3" s="11" t="s">
        <v>20</v>
      </c>
      <c r="S3" s="11" t="s">
        <v>6</v>
      </c>
      <c r="T3" s="186" t="s">
        <v>15</v>
      </c>
      <c r="U3" s="186" t="s">
        <v>16</v>
      </c>
      <c r="V3" s="186" t="s">
        <v>17</v>
      </c>
      <c r="W3" s="186" t="s">
        <v>18</v>
      </c>
      <c r="X3" s="186" t="s">
        <v>19</v>
      </c>
      <c r="Y3" s="186" t="s">
        <v>20</v>
      </c>
      <c r="Z3" s="186" t="s">
        <v>6</v>
      </c>
      <c r="AA3" s="185" t="s">
        <v>4</v>
      </c>
      <c r="AB3" s="185" t="s">
        <v>5</v>
      </c>
      <c r="AC3" s="186" t="s">
        <v>8</v>
      </c>
      <c r="AD3" s="186" t="s">
        <v>15</v>
      </c>
      <c r="AE3" s="186" t="s">
        <v>16</v>
      </c>
      <c r="AF3" s="186" t="s">
        <v>17</v>
      </c>
      <c r="AG3" s="186" t="s">
        <v>18</v>
      </c>
      <c r="AH3" s="186" t="s">
        <v>19</v>
      </c>
      <c r="AI3" s="186" t="s">
        <v>20</v>
      </c>
      <c r="AJ3" s="186" t="s">
        <v>6</v>
      </c>
      <c r="AK3" s="186" t="s">
        <v>15</v>
      </c>
      <c r="AL3" s="186" t="s">
        <v>16</v>
      </c>
      <c r="AM3" s="186" t="s">
        <v>17</v>
      </c>
      <c r="AN3" s="186" t="s">
        <v>18</v>
      </c>
      <c r="AO3" s="186" t="s">
        <v>19</v>
      </c>
      <c r="AP3" s="186" t="s">
        <v>20</v>
      </c>
      <c r="AQ3" s="186" t="s">
        <v>6</v>
      </c>
      <c r="AS3" s="263" t="s">
        <v>245</v>
      </c>
      <c r="AT3" s="264"/>
      <c r="AU3" s="187" t="s">
        <v>230</v>
      </c>
      <c r="AV3" s="187" t="s">
        <v>231</v>
      </c>
      <c r="AW3" s="187" t="s">
        <v>232</v>
      </c>
      <c r="AX3" s="187" t="s">
        <v>233</v>
      </c>
      <c r="AY3" s="187" t="s">
        <v>234</v>
      </c>
      <c r="AZ3" s="187" t="s">
        <v>235</v>
      </c>
      <c r="BA3" s="187" t="s">
        <v>236</v>
      </c>
      <c r="BB3" s="187" t="s">
        <v>237</v>
      </c>
      <c r="BC3" s="187" t="s">
        <v>238</v>
      </c>
      <c r="BD3" s="187" t="s">
        <v>22</v>
      </c>
      <c r="BE3" s="187" t="s">
        <v>239</v>
      </c>
      <c r="BG3" s="114" t="s">
        <v>176</v>
      </c>
      <c r="BH3" s="115">
        <v>1</v>
      </c>
      <c r="BI3" s="183">
        <v>1.002</v>
      </c>
      <c r="BJ3" s="184">
        <v>0.34</v>
      </c>
      <c r="BK3" s="72">
        <f t="shared" ref="BK3:BK6" si="1">BJ3*10</f>
        <v>3.4000000000000004</v>
      </c>
      <c r="BL3" s="72">
        <f t="shared" ref="BL3:BL6" si="2">BJ3*15</f>
        <v>5.1000000000000005</v>
      </c>
    </row>
    <row r="4" spans="1:64" ht="18.75" x14ac:dyDescent="0.3">
      <c r="A4" s="16" t="str">
        <f>PLANTILLA!A4</f>
        <v>#1</v>
      </c>
      <c r="B4" s="16" t="str">
        <f>PLANTILLA!B4</f>
        <v>POR</v>
      </c>
      <c r="C4" s="138">
        <f ca="1">PLANTILLA!C4</f>
        <v>2.8125</v>
      </c>
      <c r="D4" s="17" t="str">
        <f>PLANTILLA!D4</f>
        <v>Damián Sala</v>
      </c>
      <c r="E4" s="18">
        <f>PLANTILLA!E4</f>
        <v>30</v>
      </c>
      <c r="F4" s="19">
        <f ca="1">PLANTILLA!F4</f>
        <v>21</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2.3299999999999996</v>
      </c>
      <c r="R4" s="23">
        <f>PLANTILLA!AC4</f>
        <v>1.8100000000000005</v>
      </c>
      <c r="S4" s="23">
        <f>PLANTILLA!AD4</f>
        <v>19.149999999999999</v>
      </c>
      <c r="T4" s="190">
        <v>1</v>
      </c>
      <c r="U4" s="190">
        <v>1</v>
      </c>
      <c r="V4" s="190">
        <v>0.13</v>
      </c>
      <c r="W4" s="190">
        <v>0.13</v>
      </c>
      <c r="X4" s="190">
        <f>0.17</f>
        <v>0.17</v>
      </c>
      <c r="Y4" s="190">
        <f t="shared" ref="Y4:Y14" si="3">0.17</f>
        <v>0.17</v>
      </c>
      <c r="Z4" s="190">
        <v>1.25</v>
      </c>
      <c r="AA4" s="188">
        <f t="shared" ref="AA4:AA18" si="4">E4</f>
        <v>30</v>
      </c>
      <c r="AB4" s="189">
        <f t="shared" ref="AB4:AB18" ca="1" si="5">F4+7</f>
        <v>28</v>
      </c>
      <c r="AC4" s="27">
        <f t="shared" ref="AC4:AC18" si="6">I4+$AC$2</f>
        <v>10.6</v>
      </c>
      <c r="AD4" s="191">
        <f>M4+(T4*T$2/12)</f>
        <v>14</v>
      </c>
      <c r="AE4" s="191">
        <f>N4+(U$2/14)</f>
        <v>11.066666666666666</v>
      </c>
      <c r="AF4" s="191">
        <f t="shared" ref="AF4:AH4" si="7">O4</f>
        <v>0.17999999999999997</v>
      </c>
      <c r="AG4" s="191">
        <f t="shared" si="7"/>
        <v>0.01</v>
      </c>
      <c r="AH4" s="191">
        <f t="shared" si="7"/>
        <v>2.3299999999999996</v>
      </c>
      <c r="AI4" s="191">
        <f>R4</f>
        <v>1.8100000000000005</v>
      </c>
      <c r="AJ4" s="191">
        <f>S4+(Z$2/4)</f>
        <v>19.149999999999999</v>
      </c>
      <c r="AK4" s="192">
        <f t="shared" ref="AK4:AQ6" si="8">AD4-M4</f>
        <v>0</v>
      </c>
      <c r="AL4" s="192">
        <f t="shared" si="8"/>
        <v>0</v>
      </c>
      <c r="AM4" s="192">
        <f t="shared" si="8"/>
        <v>0</v>
      </c>
      <c r="AN4" s="192">
        <f t="shared" si="8"/>
        <v>0</v>
      </c>
      <c r="AO4" s="192">
        <f t="shared" si="8"/>
        <v>0</v>
      </c>
      <c r="AP4" s="192">
        <f t="shared" si="8"/>
        <v>0</v>
      </c>
      <c r="AQ4" s="192">
        <f t="shared" si="8"/>
        <v>0</v>
      </c>
      <c r="AR4" s="193"/>
      <c r="AS4" s="211" t="s">
        <v>28</v>
      </c>
      <c r="AT4" s="195" t="str">
        <f>D4</f>
        <v>Damián Sala</v>
      </c>
      <c r="AU4" s="196">
        <f>(AK4*0.597)+(AL4*0.276)</f>
        <v>0</v>
      </c>
      <c r="AV4" s="196">
        <f>AU4</f>
        <v>0</v>
      </c>
      <c r="AW4" s="196">
        <f>(AK4*0.866)+(AL4*0.425)</f>
        <v>0</v>
      </c>
      <c r="AX4" s="196">
        <v>0</v>
      </c>
      <c r="AY4" s="196">
        <v>0</v>
      </c>
      <c r="AZ4" s="196">
        <v>0</v>
      </c>
      <c r="BA4" s="196">
        <v>0</v>
      </c>
      <c r="BB4" s="209">
        <v>0</v>
      </c>
      <c r="BC4" s="209">
        <f>0.08*AK4+0.1*AQ4</f>
        <v>0</v>
      </c>
      <c r="BD4" s="209">
        <v>0</v>
      </c>
      <c r="BE4" s="209">
        <v>0</v>
      </c>
      <c r="BF4" s="193"/>
      <c r="BG4" s="114" t="s">
        <v>177</v>
      </c>
      <c r="BH4" s="115">
        <v>1</v>
      </c>
      <c r="BI4" s="183">
        <v>0.46800000000000003</v>
      </c>
      <c r="BJ4" s="184">
        <v>0.125</v>
      </c>
      <c r="BK4" s="72">
        <f t="shared" si="1"/>
        <v>1.25</v>
      </c>
      <c r="BL4" s="72">
        <f t="shared" si="2"/>
        <v>1.875</v>
      </c>
    </row>
    <row r="5" spans="1:64" ht="18.75" x14ac:dyDescent="0.3">
      <c r="A5" s="16" t="str">
        <f>PLANTILLA!A5</f>
        <v>#2</v>
      </c>
      <c r="B5" s="16" t="str">
        <f>PLANTILLA!B5</f>
        <v>DEF</v>
      </c>
      <c r="C5" s="138">
        <f ca="1">PLANTILLA!C5</f>
        <v>1.0803571428571428</v>
      </c>
      <c r="D5" s="31" t="str">
        <f>PLANTILLA!D5</f>
        <v>Mario Omarini</v>
      </c>
      <c r="E5" s="18">
        <f>PLANTILLA!E5</f>
        <v>31</v>
      </c>
      <c r="F5" s="19">
        <f ca="1">PLANTILLA!F5</f>
        <v>103</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15.333333333333332</v>
      </c>
      <c r="T5" s="190">
        <v>0</v>
      </c>
      <c r="U5" s="190">
        <v>1</v>
      </c>
      <c r="V5" s="190">
        <v>0.13</v>
      </c>
      <c r="W5" s="190">
        <v>0.5</v>
      </c>
      <c r="X5" s="190">
        <v>1</v>
      </c>
      <c r="Y5" s="190">
        <f t="shared" si="3"/>
        <v>0.17</v>
      </c>
      <c r="Z5" s="190">
        <v>1.25</v>
      </c>
      <c r="AA5" s="188">
        <f t="shared" si="4"/>
        <v>31</v>
      </c>
      <c r="AB5" s="189">
        <f t="shared" ca="1" si="5"/>
        <v>110</v>
      </c>
      <c r="AC5" s="27">
        <f t="shared" si="6"/>
        <v>9.6999999999999993</v>
      </c>
      <c r="AD5" s="191">
        <f>M5</f>
        <v>0</v>
      </c>
      <c r="AE5" s="191">
        <f>N5+(U$2/11)</f>
        <v>14</v>
      </c>
      <c r="AF5" s="191">
        <f>O5+(V$2/34)</f>
        <v>7.1099999999999994</v>
      </c>
      <c r="AG5" s="191">
        <f>P5+(W$2/14)</f>
        <v>11.035714285714286</v>
      </c>
      <c r="AH5" s="191">
        <f>Q5+(X$2/10)</f>
        <v>7.1499999999999986</v>
      </c>
      <c r="AI5" s="191">
        <f>R5+(Y$2/40)</f>
        <v>2.0099999999999998</v>
      </c>
      <c r="AJ5" s="191">
        <f>S5+(Z$2/7)</f>
        <v>15.333333333333332</v>
      </c>
      <c r="AK5" s="192">
        <f t="shared" si="8"/>
        <v>0</v>
      </c>
      <c r="AL5" s="192">
        <f t="shared" si="8"/>
        <v>0</v>
      </c>
      <c r="AM5" s="192">
        <f t="shared" si="8"/>
        <v>0</v>
      </c>
      <c r="AN5" s="192">
        <f t="shared" si="8"/>
        <v>0</v>
      </c>
      <c r="AO5" s="192">
        <f t="shared" si="8"/>
        <v>9.9999999999999645E-2</v>
      </c>
      <c r="AP5" s="192">
        <f t="shared" si="8"/>
        <v>0</v>
      </c>
      <c r="AQ5" s="192">
        <f t="shared" si="8"/>
        <v>0</v>
      </c>
      <c r="AR5" s="197"/>
      <c r="AS5" s="198" t="s">
        <v>240</v>
      </c>
      <c r="AT5" s="199" t="str">
        <f>D5</f>
        <v>Mario Omarini</v>
      </c>
      <c r="AU5" s="200">
        <f>(AL5*0.919)</f>
        <v>0</v>
      </c>
      <c r="AV5" s="200">
        <v>0</v>
      </c>
      <c r="AW5" s="200">
        <f>AL5*0.414</f>
        <v>0</v>
      </c>
      <c r="AX5" s="200">
        <f>AM5*0.167</f>
        <v>0</v>
      </c>
      <c r="AY5" s="200">
        <f>AN5*0.588</f>
        <v>0</v>
      </c>
      <c r="AZ5" s="200">
        <v>0</v>
      </c>
      <c r="BA5" s="200">
        <v>0</v>
      </c>
      <c r="BB5" s="201">
        <f>(0.5*AP5+0.3*AQ5)/10</f>
        <v>0</v>
      </c>
      <c r="BC5" s="201">
        <f>(0.4*AL5+0.3*AQ5)/10</f>
        <v>0</v>
      </c>
      <c r="BD5" s="201">
        <f>((AE5+1)+(AH5+1)*2)/8</f>
        <v>3.9124999999999996</v>
      </c>
      <c r="BE5" s="201">
        <f>((AL5)+(AO5)*2)/8</f>
        <v>2.4999999999999911E-2</v>
      </c>
      <c r="BF5" s="197"/>
      <c r="BG5" s="114" t="s">
        <v>178</v>
      </c>
      <c r="BH5" s="115">
        <v>1</v>
      </c>
      <c r="BI5" s="183">
        <v>0.877</v>
      </c>
      <c r="BJ5" s="184">
        <v>0.25</v>
      </c>
      <c r="BK5" s="72">
        <f t="shared" si="1"/>
        <v>2.5</v>
      </c>
      <c r="BL5" s="72">
        <f t="shared" si="2"/>
        <v>3.75</v>
      </c>
    </row>
    <row r="6" spans="1:64" ht="18.75" x14ac:dyDescent="0.3">
      <c r="A6" s="16" t="str">
        <f>PLANTILLA!A6</f>
        <v>#3</v>
      </c>
      <c r="B6" s="26" t="str">
        <f>PLANTILLA!B6</f>
        <v>DEF</v>
      </c>
      <c r="C6" s="138">
        <f ca="1">PLANTILLA!C6</f>
        <v>1.2767857142857142</v>
      </c>
      <c r="D6" s="1" t="str">
        <f>PLANTILLA!D6</f>
        <v>Csaba Mező</v>
      </c>
      <c r="E6" s="2">
        <f>PLANTILLA!E6</f>
        <v>31</v>
      </c>
      <c r="F6" s="3">
        <f ca="1">PLANTILLA!F6</f>
        <v>81</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v>
      </c>
      <c r="T6" s="190">
        <v>0</v>
      </c>
      <c r="U6" s="190">
        <v>1</v>
      </c>
      <c r="V6" s="190">
        <v>0.13</v>
      </c>
      <c r="W6" s="190">
        <v>0.5</v>
      </c>
      <c r="X6" s="190">
        <v>1</v>
      </c>
      <c r="Y6" s="190">
        <f t="shared" si="3"/>
        <v>0.17</v>
      </c>
      <c r="Z6" s="190">
        <v>1</v>
      </c>
      <c r="AA6" s="188">
        <f t="shared" si="4"/>
        <v>31</v>
      </c>
      <c r="AB6" s="189">
        <f t="shared" ca="1" si="5"/>
        <v>88</v>
      </c>
      <c r="AC6" s="27">
        <f t="shared" si="6"/>
        <v>9.1</v>
      </c>
      <c r="AD6" s="191">
        <f t="shared" ref="AD6:AD18" si="11">M6</f>
        <v>0</v>
      </c>
      <c r="AE6" s="191">
        <f>N6+(U$2/15)</f>
        <v>13.05</v>
      </c>
      <c r="AF6" s="191">
        <f>O6+(V$2/60)</f>
        <v>3.18</v>
      </c>
      <c r="AG6" s="191">
        <f>P6+(W$2/16)</f>
        <v>12.033333333333333</v>
      </c>
      <c r="AH6" s="191">
        <f>Q6+(X$2/16)</f>
        <v>9.1024999999999991</v>
      </c>
      <c r="AI6" s="191">
        <f>R6+(Y$2/40)</f>
        <v>4.01</v>
      </c>
      <c r="AJ6" s="191">
        <f>S6+(Z$2/4)</f>
        <v>10</v>
      </c>
      <c r="AK6" s="192">
        <f t="shared" si="8"/>
        <v>0</v>
      </c>
      <c r="AL6" s="192">
        <f t="shared" si="8"/>
        <v>0</v>
      </c>
      <c r="AM6" s="192">
        <f t="shared" si="8"/>
        <v>0</v>
      </c>
      <c r="AN6" s="192">
        <f t="shared" si="8"/>
        <v>0</v>
      </c>
      <c r="AO6" s="192">
        <f t="shared" si="8"/>
        <v>6.25E-2</v>
      </c>
      <c r="AP6" s="192">
        <f t="shared" si="8"/>
        <v>0</v>
      </c>
      <c r="AQ6" s="192">
        <f t="shared" si="8"/>
        <v>0</v>
      </c>
      <c r="AR6" s="34"/>
      <c r="AS6" s="126" t="s">
        <v>248</v>
      </c>
      <c r="AT6" s="26" t="str">
        <f>D9</f>
        <v>Ibiur Altxakoa</v>
      </c>
      <c r="AU6" s="202">
        <f>AL9*0.378</f>
        <v>0</v>
      </c>
      <c r="AV6" s="202">
        <f>AU6</f>
        <v>0</v>
      </c>
      <c r="AW6" s="202">
        <f>AL9*1</f>
        <v>0</v>
      </c>
      <c r="AX6" s="202">
        <f>AM9*0.236</f>
        <v>0</v>
      </c>
      <c r="AY6" s="202">
        <v>0</v>
      </c>
      <c r="AZ6" s="202">
        <v>0</v>
      </c>
      <c r="BA6" s="202">
        <v>0</v>
      </c>
      <c r="BB6" s="210">
        <f>(0.5*AP9+0.3*AQ9)/10</f>
        <v>0</v>
      </c>
      <c r="BC6" s="210">
        <f>(0.4*AL9+0.3*AQ9)/10</f>
        <v>0</v>
      </c>
      <c r="BD6" s="201">
        <f>((AE9+1)+(AH9+1)*2)/8</f>
        <v>4.0671428571428567</v>
      </c>
      <c r="BE6" s="201">
        <f>((AL9)+(AO9)*2)/8</f>
        <v>1.7857142857142794E-2</v>
      </c>
      <c r="BF6" s="34"/>
      <c r="BG6" s="114" t="s">
        <v>179</v>
      </c>
      <c r="BH6" s="115">
        <v>1</v>
      </c>
      <c r="BI6" s="183">
        <v>0.59299999999999997</v>
      </c>
      <c r="BJ6" s="184">
        <v>0.19</v>
      </c>
      <c r="BK6" s="72">
        <f t="shared" si="1"/>
        <v>1.9</v>
      </c>
      <c r="BL6" s="72">
        <f t="shared" si="2"/>
        <v>2.85</v>
      </c>
    </row>
    <row r="7" spans="1:64" x14ac:dyDescent="0.25">
      <c r="A7" s="16" t="str">
        <f>PLANTILLA!A7</f>
        <v>#5</v>
      </c>
      <c r="B7" s="16" t="str">
        <f>PLANTILLA!B7</f>
        <v>DEF</v>
      </c>
      <c r="C7" s="138">
        <f ca="1">PLANTILLA!C7</f>
        <v>1.7767857142857142</v>
      </c>
      <c r="D7" s="1" t="str">
        <f>PLANTILLA!D7</f>
        <v>Mateuz Brzostowski</v>
      </c>
      <c r="E7" s="2">
        <f>PLANTILLA!E7</f>
        <v>31</v>
      </c>
      <c r="F7" s="3">
        <f ca="1">PLANTILLA!F7</f>
        <v>25</v>
      </c>
      <c r="G7" s="4">
        <f>PLANTILLA!G7</f>
        <v>0</v>
      </c>
      <c r="H7" s="144">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13.2</v>
      </c>
      <c r="T7" s="190">
        <v>0</v>
      </c>
      <c r="U7" s="190">
        <v>1</v>
      </c>
      <c r="V7" s="190">
        <v>0.13</v>
      </c>
      <c r="W7" s="190">
        <v>0.13</v>
      </c>
      <c r="X7" s="190">
        <v>1</v>
      </c>
      <c r="Y7" s="190">
        <f t="shared" si="3"/>
        <v>0.17</v>
      </c>
      <c r="Z7" s="190">
        <v>1</v>
      </c>
      <c r="AA7" s="188">
        <f t="shared" si="4"/>
        <v>31</v>
      </c>
      <c r="AB7" s="189">
        <f t="shared" ca="1" si="5"/>
        <v>32</v>
      </c>
      <c r="AC7" s="27">
        <f t="shared" si="6"/>
        <v>8.9</v>
      </c>
      <c r="AD7" s="191">
        <f t="shared" si="11"/>
        <v>0</v>
      </c>
      <c r="AE7" s="191">
        <f>N7+(U$2/20)</f>
        <v>14</v>
      </c>
      <c r="AF7" s="191">
        <f>O7+(V$2/50)</f>
        <v>5.0199999999999996</v>
      </c>
      <c r="AG7" s="191">
        <f>P7+(W$2/43)</f>
        <v>10.01</v>
      </c>
      <c r="AH7" s="191">
        <f>Q7+(X$2/7)</f>
        <v>9.1828571428571415</v>
      </c>
      <c r="AI7" s="191">
        <f>R7+(Y$2/32)</f>
        <v>1.01</v>
      </c>
      <c r="AJ7" s="191">
        <f>S7+(Z$2/3)</f>
        <v>13.2</v>
      </c>
      <c r="AK7" s="192">
        <v>0</v>
      </c>
      <c r="AL7" s="192">
        <f t="shared" ref="AL7" si="12">AE7-N7</f>
        <v>0</v>
      </c>
      <c r="AM7" s="192">
        <f t="shared" ref="AM7" si="13">AF7-O7</f>
        <v>0</v>
      </c>
      <c r="AN7" s="192">
        <f t="shared" ref="AN7" si="14">AG7-P7</f>
        <v>0</v>
      </c>
      <c r="AO7" s="192">
        <f t="shared" ref="AO7" si="15">AH7-Q7</f>
        <v>0.14285714285714235</v>
      </c>
      <c r="AP7" s="192">
        <f t="shared" ref="AP7" si="16">AI7-R7</f>
        <v>0</v>
      </c>
      <c r="AQ7" s="192">
        <f t="shared" ref="AQ7" si="17">AJ7-S7</f>
        <v>0</v>
      </c>
      <c r="AR7" s="34"/>
      <c r="AS7" s="198" t="s">
        <v>240</v>
      </c>
      <c r="AT7" s="26" t="str">
        <f>D6</f>
        <v>Csaba Mező</v>
      </c>
      <c r="AU7" s="202">
        <v>0</v>
      </c>
      <c r="AV7" s="202">
        <f>AL6*0.919</f>
        <v>0</v>
      </c>
      <c r="AW7" s="202">
        <f>AL6*0.414</f>
        <v>0</v>
      </c>
      <c r="AX7" s="202">
        <f>AM6*0.167</f>
        <v>0</v>
      </c>
      <c r="AY7" s="202">
        <v>0</v>
      </c>
      <c r="AZ7" s="202">
        <f>AN6*0.588</f>
        <v>0</v>
      </c>
      <c r="BA7" s="202">
        <v>0</v>
      </c>
      <c r="BB7" s="210">
        <f>(0.5*AP6+0.3*AQ6)/10</f>
        <v>0</v>
      </c>
      <c r="BC7" s="210">
        <f>(0.4*AL6+0.3*AQ6)/10</f>
        <v>0</v>
      </c>
      <c r="BD7" s="201">
        <f>((AE6+1)+(AH6+1)*2)/8</f>
        <v>4.2818749999999994</v>
      </c>
      <c r="BE7" s="201">
        <f>((AL6)+(AO6)*2)/8</f>
        <v>1.5625E-2</v>
      </c>
      <c r="BF7" s="34"/>
      <c r="BG7" s="34"/>
      <c r="BH7" s="34"/>
      <c r="BI7" s="34"/>
      <c r="BJ7" s="34"/>
      <c r="BK7" s="34"/>
      <c r="BL7" s="34"/>
    </row>
    <row r="8" spans="1:64" x14ac:dyDescent="0.25">
      <c r="A8" s="16" t="str">
        <f>PLANTILLA!A8</f>
        <v>#8</v>
      </c>
      <c r="B8" s="26" t="str">
        <f>PLANTILLA!B8</f>
        <v>DEF</v>
      </c>
      <c r="C8" s="138">
        <f ca="1">PLANTILLA!C8</f>
        <v>1.9285714285714286</v>
      </c>
      <c r="D8" s="1" t="str">
        <f>PLANTILLA!D8</f>
        <v>Andrea Califano</v>
      </c>
      <c r="E8" s="2">
        <f>PLANTILLA!E8</f>
        <v>31</v>
      </c>
      <c r="F8" s="3">
        <f ca="1">PLANTILLA!F8</f>
        <v>8</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90">
        <v>0</v>
      </c>
      <c r="U8" s="190">
        <v>1</v>
      </c>
      <c r="V8" s="190">
        <v>0.13</v>
      </c>
      <c r="W8" s="190">
        <v>0.5</v>
      </c>
      <c r="X8" s="190">
        <v>1</v>
      </c>
      <c r="Y8" s="190">
        <f t="shared" si="3"/>
        <v>0.17</v>
      </c>
      <c r="Z8" s="190">
        <v>1</v>
      </c>
      <c r="AA8" s="188">
        <f t="shared" si="4"/>
        <v>31</v>
      </c>
      <c r="AB8" s="189">
        <f t="shared" ca="1" si="5"/>
        <v>15</v>
      </c>
      <c r="AC8" s="27">
        <f t="shared" si="6"/>
        <v>8.3000000000000007</v>
      </c>
      <c r="AD8" s="191">
        <f t="shared" si="11"/>
        <v>0</v>
      </c>
      <c r="AE8" s="191">
        <f>N8+(U$2/18)</f>
        <v>14</v>
      </c>
      <c r="AF8" s="191">
        <f>O8+(V$2/56)</f>
        <v>3.02</v>
      </c>
      <c r="AG8" s="191">
        <f>P8+(W$2/10)</f>
        <v>3.01</v>
      </c>
      <c r="AH8" s="191">
        <f>Q8+(X$2/6)</f>
        <v>10.176666666666666</v>
      </c>
      <c r="AI8" s="191">
        <f>R8+(Y$2/40)</f>
        <v>3</v>
      </c>
      <c r="AJ8" s="191">
        <f>S8+(Z$2/2.5)</f>
        <v>17</v>
      </c>
      <c r="AK8" s="192">
        <v>0</v>
      </c>
      <c r="AL8" s="192">
        <f t="shared" ref="AL8" si="18">AE8-N8</f>
        <v>0</v>
      </c>
      <c r="AM8" s="192">
        <f t="shared" ref="AM8" si="19">AF8-O8</f>
        <v>0</v>
      </c>
      <c r="AN8" s="192">
        <f t="shared" ref="AN8" si="20">AG8-P8</f>
        <v>0</v>
      </c>
      <c r="AO8" s="192">
        <f t="shared" ref="AO8" si="21">AH8-Q8</f>
        <v>0.16666666666666607</v>
      </c>
      <c r="AP8" s="192">
        <f t="shared" ref="AP8" si="22">AI8-R8</f>
        <v>0</v>
      </c>
      <c r="AQ8" s="192">
        <f t="shared" ref="AQ8" si="23">AJ8-S8</f>
        <v>0</v>
      </c>
      <c r="AR8" s="203"/>
      <c r="AS8" s="211" t="s">
        <v>246</v>
      </c>
      <c r="AT8" s="195" t="str">
        <f>D13</f>
        <v>Iyad Chaabo</v>
      </c>
      <c r="AU8" s="196">
        <f>AL13*0.284</f>
        <v>0</v>
      </c>
      <c r="AV8" s="196">
        <v>0</v>
      </c>
      <c r="AW8" s="196">
        <f>AL13*0.244</f>
        <v>0</v>
      </c>
      <c r="AX8" s="196">
        <f>AM13*0.631</f>
        <v>0</v>
      </c>
      <c r="AY8" s="196">
        <f>(AN13*0.702)+(AO13*0.193)</f>
        <v>3.2166666666666552E-2</v>
      </c>
      <c r="AZ8" s="196">
        <v>0</v>
      </c>
      <c r="BA8" s="196">
        <f>(AO13*0.148)</f>
        <v>2.4666666666666576E-2</v>
      </c>
      <c r="BB8" s="210">
        <f>(0.5*AP13+0.3*AQ13)/10</f>
        <v>0</v>
      </c>
      <c r="BC8" s="210">
        <f>(0.4*AL13+0.3*AQ13)/10</f>
        <v>0</v>
      </c>
      <c r="BD8" s="209">
        <v>0</v>
      </c>
      <c r="BE8" s="209">
        <v>0</v>
      </c>
      <c r="BF8" s="203"/>
      <c r="BG8" s="56"/>
      <c r="BH8" s="203"/>
      <c r="BI8" s="203"/>
      <c r="BJ8" s="203"/>
      <c r="BK8" s="203"/>
      <c r="BL8" s="203"/>
    </row>
    <row r="9" spans="1:64" x14ac:dyDescent="0.25">
      <c r="A9" s="16" t="str">
        <f>PLANTILLA!A9</f>
        <v>#7</v>
      </c>
      <c r="B9" s="26" t="str">
        <f>PLANTILLA!B9</f>
        <v>DEF</v>
      </c>
      <c r="C9" s="138">
        <f ca="1">PLANTILLA!C9</f>
        <v>0.4642857142857143</v>
      </c>
      <c r="D9" s="1" t="str">
        <f>PLANTILLA!D9</f>
        <v>Ibiur Altxakoa</v>
      </c>
      <c r="E9" s="2">
        <f>PLANTILLA!E9</f>
        <v>32</v>
      </c>
      <c r="F9" s="3">
        <f ca="1">PLANTILLA!F9</f>
        <v>60</v>
      </c>
      <c r="G9" s="4" t="str">
        <f>PLANTILLA!G9</f>
        <v>CAB</v>
      </c>
      <c r="H9" s="144">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14.399999999999999</v>
      </c>
      <c r="T9" s="190">
        <v>0</v>
      </c>
      <c r="U9" s="190">
        <v>1</v>
      </c>
      <c r="V9" s="190">
        <v>0.13</v>
      </c>
      <c r="W9" s="190">
        <v>0.5</v>
      </c>
      <c r="X9" s="190">
        <v>1</v>
      </c>
      <c r="Y9" s="190">
        <f t="shared" si="3"/>
        <v>0.17</v>
      </c>
      <c r="Z9" s="190">
        <v>1</v>
      </c>
      <c r="AA9" s="188">
        <f t="shared" si="4"/>
        <v>32</v>
      </c>
      <c r="AB9" s="189">
        <f t="shared" ca="1" si="5"/>
        <v>67</v>
      </c>
      <c r="AC9" s="27">
        <f t="shared" si="6"/>
        <v>10.9</v>
      </c>
      <c r="AD9" s="191">
        <f t="shared" si="11"/>
        <v>0</v>
      </c>
      <c r="AE9" s="191">
        <f>N9+(U$2/28)</f>
        <v>15.028571428571428</v>
      </c>
      <c r="AF9" s="191">
        <f>O9+(V$2/45)</f>
        <v>12</v>
      </c>
      <c r="AG9" s="191">
        <f>P9+(W$2/6)</f>
        <v>2.0099999999999998</v>
      </c>
      <c r="AH9" s="191">
        <f>Q9+(X$2/14)</f>
        <v>7.2542857142857136</v>
      </c>
      <c r="AI9" s="191">
        <f>R9+(Y$2/45)</f>
        <v>3.99</v>
      </c>
      <c r="AJ9" s="191">
        <f>S9+(Z$2/1)</f>
        <v>14.399999999999999</v>
      </c>
      <c r="AK9" s="192">
        <v>0</v>
      </c>
      <c r="AL9" s="192">
        <f t="shared" ref="AL9" si="24">AE9-N9</f>
        <v>0</v>
      </c>
      <c r="AM9" s="192">
        <f t="shared" ref="AM9" si="25">AF9-O9</f>
        <v>0</v>
      </c>
      <c r="AN9" s="192">
        <f t="shared" ref="AN9" si="26">AG9-P9</f>
        <v>0</v>
      </c>
      <c r="AO9" s="192">
        <f t="shared" ref="AO9" si="27">AH9-Q9</f>
        <v>7.1428571428571175E-2</v>
      </c>
      <c r="AP9" s="192">
        <f t="shared" ref="AP9" si="28">AI9-R9</f>
        <v>0</v>
      </c>
      <c r="AQ9" s="192">
        <f t="shared" ref="AQ9" si="29">AJ9-S9</f>
        <v>0</v>
      </c>
      <c r="AR9" s="34"/>
      <c r="AS9" s="126" t="s">
        <v>242</v>
      </c>
      <c r="AT9" s="26" t="str">
        <f>D15</f>
        <v>Gianfranco Rezza</v>
      </c>
      <c r="AU9" s="202">
        <f>AL15*0.057</f>
        <v>0</v>
      </c>
      <c r="AV9" s="202">
        <f>AL15*0.057</f>
        <v>0</v>
      </c>
      <c r="AW9" s="202">
        <f>AL15*0.162</f>
        <v>0</v>
      </c>
      <c r="AX9" s="202">
        <f>AM15*0.944</f>
        <v>0</v>
      </c>
      <c r="AY9" s="202">
        <f>(AO15*0.189)</f>
        <v>1.5750000000000111E-2</v>
      </c>
      <c r="AZ9" s="202">
        <f>(AO15*0.189)</f>
        <v>1.5750000000000111E-2</v>
      </c>
      <c r="BA9" s="202">
        <f>(AO15*0.507)+(AP15*0.31)</f>
        <v>4.2250000000000301E-2</v>
      </c>
      <c r="BB9" s="210">
        <f>(0.5*AP15+0.3*AQ15)/10</f>
        <v>0</v>
      </c>
      <c r="BC9" s="210">
        <f>(0.4*AL15+0.3*AQ15)/10</f>
        <v>0</v>
      </c>
      <c r="BD9" s="210">
        <v>0</v>
      </c>
      <c r="BE9" s="210">
        <v>0</v>
      </c>
      <c r="BF9" s="34"/>
      <c r="BG9" t="s">
        <v>251</v>
      </c>
      <c r="BH9" s="34"/>
      <c r="BI9" s="34"/>
      <c r="BJ9" s="34"/>
      <c r="BK9" s="34"/>
      <c r="BL9" s="34"/>
    </row>
    <row r="10" spans="1:64" x14ac:dyDescent="0.25">
      <c r="A10" s="16" t="str">
        <f>PLANTILLA!A10</f>
        <v>#4</v>
      </c>
      <c r="B10" s="16" t="str">
        <f>PLANTILLA!B10</f>
        <v>DEF</v>
      </c>
      <c r="C10" s="138">
        <f ca="1">PLANTILLA!C10</f>
        <v>1.1517857142857142</v>
      </c>
      <c r="D10" s="31" t="str">
        <f>PLANTILLA!D10</f>
        <v>Jorge W. Whitaker</v>
      </c>
      <c r="E10" s="18">
        <f>PLANTILLA!E10</f>
        <v>31</v>
      </c>
      <c r="F10" s="3">
        <f ca="1">PLANTILLA!F10</f>
        <v>95</v>
      </c>
      <c r="G10" s="20" t="str">
        <f>PLANTILLA!G10</f>
        <v>POT</v>
      </c>
      <c r="H10" s="144">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90">
        <v>0</v>
      </c>
      <c r="U10" s="190">
        <v>1</v>
      </c>
      <c r="V10" s="190">
        <v>1</v>
      </c>
      <c r="W10" s="190">
        <v>0.13</v>
      </c>
      <c r="X10" s="190">
        <v>1</v>
      </c>
      <c r="Y10" s="190">
        <f t="shared" si="3"/>
        <v>0.17</v>
      </c>
      <c r="Z10" s="190">
        <v>1</v>
      </c>
      <c r="AA10" s="188">
        <f t="shared" si="4"/>
        <v>31</v>
      </c>
      <c r="AB10" s="189">
        <f t="shared" ca="1" si="5"/>
        <v>102</v>
      </c>
      <c r="AC10" s="27">
        <f t="shared" si="6"/>
        <v>9.1999999999999993</v>
      </c>
      <c r="AD10" s="191">
        <f t="shared" si="11"/>
        <v>0</v>
      </c>
      <c r="AE10" s="191">
        <f>N10+(U$2/18)</f>
        <v>12</v>
      </c>
      <c r="AF10" s="191">
        <f>O10+(V$2/19)</f>
        <v>15.04</v>
      </c>
      <c r="AG10" s="191">
        <f>P10+(W$2/41)</f>
        <v>2.0099999999999998</v>
      </c>
      <c r="AH10" s="191">
        <f>Q10+(X$2/5)</f>
        <v>8.5488888888888876</v>
      </c>
      <c r="AI10" s="191">
        <f>R10+(Y$2/45)</f>
        <v>2.1666666666666665</v>
      </c>
      <c r="AJ10" s="191">
        <f>S10+(Z$2/1)</f>
        <v>8.4</v>
      </c>
      <c r="AK10" s="192">
        <v>0</v>
      </c>
      <c r="AL10" s="192">
        <f t="shared" ref="AL10" si="30">AE10-N10</f>
        <v>0</v>
      </c>
      <c r="AM10" s="192">
        <f t="shared" ref="AM10" si="31">AF10-O10</f>
        <v>0</v>
      </c>
      <c r="AN10" s="192">
        <f t="shared" ref="AN10" si="32">AG10-P10</f>
        <v>0</v>
      </c>
      <c r="AO10" s="192">
        <f t="shared" ref="AO10" si="33">AH10-Q10</f>
        <v>0.19999999999999929</v>
      </c>
      <c r="AP10" s="192">
        <f t="shared" ref="AP10" si="34">AI10-R10</f>
        <v>0</v>
      </c>
      <c r="AQ10" s="192">
        <f t="shared" ref="AQ10" si="35">AJ10-S10</f>
        <v>0</v>
      </c>
      <c r="AR10" s="56"/>
      <c r="AS10" s="126" t="s">
        <v>247</v>
      </c>
      <c r="AT10" s="26" t="str">
        <f>D10</f>
        <v>Jorge W. Whitaker</v>
      </c>
      <c r="AU10" s="202">
        <f>AL10*0.189</f>
        <v>0</v>
      </c>
      <c r="AV10" s="202">
        <f>AL10*0.095</f>
        <v>0</v>
      </c>
      <c r="AW10" s="202">
        <f>AL10*0.4</f>
        <v>0</v>
      </c>
      <c r="AX10" s="202">
        <f>AM10*1</f>
        <v>0</v>
      </c>
      <c r="AY10" s="202">
        <f>AO10*0.253</f>
        <v>5.0599999999999819E-2</v>
      </c>
      <c r="AZ10" s="202">
        <f>AO10*0.123</f>
        <v>2.4599999999999914E-2</v>
      </c>
      <c r="BA10" s="202">
        <f>(AO10*0.341)+(AP10*0.21)</f>
        <v>6.8199999999999761E-2</v>
      </c>
      <c r="BB10" s="210">
        <f>(0.5*AP10+0.3*AQ10)/10</f>
        <v>0</v>
      </c>
      <c r="BC10" s="210">
        <f>(0.4*AL10+0.3*AQ10)/10</f>
        <v>0</v>
      </c>
      <c r="BD10" s="210">
        <v>0</v>
      </c>
      <c r="BE10" s="210">
        <v>0</v>
      </c>
      <c r="BF10" s="56"/>
      <c r="BG10" t="s">
        <v>252</v>
      </c>
      <c r="BH10" s="56"/>
      <c r="BI10" s="56"/>
      <c r="BJ10" s="56"/>
      <c r="BK10" s="56"/>
      <c r="BL10" s="56"/>
    </row>
    <row r="11" spans="1:64" x14ac:dyDescent="0.25">
      <c r="A11" s="16" t="str">
        <f>PLANTILLA!A11</f>
        <v>#13</v>
      </c>
      <c r="B11" s="26" t="str">
        <f>PLANTILLA!B11</f>
        <v>MED</v>
      </c>
      <c r="C11" s="138">
        <f ca="1">PLANTILLA!C11</f>
        <v>0.8928571428571429</v>
      </c>
      <c r="D11" s="1" t="str">
        <f>PLANTILLA!D11</f>
        <v>Emilio Mochelato</v>
      </c>
      <c r="E11" s="2">
        <f>PLANTILLA!E11</f>
        <v>32</v>
      </c>
      <c r="F11" s="3">
        <f ca="1">PLANTILLA!F11</f>
        <v>12</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15.333333333333332</v>
      </c>
      <c r="T11" s="190">
        <v>0</v>
      </c>
      <c r="U11" s="190">
        <f>0.17</f>
        <v>0.17</v>
      </c>
      <c r="V11" s="190">
        <v>0.5</v>
      </c>
      <c r="W11" s="190">
        <v>1</v>
      </c>
      <c r="X11" s="190">
        <v>1</v>
      </c>
      <c r="Y11" s="190">
        <f t="shared" si="3"/>
        <v>0.17</v>
      </c>
      <c r="Z11" s="190">
        <v>1</v>
      </c>
      <c r="AA11" s="188">
        <f t="shared" si="4"/>
        <v>32</v>
      </c>
      <c r="AB11" s="189">
        <f t="shared" ca="1" si="5"/>
        <v>19</v>
      </c>
      <c r="AC11" s="27">
        <f t="shared" si="6"/>
        <v>10.5</v>
      </c>
      <c r="AD11" s="191">
        <f t="shared" si="11"/>
        <v>0</v>
      </c>
      <c r="AE11" s="191">
        <f>N11+(U$2/4.5)</f>
        <v>5.0196078431372548</v>
      </c>
      <c r="AF11" s="191">
        <f>O11+(V$2/12)</f>
        <v>14.210000000000003</v>
      </c>
      <c r="AG11" s="191">
        <f>P11+(W$2/13)</f>
        <v>5</v>
      </c>
      <c r="AH11" s="191">
        <f>Q11+(X$2/16)</f>
        <v>12.549801587301586</v>
      </c>
      <c r="AI11" s="191">
        <f>R11+(Y$2/7)</f>
        <v>3.41</v>
      </c>
      <c r="AJ11" s="191">
        <f>S11+(Z$2/5)</f>
        <v>15.333333333333332</v>
      </c>
      <c r="AK11" s="192">
        <v>0</v>
      </c>
      <c r="AL11" s="192">
        <f t="shared" ref="AL11:AL12" si="36">AE11-N11</f>
        <v>0</v>
      </c>
      <c r="AM11" s="192">
        <f t="shared" ref="AM11:AM12" si="37">AF11-O11</f>
        <v>0</v>
      </c>
      <c r="AN11" s="192">
        <f t="shared" ref="AN11:AN12" si="38">AG11-P11</f>
        <v>0</v>
      </c>
      <c r="AO11" s="192">
        <f t="shared" ref="AO11:AO12" si="39">AH11-Q11</f>
        <v>6.25E-2</v>
      </c>
      <c r="AP11" s="192">
        <f t="shared" ref="AP11:AP12" si="40">AI11-R11</f>
        <v>0</v>
      </c>
      <c r="AQ11" s="192">
        <f t="shared" ref="AQ11:AQ12" si="41">AJ11-S11</f>
        <v>0</v>
      </c>
      <c r="AS11" s="126" t="s">
        <v>242</v>
      </c>
      <c r="AT11" s="26" t="str">
        <f>D16</f>
        <v>Saul Piña</v>
      </c>
      <c r="AU11" s="202">
        <f>AL16*0.038</f>
        <v>0</v>
      </c>
      <c r="AV11" s="202">
        <f>AL16*0.077</f>
        <v>0</v>
      </c>
      <c r="AW11" s="202">
        <f>AL16*0.162</f>
        <v>0</v>
      </c>
      <c r="AX11" s="202">
        <f>AM16*0.944</f>
        <v>0</v>
      </c>
      <c r="AY11" s="202">
        <f>(AO16*0.126)</f>
        <v>9.6923076923076581E-3</v>
      </c>
      <c r="AZ11" s="202">
        <f>(AO16*0.251)</f>
        <v>1.9307692307692238E-2</v>
      </c>
      <c r="BA11" s="202">
        <f>(AO16*0.507)+(AP16*0.31)</f>
        <v>3.8999999999999861E-2</v>
      </c>
      <c r="BB11" s="210">
        <f>(0.5*AP16+0.3*AQ16)/10</f>
        <v>0</v>
      </c>
      <c r="BC11" s="210">
        <f>(0.4*AL16+0.3*AQ16)/10</f>
        <v>0</v>
      </c>
      <c r="BD11" s="210">
        <v>0</v>
      </c>
      <c r="BE11" s="210">
        <v>0</v>
      </c>
    </row>
    <row r="12" spans="1:64" x14ac:dyDescent="0.25">
      <c r="A12" s="16" t="str">
        <f>PLANTILLA!A12</f>
        <v>#6</v>
      </c>
      <c r="B12" s="16" t="str">
        <f>PLANTILLA!B12</f>
        <v>DAV</v>
      </c>
      <c r="C12" s="138">
        <f ca="1">PLANTILLA!C12</f>
        <v>3.0625</v>
      </c>
      <c r="D12" s="1" t="str">
        <f>PLANTILLA!D12</f>
        <v>Cezary Pauch</v>
      </c>
      <c r="E12" s="2">
        <f>PLANTILLA!E12</f>
        <v>29</v>
      </c>
      <c r="F12" s="3">
        <f ca="1">PLANTILLA!F12</f>
        <v>105</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0.14444444444444443</v>
      </c>
      <c r="T12" s="190">
        <v>0</v>
      </c>
      <c r="U12" s="190">
        <f>0.17</f>
        <v>0.17</v>
      </c>
      <c r="V12" s="190">
        <v>1</v>
      </c>
      <c r="W12" s="190">
        <v>1</v>
      </c>
      <c r="X12" s="190">
        <v>1</v>
      </c>
      <c r="Y12" s="190">
        <v>1</v>
      </c>
      <c r="Z12" s="190">
        <v>1</v>
      </c>
      <c r="AA12" s="188">
        <f t="shared" si="4"/>
        <v>29</v>
      </c>
      <c r="AB12" s="189">
        <f t="shared" ca="1" si="5"/>
        <v>112</v>
      </c>
      <c r="AC12" s="27">
        <f t="shared" si="6"/>
        <v>6.1</v>
      </c>
      <c r="AD12" s="191">
        <f t="shared" si="11"/>
        <v>0</v>
      </c>
      <c r="AE12" s="191">
        <f>N12+(U$2/5)</f>
        <v>2</v>
      </c>
      <c r="AF12" s="191">
        <f>O12+(V$2/16)</f>
        <v>13.022727272727273</v>
      </c>
      <c r="AG12" s="191">
        <f>P12+(W$2/17)</f>
        <v>14.00679012345679</v>
      </c>
      <c r="AH12" s="191">
        <f>Q12+(X$2/9)</f>
        <v>7.1097222222222225</v>
      </c>
      <c r="AI12" s="191">
        <f>R12+(Y$2/6)</f>
        <v>5.01</v>
      </c>
      <c r="AJ12" s="191">
        <f>S12+(Z$2/3)</f>
        <v>0.14444444444444443</v>
      </c>
      <c r="AK12" s="192">
        <v>0</v>
      </c>
      <c r="AL12" s="192">
        <f t="shared" si="36"/>
        <v>0</v>
      </c>
      <c r="AM12" s="192">
        <f t="shared" si="37"/>
        <v>0</v>
      </c>
      <c r="AN12" s="192">
        <f t="shared" si="38"/>
        <v>0</v>
      </c>
      <c r="AO12" s="192">
        <f t="shared" si="39"/>
        <v>0.11111111111111072</v>
      </c>
      <c r="AP12" s="192">
        <f t="shared" si="40"/>
        <v>0</v>
      </c>
      <c r="AQ12" s="192">
        <f t="shared" si="41"/>
        <v>0</v>
      </c>
      <c r="AR12" s="34"/>
      <c r="AS12" s="126" t="s">
        <v>241</v>
      </c>
      <c r="AT12" s="26" t="str">
        <f>D12</f>
        <v>Cezary Pauch</v>
      </c>
      <c r="AU12" s="202">
        <v>0</v>
      </c>
      <c r="AV12" s="202">
        <f>AL12*0.349</f>
        <v>0</v>
      </c>
      <c r="AW12" s="202">
        <f>AL12*0.201</f>
        <v>0</v>
      </c>
      <c r="AX12" s="202">
        <f>AM12*0.455</f>
        <v>0</v>
      </c>
      <c r="AY12" s="202">
        <v>0</v>
      </c>
      <c r="AZ12" s="202">
        <f>(AN12*0.864)+(AO12*0.244)</f>
        <v>2.7111111111111013E-2</v>
      </c>
      <c r="BA12" s="202">
        <f>AO12*0.121</f>
        <v>1.3444444444444396E-2</v>
      </c>
      <c r="BB12" s="210">
        <f>(0.5*AP12+0.3*AQ12)/10</f>
        <v>0</v>
      </c>
      <c r="BC12" s="210">
        <f>(0.4*AL12+0.3*AQ12)/10</f>
        <v>0</v>
      </c>
      <c r="BD12" s="210">
        <v>0</v>
      </c>
      <c r="BE12" s="210">
        <v>0</v>
      </c>
      <c r="BF12" s="34"/>
      <c r="BG12" t="s">
        <v>253</v>
      </c>
      <c r="BH12" s="34"/>
      <c r="BI12" s="34"/>
      <c r="BJ12" s="34"/>
      <c r="BK12" s="34"/>
      <c r="BL12" s="34"/>
    </row>
    <row r="13" spans="1:64" x14ac:dyDescent="0.25">
      <c r="A13" s="16" t="str">
        <f>PLANTILLA!A13</f>
        <v>#8</v>
      </c>
      <c r="B13" s="26" t="str">
        <f>PLANTILLA!B13</f>
        <v>EXT</v>
      </c>
      <c r="C13" s="138">
        <f ca="1">PLANTILLA!C13</f>
        <v>1.3214285714285714</v>
      </c>
      <c r="D13" s="1" t="str">
        <f>PLANTILLA!D13</f>
        <v>Iyad Chaabo</v>
      </c>
      <c r="E13" s="2">
        <f>PLANTILLA!E13</f>
        <v>31</v>
      </c>
      <c r="F13" s="3">
        <f ca="1">PLANTILLA!F13</f>
        <v>76</v>
      </c>
      <c r="G13" s="4">
        <f>PLANTILLA!G13</f>
        <v>0</v>
      </c>
      <c r="H13" s="144">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5.5</v>
      </c>
      <c r="T13" s="190">
        <v>0</v>
      </c>
      <c r="U13" s="190">
        <f>0.17</f>
        <v>0.17</v>
      </c>
      <c r="V13" s="190">
        <v>0.5</v>
      </c>
      <c r="W13" s="190">
        <v>1</v>
      </c>
      <c r="X13" s="190">
        <v>1</v>
      </c>
      <c r="Y13" s="190">
        <v>1</v>
      </c>
      <c r="Z13" s="190">
        <v>1</v>
      </c>
      <c r="AA13" s="188">
        <f t="shared" si="4"/>
        <v>31</v>
      </c>
      <c r="AB13" s="189">
        <f t="shared" ca="1" si="5"/>
        <v>83</v>
      </c>
      <c r="AC13" s="27">
        <f t="shared" si="6"/>
        <v>8.6999999999999993</v>
      </c>
      <c r="AD13" s="191">
        <f t="shared" si="11"/>
        <v>0</v>
      </c>
      <c r="AE13" s="191">
        <f>N13+(U$2/26)</f>
        <v>4</v>
      </c>
      <c r="AF13" s="191">
        <f>O13+(V$2/25)</f>
        <v>12.022727272727273</v>
      </c>
      <c r="AG13" s="191">
        <f>P13+(W$2/15)</f>
        <v>14.066666666666666</v>
      </c>
      <c r="AH13" s="191">
        <f>Q13+(X$2/6)</f>
        <v>8.7666666666666639</v>
      </c>
      <c r="AI13" s="191">
        <f>R13+(Y$2/8)</f>
        <v>3.01</v>
      </c>
      <c r="AJ13" s="191">
        <f>S13+(Z$2/2.5)</f>
        <v>5.5</v>
      </c>
      <c r="AK13" s="192">
        <v>0</v>
      </c>
      <c r="AL13" s="192">
        <f t="shared" ref="AL13" si="42">AE13-N13</f>
        <v>0</v>
      </c>
      <c r="AM13" s="192">
        <f t="shared" ref="AM13" si="43">AF13-O13</f>
        <v>0</v>
      </c>
      <c r="AN13" s="192">
        <f t="shared" ref="AN13" si="44">AG13-P13</f>
        <v>0</v>
      </c>
      <c r="AO13" s="192">
        <f t="shared" ref="AO13" si="45">AH13-Q13</f>
        <v>0.16666666666666607</v>
      </c>
      <c r="AP13" s="192">
        <f t="shared" ref="AP13" si="46">AI13-R13</f>
        <v>0</v>
      </c>
      <c r="AQ13" s="192">
        <f t="shared" ref="AQ13" si="47">AJ13-S13</f>
        <v>0</v>
      </c>
      <c r="AR13" s="203"/>
      <c r="AS13" s="211" t="s">
        <v>44</v>
      </c>
      <c r="AT13" s="195" t="str">
        <f>D17</f>
        <v>Adam Moss</v>
      </c>
      <c r="AU13" s="196">
        <v>0</v>
      </c>
      <c r="AV13" s="196">
        <v>0</v>
      </c>
      <c r="AW13" s="196">
        <v>0</v>
      </c>
      <c r="AX13" s="196">
        <f>AM17*0.25</f>
        <v>0</v>
      </c>
      <c r="AY13" s="196">
        <f>(AO17*0.142)+(AN17*0.221)+(AP17*0.26)</f>
        <v>1.0923076923076883E-2</v>
      </c>
      <c r="AZ13" s="196">
        <f>AY13</f>
        <v>1.0923076923076883E-2</v>
      </c>
      <c r="BA13" s="196">
        <f>(AO17*0.369)+(AP17*1)</f>
        <v>2.8384615384615283E-2</v>
      </c>
      <c r="BB13" s="210">
        <f>(0.5*AP17+0.3*AQ17)/10</f>
        <v>0</v>
      </c>
      <c r="BC13" s="210">
        <f>(0.4*AL17+0.3*AQ17)/10</f>
        <v>0</v>
      </c>
      <c r="BD13" s="210">
        <v>0</v>
      </c>
      <c r="BE13" s="210">
        <v>0</v>
      </c>
      <c r="BF13" s="203"/>
      <c r="BG13" t="s">
        <v>254</v>
      </c>
      <c r="BH13" s="203"/>
      <c r="BI13" s="203"/>
      <c r="BJ13" s="203"/>
      <c r="BK13" s="203"/>
      <c r="BL13" s="203"/>
    </row>
    <row r="14" spans="1:64" x14ac:dyDescent="0.25">
      <c r="A14" s="16" t="str">
        <f>PLANTILLA!A14</f>
        <v>#10</v>
      </c>
      <c r="B14" s="16" t="str">
        <f>PLANTILLA!B14</f>
        <v>EXT</v>
      </c>
      <c r="C14" s="138">
        <f ca="1">PLANTILLA!C14</f>
        <v>9.8214285714285712E-2</v>
      </c>
      <c r="D14" s="31" t="str">
        <f>PLANTILLA!D14</f>
        <v>Morgan Thomas</v>
      </c>
      <c r="E14" s="18">
        <f>PLANTILLA!E14</f>
        <v>32</v>
      </c>
      <c r="F14" s="3">
        <f ca="1">PLANTILLA!F14</f>
        <v>101</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3.0399999999999996</v>
      </c>
      <c r="S14" s="23">
        <f>PLANTILLA!AD14</f>
        <v>10</v>
      </c>
      <c r="T14" s="190">
        <v>0</v>
      </c>
      <c r="U14" s="190">
        <f>0.17</f>
        <v>0.17</v>
      </c>
      <c r="V14" s="190">
        <v>0.5</v>
      </c>
      <c r="W14" s="190">
        <v>1</v>
      </c>
      <c r="X14" s="190">
        <v>1</v>
      </c>
      <c r="Y14" s="190">
        <f t="shared" si="3"/>
        <v>0.17</v>
      </c>
      <c r="Z14" s="190">
        <v>1</v>
      </c>
      <c r="AA14" s="188">
        <f t="shared" si="4"/>
        <v>32</v>
      </c>
      <c r="AB14" s="189">
        <f t="shared" ca="1" si="5"/>
        <v>108</v>
      </c>
      <c r="AC14" s="27">
        <f t="shared" si="6"/>
        <v>10.199999999999999</v>
      </c>
      <c r="AD14" s="191">
        <f t="shared" si="11"/>
        <v>0</v>
      </c>
      <c r="AE14" s="191">
        <f>N14+(U$2/25)</f>
        <v>1.037037037037037</v>
      </c>
      <c r="AF14" s="191">
        <f>O14+(V$2/20)</f>
        <v>13.230909090909091</v>
      </c>
      <c r="AG14" s="191">
        <f>P14+(W$2/10)</f>
        <v>14.058518518518518</v>
      </c>
      <c r="AH14" s="191">
        <f>Q14+(X$2/16)</f>
        <v>10.999166666666666</v>
      </c>
      <c r="AI14" s="191">
        <f>R14+(Y$2/45)</f>
        <v>3.0399999999999996</v>
      </c>
      <c r="AJ14" s="191">
        <f>S14+(Z$2/2)</f>
        <v>10</v>
      </c>
      <c r="AK14" s="192">
        <v>0</v>
      </c>
      <c r="AL14" s="192">
        <f t="shared" ref="AL14" si="48">AE14-N14</f>
        <v>0</v>
      </c>
      <c r="AM14" s="192">
        <f t="shared" ref="AM14" si="49">AF14-O14</f>
        <v>0</v>
      </c>
      <c r="AN14" s="192">
        <f t="shared" ref="AN14" si="50">AG14-P14</f>
        <v>0</v>
      </c>
      <c r="AO14" s="192">
        <f t="shared" ref="AO14" si="51">AH14-Q14</f>
        <v>6.25E-2</v>
      </c>
      <c r="AP14" s="192">
        <f t="shared" ref="AP14" si="52">AI14-R14</f>
        <v>0</v>
      </c>
      <c r="AQ14" s="192">
        <f t="shared" ref="AQ14" si="53">AJ14-S14</f>
        <v>0</v>
      </c>
      <c r="AR14" s="34"/>
      <c r="AS14" s="126" t="s">
        <v>44</v>
      </c>
      <c r="AT14" s="26" t="str">
        <f>D18</f>
        <v>Rasheed Da'na</v>
      </c>
      <c r="AU14" s="196">
        <v>0</v>
      </c>
      <c r="AV14" s="196">
        <v>0</v>
      </c>
      <c r="AW14" s="196">
        <v>0</v>
      </c>
      <c r="AX14" s="196">
        <f>AM18*0.25</f>
        <v>0</v>
      </c>
      <c r="AY14" s="196">
        <f>(AO18*0.142)+(AN18*0.221)+(AP18*0.26)</f>
        <v>1.0923076923076883E-2</v>
      </c>
      <c r="AZ14" s="196">
        <f>AY14</f>
        <v>1.0923076923076883E-2</v>
      </c>
      <c r="BA14" s="196">
        <f>(AO18*0.369)+(AP18*1)</f>
        <v>2.8384615384615283E-2</v>
      </c>
      <c r="BB14" s="210">
        <f>(0.5*AP18+0.3*AQ18)/10</f>
        <v>0</v>
      </c>
      <c r="BC14" s="210">
        <f>(0.4*AL18+0.3*AQ18)/10</f>
        <v>0</v>
      </c>
      <c r="BD14" s="210">
        <v>0</v>
      </c>
      <c r="BE14" s="210">
        <v>0</v>
      </c>
      <c r="BF14" s="34"/>
      <c r="BH14" s="34"/>
      <c r="BI14" s="34"/>
      <c r="BJ14" s="34"/>
      <c r="BK14" s="34"/>
      <c r="BL14" s="34"/>
    </row>
    <row r="15" spans="1:64" x14ac:dyDescent="0.25">
      <c r="A15" s="16" t="str">
        <f>PLANTILLA!A15</f>
        <v>#9</v>
      </c>
      <c r="B15" s="16" t="str">
        <f>PLANTILLA!B15</f>
        <v>DAV</v>
      </c>
      <c r="C15" s="138">
        <f ca="1">PLANTILLA!C15</f>
        <v>2.9732142857142856</v>
      </c>
      <c r="D15" s="17" t="str">
        <f>PLANTILLA!D15</f>
        <v>Gianfranco Rezza</v>
      </c>
      <c r="E15" s="18">
        <f>PLANTILLA!E15</f>
        <v>30</v>
      </c>
      <c r="F15" s="3">
        <f ca="1">PLANTILLA!F15</f>
        <v>3</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v>
      </c>
      <c r="T15" s="190">
        <v>0</v>
      </c>
      <c r="U15" s="190">
        <v>1</v>
      </c>
      <c r="V15" s="190">
        <v>1</v>
      </c>
      <c r="W15" s="190">
        <v>0.13</v>
      </c>
      <c r="X15" s="190">
        <v>1</v>
      </c>
      <c r="Y15" s="190">
        <v>1</v>
      </c>
      <c r="Z15" s="190">
        <v>1</v>
      </c>
      <c r="AA15" s="188">
        <f t="shared" si="4"/>
        <v>30</v>
      </c>
      <c r="AB15" s="189">
        <f t="shared" ca="1" si="5"/>
        <v>10</v>
      </c>
      <c r="AC15" s="27">
        <f t="shared" si="6"/>
        <v>9.3000000000000007</v>
      </c>
      <c r="AD15" s="191">
        <f t="shared" si="11"/>
        <v>0</v>
      </c>
      <c r="AE15" s="191">
        <f>N15+(U$2/4.5)</f>
        <v>2</v>
      </c>
      <c r="AF15" s="191">
        <f>O15+(V$2/15)</f>
        <v>14.066666666666666</v>
      </c>
      <c r="AG15" s="191">
        <f>P15+(W$2/20)</f>
        <v>2.125</v>
      </c>
      <c r="AH15" s="191">
        <f>Q15+(X$2/12)</f>
        <v>14.543333333333338</v>
      </c>
      <c r="AI15" s="191">
        <f>R15+(Y$2/8.5)</f>
        <v>8.1057777777777762</v>
      </c>
      <c r="AJ15" s="191">
        <f>S15+(Z$2/2)</f>
        <v>14</v>
      </c>
      <c r="AK15" s="192">
        <f t="shared" ref="AK15:AQ18" si="54">AD15-M15</f>
        <v>0</v>
      </c>
      <c r="AL15" s="192">
        <f t="shared" si="54"/>
        <v>0</v>
      </c>
      <c r="AM15" s="192">
        <f t="shared" si="54"/>
        <v>0</v>
      </c>
      <c r="AN15" s="192">
        <f t="shared" si="54"/>
        <v>0</v>
      </c>
      <c r="AO15" s="192">
        <f t="shared" si="54"/>
        <v>8.3333333333333925E-2</v>
      </c>
      <c r="AP15" s="192">
        <f t="shared" si="54"/>
        <v>0</v>
      </c>
      <c r="AQ15" s="192">
        <f t="shared" si="54"/>
        <v>0</v>
      </c>
      <c r="AR15" s="197"/>
      <c r="AS15" s="204"/>
      <c r="AT15" s="205"/>
      <c r="AU15" s="205"/>
      <c r="AV15" s="205"/>
      <c r="AW15" s="205"/>
      <c r="AX15" s="205"/>
      <c r="AY15" s="205"/>
      <c r="AZ15" s="205"/>
      <c r="BA15" s="205"/>
      <c r="BB15" s="205"/>
      <c r="BC15" s="205"/>
      <c r="BD15" s="205"/>
      <c r="BE15" s="205"/>
      <c r="BF15" s="197"/>
      <c r="BG15" t="s">
        <v>255</v>
      </c>
      <c r="BH15" s="197"/>
      <c r="BI15" s="197"/>
      <c r="BJ15" s="197"/>
      <c r="BK15" s="197"/>
      <c r="BL15" s="197"/>
    </row>
    <row r="16" spans="1:64" x14ac:dyDescent="0.25">
      <c r="A16" s="16" t="str">
        <f>PLANTILLA!A16</f>
        <v>#11</v>
      </c>
      <c r="B16" s="16" t="str">
        <f>PLANTILLA!B16</f>
        <v>DAV</v>
      </c>
      <c r="C16" s="138">
        <f ca="1">PLANTILLA!C16</f>
        <v>3.4107142857142856</v>
      </c>
      <c r="D16" s="17" t="str">
        <f>PLANTILLA!D16</f>
        <v>Saul Piña</v>
      </c>
      <c r="E16" s="18">
        <f>PLANTILLA!E16</f>
        <v>29</v>
      </c>
      <c r="F16" s="3">
        <f ca="1">PLANTILLA!F16</f>
        <v>66</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15.2</v>
      </c>
      <c r="T16" s="190">
        <v>0</v>
      </c>
      <c r="U16" s="190">
        <v>1</v>
      </c>
      <c r="V16" s="190">
        <v>1</v>
      </c>
      <c r="W16" s="190">
        <v>0.13</v>
      </c>
      <c r="X16" s="190">
        <v>1</v>
      </c>
      <c r="Y16" s="190">
        <v>1</v>
      </c>
      <c r="Z16" s="190">
        <v>1</v>
      </c>
      <c r="AA16" s="188">
        <f t="shared" si="4"/>
        <v>29</v>
      </c>
      <c r="AB16" s="189">
        <f t="shared" ca="1" si="5"/>
        <v>73</v>
      </c>
      <c r="AC16" s="27">
        <f t="shared" si="6"/>
        <v>8.4</v>
      </c>
      <c r="AD16" s="191">
        <f t="shared" si="11"/>
        <v>0</v>
      </c>
      <c r="AE16" s="191">
        <f>N16+(U$2/4.5)</f>
        <v>2.2000000000000002</v>
      </c>
      <c r="AF16" s="191">
        <f>O16+(V$2/19)</f>
        <v>14.399999999999999</v>
      </c>
      <c r="AG16" s="191">
        <f>P16+(W$2/17)</f>
        <v>1.33</v>
      </c>
      <c r="AH16" s="191">
        <f>Q16+(X$2/13)</f>
        <v>14.219811965811958</v>
      </c>
      <c r="AI16" s="191">
        <f>R16+(Y$2/10)</f>
        <v>9.3399999999999981</v>
      </c>
      <c r="AJ16" s="191">
        <f>S16+(Z$2/3)</f>
        <v>15.2</v>
      </c>
      <c r="AK16" s="192">
        <f t="shared" si="54"/>
        <v>0</v>
      </c>
      <c r="AL16" s="192">
        <f t="shared" si="54"/>
        <v>0</v>
      </c>
      <c r="AM16" s="192">
        <f t="shared" si="54"/>
        <v>0</v>
      </c>
      <c r="AN16" s="192">
        <f t="shared" si="54"/>
        <v>0</v>
      </c>
      <c r="AO16" s="192">
        <f t="shared" si="54"/>
        <v>7.692307692307665E-2</v>
      </c>
      <c r="AP16" s="192">
        <f t="shared" si="54"/>
        <v>0</v>
      </c>
      <c r="AQ16" s="192">
        <f t="shared" si="54"/>
        <v>0</v>
      </c>
      <c r="AR16" s="203"/>
      <c r="AS16" s="170"/>
      <c r="AT16" s="170"/>
      <c r="AU16" s="181">
        <f>SUM(AU18:AU28)*$BJ$3</f>
        <v>0</v>
      </c>
      <c r="AV16" s="181">
        <f>SUM(AV18:AV28)*$BJ$3</f>
        <v>0</v>
      </c>
      <c r="AW16" s="181">
        <f>SUM(AW18:AW28)*$BJ$2</f>
        <v>0</v>
      </c>
      <c r="AX16" s="181">
        <f>SUM(AX18:AX28)*$BJ$4</f>
        <v>0</v>
      </c>
      <c r="AY16" s="181">
        <f>SUM(AY18:AY28)*$BJ$5</f>
        <v>3.8290224358974265E-2</v>
      </c>
      <c r="AZ16" s="181">
        <f>SUM(AZ18:AZ28)*$BJ$5</f>
        <v>3.247946047008541E-2</v>
      </c>
      <c r="BA16" s="181">
        <f>SUM(BA18:BA28)*$BJ$6</f>
        <v>5.2969543803418728E-2</v>
      </c>
      <c r="BB16" s="182">
        <f>SUM(BB18:BB28)</f>
        <v>0</v>
      </c>
      <c r="BC16" s="182">
        <f>SUM(BC18:BC28)</f>
        <v>0</v>
      </c>
      <c r="BD16" s="182">
        <f t="shared" ref="BD16:BE16" si="55">SUM(BD18:BD28)</f>
        <v>8.1943749999999991</v>
      </c>
      <c r="BE16" s="182">
        <f t="shared" si="55"/>
        <v>4.0624999999999911E-2</v>
      </c>
      <c r="BF16" s="203"/>
      <c r="BG16" t="s">
        <v>256</v>
      </c>
      <c r="BH16" s="203"/>
      <c r="BI16" s="203"/>
      <c r="BJ16" s="203"/>
      <c r="BK16" s="203"/>
      <c r="BL16" s="203"/>
    </row>
    <row r="17" spans="1:64" x14ac:dyDescent="0.25">
      <c r="A17" s="16" t="str">
        <f>PLANTILLA!A17</f>
        <v>#12</v>
      </c>
      <c r="B17" s="26" t="str">
        <f>PLANTILLA!B17</f>
        <v>DAV</v>
      </c>
      <c r="C17" s="138">
        <f ca="1">PLANTILLA!C17</f>
        <v>2.9553571428571428</v>
      </c>
      <c r="D17" s="29" t="str">
        <f>PLANTILLA!D17</f>
        <v>Adam Moss</v>
      </c>
      <c r="E17" s="2">
        <f>PLANTILLA!E17</f>
        <v>30</v>
      </c>
      <c r="F17" s="3">
        <f ca="1">PLANTILLA!F17</f>
        <v>5</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15.7</v>
      </c>
      <c r="T17" s="190">
        <v>0</v>
      </c>
      <c r="U17" s="190">
        <v>1</v>
      </c>
      <c r="V17" s="190">
        <v>1</v>
      </c>
      <c r="W17" s="190">
        <v>0.13</v>
      </c>
      <c r="X17" s="190">
        <v>1</v>
      </c>
      <c r="Y17" s="190">
        <v>1</v>
      </c>
      <c r="Z17" s="190">
        <v>1</v>
      </c>
      <c r="AA17" s="188">
        <f t="shared" si="4"/>
        <v>30</v>
      </c>
      <c r="AB17" s="189">
        <f t="shared" ca="1" si="5"/>
        <v>12</v>
      </c>
      <c r="AC17" s="27">
        <f t="shared" si="6"/>
        <v>9.8000000000000007</v>
      </c>
      <c r="AD17" s="191">
        <f t="shared" si="11"/>
        <v>0</v>
      </c>
      <c r="AE17" s="191">
        <f>N17+(U$2/5)</f>
        <v>3.2</v>
      </c>
      <c r="AF17" s="191">
        <f>O17+(V$2/19)</f>
        <v>14.399999999999999</v>
      </c>
      <c r="AG17" s="191">
        <f>P17+(W$2/20)</f>
        <v>2.2999999999999998</v>
      </c>
      <c r="AH17" s="191">
        <f>Q17+(X$2/13)</f>
        <v>14.342923076923077</v>
      </c>
      <c r="AI17" s="191">
        <f>R17+(Y$2/9)</f>
        <v>9.0999999999999961</v>
      </c>
      <c r="AJ17" s="191">
        <f>S17+(Z$2/3)</f>
        <v>15.7</v>
      </c>
      <c r="AK17" s="192">
        <f t="shared" si="54"/>
        <v>0</v>
      </c>
      <c r="AL17" s="192">
        <f t="shared" si="54"/>
        <v>0</v>
      </c>
      <c r="AM17" s="192">
        <f t="shared" si="54"/>
        <v>0</v>
      </c>
      <c r="AN17" s="192">
        <f t="shared" si="54"/>
        <v>0</v>
      </c>
      <c r="AO17" s="192">
        <f t="shared" si="54"/>
        <v>7.692307692307665E-2</v>
      </c>
      <c r="AP17" s="192">
        <f t="shared" si="54"/>
        <v>0</v>
      </c>
      <c r="AQ17" s="192">
        <f t="shared" si="54"/>
        <v>0</v>
      </c>
      <c r="AR17" s="197"/>
      <c r="AS17" s="263" t="s">
        <v>244</v>
      </c>
      <c r="AT17" s="264"/>
      <c r="AU17" s="187" t="s">
        <v>230</v>
      </c>
      <c r="AV17" s="187" t="s">
        <v>231</v>
      </c>
      <c r="AW17" s="187" t="s">
        <v>232</v>
      </c>
      <c r="AX17" s="187" t="s">
        <v>233</v>
      </c>
      <c r="AY17" s="187" t="s">
        <v>234</v>
      </c>
      <c r="AZ17" s="187" t="s">
        <v>235</v>
      </c>
      <c r="BA17" s="187" t="s">
        <v>236</v>
      </c>
      <c r="BB17" s="187" t="s">
        <v>237</v>
      </c>
      <c r="BC17" s="187" t="s">
        <v>238</v>
      </c>
      <c r="BD17" s="187" t="s">
        <v>22</v>
      </c>
      <c r="BE17" s="187" t="s">
        <v>239</v>
      </c>
      <c r="BF17" s="197"/>
      <c r="BG17" s="197"/>
      <c r="BH17" s="197"/>
      <c r="BI17" s="197"/>
      <c r="BJ17" s="197"/>
      <c r="BK17" s="197"/>
      <c r="BL17" s="197"/>
    </row>
    <row r="18" spans="1:64" x14ac:dyDescent="0.25">
      <c r="A18" s="16" t="str">
        <f>PLANTILLA!A18</f>
        <v>#14</v>
      </c>
      <c r="B18" s="16" t="str">
        <f>PLANTILLA!B18</f>
        <v>DAV</v>
      </c>
      <c r="C18" s="138">
        <f ca="1">PLANTILLA!C18</f>
        <v>3.4464285714285716</v>
      </c>
      <c r="D18" s="29" t="str">
        <f>PLANTILLA!D18</f>
        <v>Rasheed Da'na</v>
      </c>
      <c r="E18" s="2">
        <f>PLANTILLA!E18</f>
        <v>29</v>
      </c>
      <c r="F18" s="3">
        <f ca="1">PLANTILLA!F18</f>
        <v>62</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14.599999999999998</v>
      </c>
      <c r="T18" s="190">
        <v>0</v>
      </c>
      <c r="U18" s="190">
        <f>0.17</f>
        <v>0.17</v>
      </c>
      <c r="V18" s="190">
        <v>1</v>
      </c>
      <c r="W18" s="190">
        <v>0.13</v>
      </c>
      <c r="X18" s="190">
        <v>1</v>
      </c>
      <c r="Y18" s="190">
        <v>1</v>
      </c>
      <c r="Z18" s="190">
        <v>1</v>
      </c>
      <c r="AA18" s="188">
        <f t="shared" si="4"/>
        <v>29</v>
      </c>
      <c r="AB18" s="189">
        <f t="shared" ca="1" si="5"/>
        <v>69</v>
      </c>
      <c r="AC18" s="27">
        <f t="shared" si="6"/>
        <v>9.5</v>
      </c>
      <c r="AD18" s="191">
        <f t="shared" si="11"/>
        <v>0</v>
      </c>
      <c r="AE18" s="191">
        <f>N18+(U$2/24)</f>
        <v>2.0384615384615383</v>
      </c>
      <c r="AF18" s="191">
        <f>O18+(V$2/15)</f>
        <v>13.499999999999998</v>
      </c>
      <c r="AG18" s="191">
        <f>P18+(W$2/22)</f>
        <v>4.0999999999999996</v>
      </c>
      <c r="AH18" s="191">
        <f>Q18+(X$2/13)</f>
        <v>14.429145299145299</v>
      </c>
      <c r="AI18" s="191">
        <f>R18+(Y$2/10)</f>
        <v>10.095333333333334</v>
      </c>
      <c r="AJ18" s="191">
        <f>S18+(Z$2/3)</f>
        <v>14.599999999999998</v>
      </c>
      <c r="AK18" s="192">
        <f t="shared" si="54"/>
        <v>0</v>
      </c>
      <c r="AL18" s="192">
        <f t="shared" si="54"/>
        <v>0</v>
      </c>
      <c r="AM18" s="192">
        <f t="shared" si="54"/>
        <v>0</v>
      </c>
      <c r="AN18" s="192">
        <f t="shared" si="54"/>
        <v>0</v>
      </c>
      <c r="AO18" s="192">
        <f t="shared" si="54"/>
        <v>7.692307692307665E-2</v>
      </c>
      <c r="AP18" s="192">
        <f t="shared" si="54"/>
        <v>0</v>
      </c>
      <c r="AQ18" s="192">
        <f t="shared" si="54"/>
        <v>0</v>
      </c>
      <c r="AR18" s="206"/>
      <c r="AS18" s="194" t="s">
        <v>28</v>
      </c>
      <c r="AT18" s="195" t="str">
        <f>D4</f>
        <v>Damián Sala</v>
      </c>
      <c r="AU18" s="196">
        <f>AU4</f>
        <v>0</v>
      </c>
      <c r="AV18" s="196">
        <f t="shared" ref="AV18:BE19" si="56">AV4</f>
        <v>0</v>
      </c>
      <c r="AW18" s="196">
        <f t="shared" si="56"/>
        <v>0</v>
      </c>
      <c r="AX18" s="196">
        <f t="shared" si="56"/>
        <v>0</v>
      </c>
      <c r="AY18" s="196">
        <f t="shared" si="56"/>
        <v>0</v>
      </c>
      <c r="AZ18" s="196">
        <f t="shared" si="56"/>
        <v>0</v>
      </c>
      <c r="BA18" s="196">
        <f t="shared" si="56"/>
        <v>0</v>
      </c>
      <c r="BB18" s="196">
        <f t="shared" si="56"/>
        <v>0</v>
      </c>
      <c r="BC18" s="196">
        <f t="shared" si="56"/>
        <v>0</v>
      </c>
      <c r="BD18" s="196">
        <f t="shared" si="56"/>
        <v>0</v>
      </c>
      <c r="BE18" s="196">
        <f t="shared" si="56"/>
        <v>0</v>
      </c>
      <c r="BF18" s="206"/>
      <c r="BG18" s="206"/>
      <c r="BH18" s="206"/>
      <c r="BI18" s="206"/>
      <c r="BJ18" s="206"/>
      <c r="BK18" s="206"/>
      <c r="BL18" s="206"/>
    </row>
    <row r="19" spans="1:64" x14ac:dyDescent="0.25">
      <c r="A19" s="69"/>
      <c r="B19" s="69"/>
      <c r="C19" s="69"/>
      <c r="D19" s="69"/>
      <c r="E19" s="69"/>
      <c r="F19" s="69"/>
      <c r="G19" s="69"/>
      <c r="H19" s="69"/>
      <c r="I19" s="69"/>
      <c r="J19" s="69"/>
      <c r="K19" s="69"/>
      <c r="M19" s="168"/>
      <c r="T19" s="51"/>
      <c r="U19" s="51"/>
      <c r="V19" s="51"/>
      <c r="W19" s="51"/>
      <c r="X19" s="51"/>
      <c r="Y19" s="51"/>
      <c r="Z19" s="51"/>
      <c r="AA19" s="69"/>
      <c r="AB19" s="69"/>
      <c r="AC19" s="69"/>
      <c r="AD19" s="69"/>
      <c r="AE19" s="69"/>
      <c r="AF19" s="69"/>
      <c r="AG19" s="69"/>
      <c r="AH19" s="69"/>
      <c r="AI19" s="69"/>
      <c r="AJ19" s="69"/>
      <c r="AR19" s="206"/>
      <c r="AS19" s="198" t="s">
        <v>240</v>
      </c>
      <c r="AT19" s="199" t="str">
        <f>AT5</f>
        <v>Mario Omarini</v>
      </c>
      <c r="AU19" s="196">
        <f>AU5</f>
        <v>0</v>
      </c>
      <c r="AV19" s="196">
        <f t="shared" si="56"/>
        <v>0</v>
      </c>
      <c r="AW19" s="196">
        <f t="shared" si="56"/>
        <v>0</v>
      </c>
      <c r="AX19" s="196">
        <f t="shared" si="56"/>
        <v>0</v>
      </c>
      <c r="AY19" s="196">
        <f t="shared" si="56"/>
        <v>0</v>
      </c>
      <c r="AZ19" s="196">
        <f t="shared" si="56"/>
        <v>0</v>
      </c>
      <c r="BA19" s="196">
        <f t="shared" si="56"/>
        <v>0</v>
      </c>
      <c r="BB19" s="196">
        <f t="shared" si="56"/>
        <v>0</v>
      </c>
      <c r="BC19" s="196">
        <f t="shared" si="56"/>
        <v>0</v>
      </c>
      <c r="BD19" s="196">
        <f t="shared" si="56"/>
        <v>3.9124999999999996</v>
      </c>
      <c r="BE19" s="196">
        <f t="shared" si="56"/>
        <v>2.4999999999999911E-2</v>
      </c>
      <c r="BF19" s="206"/>
      <c r="BG19" s="206"/>
      <c r="BH19" s="206"/>
      <c r="BI19" s="206"/>
      <c r="BJ19" s="206"/>
      <c r="BK19" s="206"/>
      <c r="BL19" s="206"/>
    </row>
    <row r="20" spans="1:64" x14ac:dyDescent="0.25">
      <c r="C20" s="167"/>
      <c r="D20" s="119"/>
      <c r="G20" s="69"/>
      <c r="H20" s="56"/>
      <c r="J20" s="69"/>
      <c r="K20" s="69"/>
      <c r="M20" s="168"/>
      <c r="T20" s="69"/>
      <c r="U20" s="69"/>
      <c r="V20" s="69"/>
      <c r="W20" s="69"/>
      <c r="X20" s="69"/>
      <c r="Y20" s="69"/>
      <c r="Z20" s="69"/>
      <c r="AA20" s="69"/>
      <c r="AB20" s="69"/>
      <c r="AC20" s="69"/>
      <c r="AD20" s="69"/>
      <c r="AE20" s="69"/>
      <c r="AF20" s="69"/>
      <c r="AG20" s="69"/>
      <c r="AH20" s="69"/>
      <c r="AI20" s="69"/>
      <c r="AJ20" s="69"/>
      <c r="AR20" s="207"/>
      <c r="AS20" s="198" t="s">
        <v>240</v>
      </c>
      <c r="AT20" s="26" t="str">
        <f>AT7</f>
        <v>Csaba Mező</v>
      </c>
      <c r="AU20" s="196">
        <f>AU7</f>
        <v>0</v>
      </c>
      <c r="AV20" s="196">
        <f t="shared" ref="AV20:BE20" si="57">AV7</f>
        <v>0</v>
      </c>
      <c r="AW20" s="196">
        <f t="shared" si="57"/>
        <v>0</v>
      </c>
      <c r="AX20" s="196">
        <f t="shared" si="57"/>
        <v>0</v>
      </c>
      <c r="AY20" s="196">
        <f t="shared" si="57"/>
        <v>0</v>
      </c>
      <c r="AZ20" s="196">
        <f t="shared" si="57"/>
        <v>0</v>
      </c>
      <c r="BA20" s="196">
        <f t="shared" si="57"/>
        <v>0</v>
      </c>
      <c r="BB20" s="196">
        <f t="shared" si="57"/>
        <v>0</v>
      </c>
      <c r="BC20" s="196">
        <f t="shared" si="57"/>
        <v>0</v>
      </c>
      <c r="BD20" s="196">
        <f t="shared" si="57"/>
        <v>4.2818749999999994</v>
      </c>
      <c r="BE20" s="196">
        <f t="shared" si="57"/>
        <v>1.5625E-2</v>
      </c>
      <c r="BF20" s="207"/>
      <c r="BG20" s="207"/>
      <c r="BH20" s="207"/>
      <c r="BI20" s="207"/>
      <c r="BJ20" s="207"/>
      <c r="BK20" s="207"/>
      <c r="BL20" s="207"/>
    </row>
    <row r="21" spans="1:64" x14ac:dyDescent="0.25">
      <c r="C21" s="167"/>
      <c r="D21" s="119"/>
      <c r="G21" s="69"/>
      <c r="H21" s="56"/>
      <c r="J21" s="69"/>
      <c r="K21" s="69"/>
      <c r="M21" s="168"/>
      <c r="T21" s="69"/>
      <c r="U21" s="69"/>
      <c r="V21" s="69"/>
      <c r="W21" s="69"/>
      <c r="X21" s="69"/>
      <c r="Y21" s="69"/>
      <c r="Z21" s="69"/>
      <c r="AA21" s="69"/>
      <c r="AB21" s="69"/>
      <c r="AC21" s="69"/>
      <c r="AD21" s="69"/>
      <c r="AE21" s="69"/>
      <c r="AF21" s="69"/>
      <c r="AG21" s="69"/>
      <c r="AH21" s="69"/>
      <c r="AI21" s="69"/>
      <c r="AJ21" s="69"/>
      <c r="AR21" s="193"/>
      <c r="AS21" s="120" t="s">
        <v>246</v>
      </c>
      <c r="AT21" s="26" t="str">
        <f>AT8</f>
        <v>Iyad Chaabo</v>
      </c>
      <c r="AU21" s="202">
        <f>AU8</f>
        <v>0</v>
      </c>
      <c r="AV21" s="202">
        <f t="shared" ref="AV21:BE21" si="58">AV8</f>
        <v>0</v>
      </c>
      <c r="AW21" s="202">
        <f t="shared" si="58"/>
        <v>0</v>
      </c>
      <c r="AX21" s="202">
        <f t="shared" si="58"/>
        <v>0</v>
      </c>
      <c r="AY21" s="202">
        <f t="shared" si="58"/>
        <v>3.2166666666666552E-2</v>
      </c>
      <c r="AZ21" s="202">
        <f t="shared" si="58"/>
        <v>0</v>
      </c>
      <c r="BA21" s="202">
        <f t="shared" si="58"/>
        <v>2.4666666666666576E-2</v>
      </c>
      <c r="BB21" s="202">
        <f t="shared" si="58"/>
        <v>0</v>
      </c>
      <c r="BC21" s="202">
        <f t="shared" si="58"/>
        <v>0</v>
      </c>
      <c r="BD21" s="202">
        <f t="shared" si="58"/>
        <v>0</v>
      </c>
      <c r="BE21" s="202">
        <f t="shared" si="58"/>
        <v>0</v>
      </c>
      <c r="BF21" s="193"/>
      <c r="BG21" s="193"/>
      <c r="BH21" s="193"/>
      <c r="BI21" s="193"/>
      <c r="BJ21" s="193"/>
      <c r="BK21" s="193"/>
      <c r="BL21" s="193"/>
    </row>
    <row r="22" spans="1:64" x14ac:dyDescent="0.25">
      <c r="C22" s="167"/>
      <c r="D22" s="119"/>
      <c r="G22" s="69"/>
      <c r="H22" s="56"/>
      <c r="J22" s="69"/>
      <c r="K22" s="69"/>
      <c r="M22" s="168"/>
      <c r="T22" s="69"/>
      <c r="U22" s="69"/>
      <c r="V22" s="69"/>
      <c r="W22" s="69"/>
      <c r="X22" s="69"/>
      <c r="Y22" s="69"/>
      <c r="Z22" s="69"/>
      <c r="AA22" s="69"/>
      <c r="AB22" s="69"/>
      <c r="AC22" s="69"/>
      <c r="AD22" s="69"/>
      <c r="AE22" s="69"/>
      <c r="AF22" s="69"/>
      <c r="AG22" s="69"/>
      <c r="AH22" s="69"/>
      <c r="AI22" s="69"/>
      <c r="AJ22" s="69"/>
      <c r="AR22" s="197"/>
      <c r="AS22" s="126" t="s">
        <v>242</v>
      </c>
      <c r="AT22" s="26" t="str">
        <f t="shared" ref="AT22:AU27" si="59">AT9</f>
        <v>Gianfranco Rezza</v>
      </c>
      <c r="AU22" s="202">
        <f t="shared" si="59"/>
        <v>0</v>
      </c>
      <c r="AV22" s="202">
        <f t="shared" ref="AV22:BE22" si="60">AV9</f>
        <v>0</v>
      </c>
      <c r="AW22" s="202">
        <f t="shared" si="60"/>
        <v>0</v>
      </c>
      <c r="AX22" s="202">
        <f t="shared" si="60"/>
        <v>0</v>
      </c>
      <c r="AY22" s="202">
        <f t="shared" si="60"/>
        <v>1.5750000000000111E-2</v>
      </c>
      <c r="AZ22" s="202">
        <f t="shared" si="60"/>
        <v>1.5750000000000111E-2</v>
      </c>
      <c r="BA22" s="202">
        <f t="shared" si="60"/>
        <v>4.2250000000000301E-2</v>
      </c>
      <c r="BB22" s="202">
        <f t="shared" si="60"/>
        <v>0</v>
      </c>
      <c r="BC22" s="202">
        <f t="shared" si="60"/>
        <v>0</v>
      </c>
      <c r="BD22" s="202">
        <f t="shared" si="60"/>
        <v>0</v>
      </c>
      <c r="BE22" s="202">
        <f t="shared" si="60"/>
        <v>0</v>
      </c>
      <c r="BF22" s="197"/>
      <c r="BG22" s="197"/>
      <c r="BH22" s="197"/>
      <c r="BI22" s="197"/>
      <c r="BJ22" s="197"/>
      <c r="BK22" s="197"/>
      <c r="BL22" s="197"/>
    </row>
    <row r="23" spans="1:64" x14ac:dyDescent="0.25">
      <c r="C23" s="167"/>
      <c r="D23" s="119"/>
      <c r="G23" s="69"/>
      <c r="H23" s="56"/>
      <c r="J23" s="69"/>
      <c r="K23" s="69"/>
      <c r="M23" s="168"/>
      <c r="T23" s="69"/>
      <c r="U23" s="69"/>
      <c r="V23" s="69"/>
      <c r="W23" s="69"/>
      <c r="X23" s="69"/>
      <c r="Y23" s="69"/>
      <c r="Z23" s="69"/>
      <c r="AA23" s="50"/>
      <c r="AB23" s="69"/>
      <c r="AC23" s="69"/>
      <c r="AD23" s="69"/>
      <c r="AE23" s="69"/>
      <c r="AF23" s="69"/>
      <c r="AG23" s="69"/>
      <c r="AH23" s="69"/>
      <c r="AI23" s="69"/>
      <c r="AJ23" s="69"/>
      <c r="AR23" s="203"/>
      <c r="AS23" s="126" t="s">
        <v>247</v>
      </c>
      <c r="AT23" s="26" t="str">
        <f t="shared" si="59"/>
        <v>Jorge W. Whitaker</v>
      </c>
      <c r="AU23" s="202">
        <f t="shared" si="59"/>
        <v>0</v>
      </c>
      <c r="AV23" s="202">
        <f t="shared" ref="AV23:BE23" si="61">AV10</f>
        <v>0</v>
      </c>
      <c r="AW23" s="202">
        <f t="shared" si="61"/>
        <v>0</v>
      </c>
      <c r="AX23" s="202">
        <f t="shared" si="61"/>
        <v>0</v>
      </c>
      <c r="AY23" s="202">
        <f t="shared" si="61"/>
        <v>5.0599999999999819E-2</v>
      </c>
      <c r="AZ23" s="202">
        <f t="shared" si="61"/>
        <v>2.4599999999999914E-2</v>
      </c>
      <c r="BA23" s="202">
        <f t="shared" si="61"/>
        <v>6.8199999999999761E-2</v>
      </c>
      <c r="BB23" s="202">
        <f t="shared" si="61"/>
        <v>0</v>
      </c>
      <c r="BC23" s="202">
        <f t="shared" si="61"/>
        <v>0</v>
      </c>
      <c r="BD23" s="202">
        <f t="shared" si="61"/>
        <v>0</v>
      </c>
      <c r="BE23" s="202">
        <f t="shared" si="61"/>
        <v>0</v>
      </c>
      <c r="BF23" s="203"/>
      <c r="BG23" s="203"/>
      <c r="BH23" s="203"/>
      <c r="BI23" s="203"/>
      <c r="BJ23" s="203"/>
      <c r="BK23" s="203"/>
      <c r="BL23" s="203"/>
    </row>
    <row r="24" spans="1:64" x14ac:dyDescent="0.25">
      <c r="C24" s="167"/>
      <c r="D24" s="119"/>
      <c r="G24" s="69"/>
      <c r="H24" s="56"/>
      <c r="J24" s="69"/>
      <c r="K24" s="69"/>
      <c r="M24" s="168"/>
      <c r="T24" s="69"/>
      <c r="U24" s="69"/>
      <c r="V24" s="69"/>
      <c r="W24" s="69"/>
      <c r="X24" s="69"/>
      <c r="Y24" s="69"/>
      <c r="Z24" s="69"/>
      <c r="AA24" s="69"/>
      <c r="AB24" s="69"/>
      <c r="AC24" s="69"/>
      <c r="AD24" s="50"/>
      <c r="AE24" s="50"/>
      <c r="AF24" s="50"/>
      <c r="AG24" s="50"/>
      <c r="AH24" s="50"/>
      <c r="AI24" s="50"/>
      <c r="AJ24" s="50"/>
      <c r="AR24" s="208"/>
      <c r="AS24" s="126" t="s">
        <v>242</v>
      </c>
      <c r="AT24" s="26" t="str">
        <f>D11</f>
        <v>Emilio Mochelato</v>
      </c>
      <c r="AU24" s="202">
        <f>AL11*0.038</f>
        <v>0</v>
      </c>
      <c r="AV24" s="202">
        <f>AL11*0.077</f>
        <v>0</v>
      </c>
      <c r="AW24" s="202">
        <f>AL11*0.162</f>
        <v>0</v>
      </c>
      <c r="AX24" s="202">
        <f>AM11*0.944</f>
        <v>0</v>
      </c>
      <c r="AY24" s="202">
        <f>(AO11*0.126)</f>
        <v>7.8750000000000001E-3</v>
      </c>
      <c r="AZ24" s="202">
        <f>(AO11*0.251)</f>
        <v>1.56875E-2</v>
      </c>
      <c r="BA24" s="202">
        <f>(AO11*0.507)+(AP11*0.31)</f>
        <v>3.16875E-2</v>
      </c>
      <c r="BB24" s="210">
        <f>(0.5*AP11+0.3*AQ11)/10</f>
        <v>0</v>
      </c>
      <c r="BC24" s="210">
        <f>(0.4*AL11+0.3*AQ11)/10</f>
        <v>0</v>
      </c>
      <c r="BD24" s="210">
        <v>0</v>
      </c>
      <c r="BE24" s="210">
        <v>0</v>
      </c>
      <c r="BF24" s="208"/>
      <c r="BG24" s="208"/>
      <c r="BH24" s="208"/>
      <c r="BI24" s="208"/>
      <c r="BJ24" s="208"/>
      <c r="BK24" s="208"/>
      <c r="BL24" s="208"/>
    </row>
    <row r="25" spans="1:64" x14ac:dyDescent="0.25">
      <c r="C25" s="167"/>
      <c r="D25" s="119"/>
      <c r="G25" s="69"/>
      <c r="H25" s="56"/>
      <c r="J25" s="69"/>
      <c r="K25" s="69"/>
      <c r="M25" s="168"/>
      <c r="T25" s="69"/>
      <c r="U25" s="69"/>
      <c r="V25" s="69"/>
      <c r="W25" s="69"/>
      <c r="X25" s="69"/>
      <c r="Y25" s="69"/>
      <c r="Z25" s="69"/>
      <c r="AA25" s="69"/>
      <c r="AB25" s="69"/>
      <c r="AC25" s="69"/>
      <c r="AD25" s="50"/>
      <c r="AE25" s="50"/>
      <c r="AF25" s="50"/>
      <c r="AG25" s="50"/>
      <c r="AH25" s="50"/>
      <c r="AI25" s="50"/>
      <c r="AJ25" s="50"/>
      <c r="AR25" s="207"/>
      <c r="AS25" s="126" t="s">
        <v>241</v>
      </c>
      <c r="AT25" s="26" t="str">
        <f t="shared" si="59"/>
        <v>Cezary Pauch</v>
      </c>
      <c r="AU25" s="202">
        <f>AU12</f>
        <v>0</v>
      </c>
      <c r="AV25" s="202">
        <f t="shared" ref="AV25:BE25" si="62">AV12</f>
        <v>0</v>
      </c>
      <c r="AW25" s="202">
        <f t="shared" si="62"/>
        <v>0</v>
      </c>
      <c r="AX25" s="202">
        <f t="shared" si="62"/>
        <v>0</v>
      </c>
      <c r="AY25" s="202">
        <f t="shared" si="62"/>
        <v>0</v>
      </c>
      <c r="AZ25" s="202">
        <f t="shared" si="62"/>
        <v>2.7111111111111013E-2</v>
      </c>
      <c r="BA25" s="202">
        <f t="shared" si="62"/>
        <v>1.3444444444444396E-2</v>
      </c>
      <c r="BB25" s="202">
        <f t="shared" si="62"/>
        <v>0</v>
      </c>
      <c r="BC25" s="202">
        <f t="shared" si="62"/>
        <v>0</v>
      </c>
      <c r="BD25" s="202">
        <f t="shared" si="62"/>
        <v>0</v>
      </c>
      <c r="BE25" s="202">
        <f t="shared" si="62"/>
        <v>0</v>
      </c>
      <c r="BF25" s="207"/>
      <c r="BG25" s="207"/>
      <c r="BH25" s="207"/>
      <c r="BI25" s="207"/>
      <c r="BJ25" s="207"/>
      <c r="BK25" s="207"/>
      <c r="BL25" s="207"/>
    </row>
    <row r="26" spans="1:64" x14ac:dyDescent="0.25">
      <c r="C26" s="167"/>
      <c r="D26" s="119"/>
      <c r="G26" s="69"/>
      <c r="H26" s="56"/>
      <c r="J26" s="69"/>
      <c r="K26" s="69"/>
      <c r="M26" s="168"/>
      <c r="T26" s="69"/>
      <c r="U26" s="69"/>
      <c r="V26" s="69"/>
      <c r="W26" s="69"/>
      <c r="X26" s="69"/>
      <c r="Y26" s="69"/>
      <c r="Z26" s="69"/>
      <c r="AA26" s="69"/>
      <c r="AB26" s="69"/>
      <c r="AC26" s="69"/>
      <c r="AD26" s="50"/>
      <c r="AE26" s="50"/>
      <c r="AF26" s="50"/>
      <c r="AG26" s="50"/>
      <c r="AH26" s="50"/>
      <c r="AI26" s="50"/>
      <c r="AJ26" s="50"/>
      <c r="AR26" s="203"/>
      <c r="AS26" s="211" t="s">
        <v>44</v>
      </c>
      <c r="AT26" s="26" t="str">
        <f t="shared" si="59"/>
        <v>Adam Moss</v>
      </c>
      <c r="AU26" s="202">
        <f t="shared" si="59"/>
        <v>0</v>
      </c>
      <c r="AV26" s="202">
        <f t="shared" ref="AV26:BE26" si="63">AV13</f>
        <v>0</v>
      </c>
      <c r="AW26" s="202">
        <f t="shared" si="63"/>
        <v>0</v>
      </c>
      <c r="AX26" s="202">
        <f t="shared" si="63"/>
        <v>0</v>
      </c>
      <c r="AY26" s="202">
        <f t="shared" si="63"/>
        <v>1.0923076923076883E-2</v>
      </c>
      <c r="AZ26" s="202">
        <f t="shared" si="63"/>
        <v>1.0923076923076883E-2</v>
      </c>
      <c r="BA26" s="202">
        <f t="shared" si="63"/>
        <v>2.8384615384615283E-2</v>
      </c>
      <c r="BB26" s="202">
        <f t="shared" si="63"/>
        <v>0</v>
      </c>
      <c r="BC26" s="202">
        <f t="shared" si="63"/>
        <v>0</v>
      </c>
      <c r="BD26" s="202">
        <f t="shared" si="63"/>
        <v>0</v>
      </c>
      <c r="BE26" s="202">
        <f t="shared" si="63"/>
        <v>0</v>
      </c>
      <c r="BF26" s="203"/>
      <c r="BG26" s="203"/>
      <c r="BH26" s="203"/>
      <c r="BI26" s="203"/>
      <c r="BJ26" s="203"/>
      <c r="BK26" s="203"/>
      <c r="BL26" s="203"/>
    </row>
    <row r="27" spans="1:64" x14ac:dyDescent="0.25">
      <c r="C27" s="167"/>
      <c r="D27" s="119"/>
      <c r="G27" s="69"/>
      <c r="H27" s="56"/>
      <c r="J27" s="69"/>
      <c r="K27" s="69"/>
      <c r="M27" s="168"/>
      <c r="T27" s="69"/>
      <c r="U27" s="69"/>
      <c r="V27" s="69"/>
      <c r="W27" s="69"/>
      <c r="X27" s="69"/>
      <c r="Y27" s="69"/>
      <c r="Z27" s="69"/>
      <c r="AA27" s="69"/>
      <c r="AB27" s="69"/>
      <c r="AC27" s="69"/>
      <c r="AD27" s="50"/>
      <c r="AE27" s="50"/>
      <c r="AF27" s="50"/>
      <c r="AG27" s="50"/>
      <c r="AH27" s="50"/>
      <c r="AI27" s="50"/>
      <c r="AJ27" s="50"/>
      <c r="AS27" s="126" t="s">
        <v>44</v>
      </c>
      <c r="AT27" s="26" t="str">
        <f t="shared" si="59"/>
        <v>Rasheed Da'na</v>
      </c>
      <c r="AU27" s="202">
        <f t="shared" si="59"/>
        <v>0</v>
      </c>
      <c r="AV27" s="202">
        <f t="shared" ref="AV27:BE27" si="64">AV14</f>
        <v>0</v>
      </c>
      <c r="AW27" s="202">
        <f t="shared" si="64"/>
        <v>0</v>
      </c>
      <c r="AX27" s="202">
        <f t="shared" si="64"/>
        <v>0</v>
      </c>
      <c r="AY27" s="202">
        <f t="shared" si="64"/>
        <v>1.0923076923076883E-2</v>
      </c>
      <c r="AZ27" s="202">
        <f t="shared" si="64"/>
        <v>1.0923076923076883E-2</v>
      </c>
      <c r="BA27" s="202">
        <f t="shared" si="64"/>
        <v>2.8384615384615283E-2</v>
      </c>
      <c r="BB27" s="202">
        <f t="shared" si="64"/>
        <v>0</v>
      </c>
      <c r="BC27" s="202">
        <f t="shared" si="64"/>
        <v>0</v>
      </c>
      <c r="BD27" s="202">
        <f t="shared" si="64"/>
        <v>0</v>
      </c>
      <c r="BE27" s="202">
        <f t="shared" si="64"/>
        <v>0</v>
      </c>
    </row>
    <row r="28" spans="1:64" x14ac:dyDescent="0.25">
      <c r="C28" s="167"/>
      <c r="D28" s="119"/>
      <c r="G28" s="69"/>
      <c r="H28" s="56"/>
      <c r="J28" s="69"/>
      <c r="K28" s="69"/>
      <c r="M28" s="168"/>
      <c r="T28" s="69"/>
      <c r="U28" s="69"/>
      <c r="V28" s="69"/>
      <c r="W28" s="69"/>
      <c r="X28" s="69"/>
      <c r="Y28" s="69"/>
      <c r="Z28" s="69"/>
      <c r="AA28" s="69"/>
      <c r="AB28" s="69"/>
      <c r="AC28" s="69"/>
      <c r="AD28" s="50"/>
      <c r="AE28" s="50"/>
      <c r="AF28" s="50"/>
      <c r="AG28" s="50"/>
      <c r="AH28" s="50"/>
      <c r="AI28" s="50"/>
      <c r="AJ28" s="50"/>
      <c r="AS28" s="126" t="s">
        <v>86</v>
      </c>
      <c r="AT28" s="26" t="str">
        <f>AT11</f>
        <v>Saul Piña</v>
      </c>
      <c r="AU28" s="196">
        <v>0</v>
      </c>
      <c r="AV28" s="196">
        <v>0</v>
      </c>
      <c r="AW28" s="196">
        <v>0</v>
      </c>
      <c r="AX28" s="196">
        <f>AM16*0.4</f>
        <v>0</v>
      </c>
      <c r="AY28" s="196">
        <f>(AO16*0.324)+(AN16*0.144)+(AP16*0.127)</f>
        <v>2.4923076923076836E-2</v>
      </c>
      <c r="AZ28" s="196">
        <f>AY28</f>
        <v>2.4923076923076836E-2</v>
      </c>
      <c r="BA28" s="196">
        <f>(AO16*0.543)+(AP16*0.583)</f>
        <v>4.1769230769230621E-2</v>
      </c>
      <c r="BB28" s="210">
        <f>(0.5*AP16+0.3*AQ16)/10</f>
        <v>0</v>
      </c>
      <c r="BC28" s="210">
        <f>(0.4*AL16+0.3*AQ16)/10</f>
        <v>0</v>
      </c>
      <c r="BD28" s="210">
        <v>0</v>
      </c>
      <c r="BE28" s="210">
        <v>0</v>
      </c>
    </row>
    <row r="29" spans="1:64" x14ac:dyDescent="0.25">
      <c r="C29" s="167"/>
      <c r="D29" s="119"/>
      <c r="G29" s="69"/>
      <c r="H29" s="56"/>
      <c r="J29" s="69"/>
      <c r="K29" s="69"/>
      <c r="M29" s="168"/>
      <c r="T29" s="69"/>
      <c r="U29" s="69"/>
      <c r="V29" s="69"/>
      <c r="W29" s="69"/>
      <c r="X29" s="69"/>
      <c r="Y29" s="69"/>
      <c r="Z29" s="69"/>
      <c r="AA29" s="69"/>
      <c r="AB29" s="69"/>
      <c r="AC29" s="69"/>
      <c r="AD29" s="50"/>
      <c r="AE29" s="50"/>
      <c r="AF29" s="50"/>
      <c r="AG29" s="50"/>
      <c r="AH29" s="50"/>
      <c r="AI29" s="50"/>
      <c r="AJ29" s="50"/>
      <c r="AS29" s="204"/>
      <c r="AT29" s="205"/>
      <c r="AU29" s="205"/>
      <c r="AV29" s="205"/>
      <c r="AW29" s="205"/>
      <c r="AX29" s="205"/>
      <c r="AY29" s="205"/>
      <c r="AZ29" s="205"/>
      <c r="BA29" s="205"/>
      <c r="BB29" s="205"/>
      <c r="BC29" s="205"/>
      <c r="BD29" s="205"/>
      <c r="BE29" s="205"/>
    </row>
    <row r="30" spans="1:64" x14ac:dyDescent="0.25">
      <c r="C30" s="167"/>
      <c r="D30" s="119"/>
      <c r="G30" s="69"/>
      <c r="H30" s="56"/>
      <c r="J30" s="69"/>
      <c r="K30" s="69"/>
      <c r="M30" s="168"/>
      <c r="T30" s="69"/>
      <c r="U30" s="69"/>
      <c r="V30" s="69"/>
      <c r="W30" s="69"/>
      <c r="X30" s="69"/>
      <c r="Y30" s="69"/>
      <c r="Z30" s="69"/>
      <c r="AA30" s="69"/>
      <c r="AB30" s="69"/>
      <c r="AC30" s="69"/>
      <c r="AD30" s="69"/>
      <c r="AE30" s="69"/>
      <c r="AF30" s="69"/>
      <c r="AG30" s="69"/>
      <c r="AH30" s="69"/>
      <c r="AI30" s="69"/>
      <c r="AJ30" s="69"/>
      <c r="AS30" s="170"/>
      <c r="AT30" s="170"/>
      <c r="AU30" s="181">
        <f>SUM(AU32:AU42)*$BJ$3</f>
        <v>0</v>
      </c>
      <c r="AV30" s="181">
        <f>SUM(AV32:AV42)*$BJ$3</f>
        <v>0</v>
      </c>
      <c r="AW30" s="181">
        <f>SUM(AW32:AW42)*$BJ$2</f>
        <v>0</v>
      </c>
      <c r="AX30" s="181">
        <f>SUM(AX32:AX42)*$BJ$4</f>
        <v>0</v>
      </c>
      <c r="AY30" s="181">
        <f>SUM(AY32:AY42)*$BJ$5</f>
        <v>1.1822115384615384E-2</v>
      </c>
      <c r="AZ30" s="181">
        <f>SUM(AZ32:AZ42)*$BJ$5</f>
        <v>2.1003739316239282E-2</v>
      </c>
      <c r="BA30" s="181">
        <f>SUM(BA32:BA42)*$BJ$6</f>
        <v>2.8778098290598273E-2</v>
      </c>
      <c r="BB30" s="182">
        <f>SUM(BB32:BB42)</f>
        <v>0</v>
      </c>
      <c r="BC30" s="182">
        <f>SUM(BC32:BC42)</f>
        <v>0</v>
      </c>
      <c r="BD30" s="182">
        <f t="shared" ref="BD30:BE30" si="65">SUM(BD32:BD42)</f>
        <v>20.694454365079363</v>
      </c>
      <c r="BE30" s="182">
        <f t="shared" si="65"/>
        <v>0.14419642857142811</v>
      </c>
    </row>
    <row r="31" spans="1:64" x14ac:dyDescent="0.25">
      <c r="C31" s="167"/>
      <c r="D31" s="119"/>
      <c r="G31" s="69"/>
      <c r="H31" s="56"/>
      <c r="J31" s="69"/>
      <c r="K31" s="69"/>
      <c r="M31" s="168"/>
      <c r="T31" s="69"/>
      <c r="U31" s="69"/>
      <c r="V31" s="69"/>
      <c r="W31" s="69"/>
      <c r="X31" s="69"/>
      <c r="Y31" s="69"/>
      <c r="Z31" s="69"/>
      <c r="AA31" s="69"/>
      <c r="AB31" s="69"/>
      <c r="AC31" s="69"/>
      <c r="AD31" s="69"/>
      <c r="AE31" s="69"/>
      <c r="AF31" s="69"/>
      <c r="AG31" s="69"/>
      <c r="AH31" s="69"/>
      <c r="AI31" s="69"/>
      <c r="AJ31" s="69"/>
      <c r="AS31" s="263" t="s">
        <v>243</v>
      </c>
      <c r="AT31" s="264"/>
      <c r="AU31" s="187" t="s">
        <v>230</v>
      </c>
      <c r="AV31" s="187" t="s">
        <v>231</v>
      </c>
      <c r="AW31" s="187" t="s">
        <v>232</v>
      </c>
      <c r="AX31" s="187" t="s">
        <v>233</v>
      </c>
      <c r="AY31" s="187" t="s">
        <v>234</v>
      </c>
      <c r="AZ31" s="187" t="s">
        <v>235</v>
      </c>
      <c r="BA31" s="187" t="s">
        <v>236</v>
      </c>
      <c r="BB31" s="187" t="s">
        <v>237</v>
      </c>
      <c r="BC31" s="187" t="s">
        <v>238</v>
      </c>
      <c r="BD31" s="187" t="s">
        <v>22</v>
      </c>
      <c r="BE31" s="187" t="s">
        <v>239</v>
      </c>
    </row>
    <row r="32" spans="1:64" x14ac:dyDescent="0.25">
      <c r="C32" s="167"/>
      <c r="D32" s="119"/>
      <c r="G32" s="69"/>
      <c r="H32" s="56"/>
      <c r="J32" s="69"/>
      <c r="K32" s="69"/>
      <c r="M32" s="168"/>
      <c r="T32" s="69"/>
      <c r="U32" s="69"/>
      <c r="V32" s="69"/>
      <c r="W32" s="69"/>
      <c r="X32" s="69"/>
      <c r="Y32" s="69"/>
      <c r="Z32" s="69"/>
      <c r="AA32" s="69"/>
      <c r="AB32" s="69"/>
      <c r="AC32" s="69"/>
      <c r="AD32" s="69"/>
      <c r="AE32" s="69"/>
      <c r="AF32" s="69"/>
      <c r="AG32" s="69"/>
      <c r="AH32" s="69"/>
      <c r="AI32" s="69"/>
      <c r="AJ32" s="69"/>
      <c r="AS32" s="211" t="s">
        <v>28</v>
      </c>
      <c r="AT32" s="195" t="str">
        <f>AT18</f>
        <v>Damián Sala</v>
      </c>
      <c r="AU32" s="196">
        <f>AU18</f>
        <v>0</v>
      </c>
      <c r="AV32" s="196">
        <f t="shared" ref="AV32:BE32" si="66">AV18</f>
        <v>0</v>
      </c>
      <c r="AW32" s="196">
        <f t="shared" si="66"/>
        <v>0</v>
      </c>
      <c r="AX32" s="196">
        <f t="shared" si="66"/>
        <v>0</v>
      </c>
      <c r="AY32" s="196">
        <f t="shared" si="66"/>
        <v>0</v>
      </c>
      <c r="AZ32" s="196">
        <v>0</v>
      </c>
      <c r="BA32" s="196">
        <f t="shared" si="66"/>
        <v>0</v>
      </c>
      <c r="BB32" s="196">
        <f t="shared" si="66"/>
        <v>0</v>
      </c>
      <c r="BC32" s="196">
        <f t="shared" si="66"/>
        <v>0</v>
      </c>
      <c r="BD32" s="196">
        <f t="shared" si="66"/>
        <v>0</v>
      </c>
      <c r="BE32" s="196">
        <f t="shared" si="66"/>
        <v>0</v>
      </c>
    </row>
    <row r="33" spans="3:57" x14ac:dyDescent="0.25">
      <c r="C33" s="167"/>
      <c r="D33" s="119"/>
      <c r="G33" s="69"/>
      <c r="H33" s="56"/>
      <c r="J33" s="69"/>
      <c r="K33" s="69"/>
      <c r="M33" s="168"/>
      <c r="T33" s="69"/>
      <c r="U33" s="69"/>
      <c r="V33" s="69"/>
      <c r="W33" s="69"/>
      <c r="X33" s="69"/>
      <c r="Y33" s="69"/>
      <c r="Z33" s="69"/>
      <c r="AA33" s="69"/>
      <c r="AB33" s="69"/>
      <c r="AC33" s="69"/>
      <c r="AD33" s="69"/>
      <c r="AE33" s="69"/>
      <c r="AF33" s="69"/>
      <c r="AG33" s="69"/>
      <c r="AH33" s="69"/>
      <c r="AI33" s="69"/>
      <c r="AJ33" s="69"/>
      <c r="AS33" s="198" t="s">
        <v>250</v>
      </c>
      <c r="AT33" s="199" t="str">
        <f>AT19</f>
        <v>Mario Omarini</v>
      </c>
      <c r="AU33" s="200">
        <f>(AL5*1)</f>
        <v>0</v>
      </c>
      <c r="AV33" s="200">
        <v>0</v>
      </c>
      <c r="AW33" s="200">
        <f>AL5*0.479</f>
        <v>0</v>
      </c>
      <c r="AX33" s="200">
        <f>AM5*0.066</f>
        <v>0</v>
      </c>
      <c r="AY33" s="200">
        <f>AN5*0.376</f>
        <v>0</v>
      </c>
      <c r="AZ33" s="200">
        <v>0</v>
      </c>
      <c r="BA33" s="200">
        <v>0</v>
      </c>
      <c r="BB33" s="201">
        <f>(0.5*AP5+0.3*AQ5)/10</f>
        <v>0</v>
      </c>
      <c r="BC33" s="201">
        <f>(0.4*AL5+0.3*AQ5)/10</f>
        <v>0</v>
      </c>
      <c r="BD33" s="201">
        <f>((AE5+1)+(AH5+1)*2)/8</f>
        <v>3.9124999999999996</v>
      </c>
      <c r="BE33" s="201">
        <f>((AL5)+(AO5)*2)/8</f>
        <v>2.4999999999999911E-2</v>
      </c>
    </row>
    <row r="34" spans="3:57" x14ac:dyDescent="0.25">
      <c r="C34" s="167"/>
      <c r="D34" s="119"/>
      <c r="G34" s="69"/>
      <c r="H34" s="56"/>
      <c r="J34" s="69"/>
      <c r="K34" s="69"/>
      <c r="M34" s="168"/>
      <c r="T34" s="69"/>
      <c r="U34" s="69"/>
      <c r="V34" s="69"/>
      <c r="W34" s="69"/>
      <c r="X34" s="69"/>
      <c r="Y34" s="69"/>
      <c r="Z34" s="69"/>
      <c r="AA34" s="69"/>
      <c r="AB34" s="69"/>
      <c r="AC34" s="69"/>
      <c r="AD34" s="69"/>
      <c r="AE34" s="69"/>
      <c r="AF34" s="69"/>
      <c r="AG34" s="69"/>
      <c r="AH34" s="69"/>
      <c r="AI34" s="69"/>
      <c r="AJ34" s="69"/>
      <c r="AS34" s="126" t="s">
        <v>248</v>
      </c>
      <c r="AT34" s="26" t="str">
        <f>D9</f>
        <v>Ibiur Altxakoa</v>
      </c>
      <c r="AU34" s="196">
        <f>AU6</f>
        <v>0</v>
      </c>
      <c r="AV34" s="196">
        <f t="shared" ref="AV34:BE34" si="67">AV6</f>
        <v>0</v>
      </c>
      <c r="AW34" s="196">
        <f t="shared" si="67"/>
        <v>0</v>
      </c>
      <c r="AX34" s="196">
        <f t="shared" si="67"/>
        <v>0</v>
      </c>
      <c r="AY34" s="196">
        <f t="shared" si="67"/>
        <v>0</v>
      </c>
      <c r="AZ34" s="196">
        <f t="shared" si="67"/>
        <v>0</v>
      </c>
      <c r="BA34" s="196">
        <f t="shared" si="67"/>
        <v>0</v>
      </c>
      <c r="BB34" s="196">
        <f t="shared" si="67"/>
        <v>0</v>
      </c>
      <c r="BC34" s="196">
        <f t="shared" si="67"/>
        <v>0</v>
      </c>
      <c r="BD34" s="196">
        <f t="shared" si="67"/>
        <v>4.0671428571428567</v>
      </c>
      <c r="BE34" s="196">
        <f t="shared" si="67"/>
        <v>1.7857142857142794E-2</v>
      </c>
    </row>
    <row r="35" spans="3:57" x14ac:dyDescent="0.25">
      <c r="C35" s="167"/>
      <c r="D35" s="119"/>
      <c r="G35" s="69"/>
      <c r="H35" s="56"/>
      <c r="J35" s="69"/>
      <c r="K35" s="69"/>
      <c r="M35" s="168"/>
      <c r="T35" s="69"/>
      <c r="U35" s="69"/>
      <c r="V35" s="69"/>
      <c r="W35" s="69"/>
      <c r="X35" s="69"/>
      <c r="Y35" s="69"/>
      <c r="Z35" s="69"/>
      <c r="AA35" s="69"/>
      <c r="AB35" s="69"/>
      <c r="AC35" s="69"/>
      <c r="AD35" s="69"/>
      <c r="AE35" s="69"/>
      <c r="AF35" s="69"/>
      <c r="AG35" s="69"/>
      <c r="AH35" s="69"/>
      <c r="AI35" s="69"/>
      <c r="AJ35" s="69"/>
      <c r="AS35" s="126" t="s">
        <v>248</v>
      </c>
      <c r="AT35" s="26" t="str">
        <f>D10</f>
        <v>Jorge W. Whitaker</v>
      </c>
      <c r="AU35" s="202">
        <f>AL10*0.378</f>
        <v>0</v>
      </c>
      <c r="AV35" s="202">
        <f>AU35</f>
        <v>0</v>
      </c>
      <c r="AW35" s="202">
        <f>AL10*1</f>
        <v>0</v>
      </c>
      <c r="AX35" s="202">
        <f>AM10*0.236</f>
        <v>0</v>
      </c>
      <c r="AY35" s="202">
        <v>0</v>
      </c>
      <c r="AZ35" s="202">
        <v>0</v>
      </c>
      <c r="BA35" s="202">
        <v>0</v>
      </c>
      <c r="BB35" s="210">
        <f>(0.5*AP10+0.3*AQ10)/10</f>
        <v>0</v>
      </c>
      <c r="BC35" s="210">
        <f>(0.4*AL10+0.3*AQ10)/10</f>
        <v>0</v>
      </c>
      <c r="BD35" s="201">
        <f>((AE10+1)+(AH10+1)*2)/8</f>
        <v>4.0122222222222224</v>
      </c>
      <c r="BE35" s="201">
        <f>((AL10)+(AO10)*2)/8</f>
        <v>4.9999999999999822E-2</v>
      </c>
    </row>
    <row r="36" spans="3:57" x14ac:dyDescent="0.25">
      <c r="C36" s="167"/>
      <c r="D36" s="119"/>
      <c r="G36" s="69"/>
      <c r="H36" s="56"/>
      <c r="J36" s="69"/>
      <c r="K36" s="69"/>
      <c r="M36" s="168"/>
      <c r="T36" s="69"/>
      <c r="U36" s="69"/>
      <c r="V36" s="69"/>
      <c r="W36" s="69"/>
      <c r="X36" s="69"/>
      <c r="Y36" s="69"/>
      <c r="Z36" s="69"/>
      <c r="AA36" s="69"/>
      <c r="AB36" s="69"/>
      <c r="AC36" s="69"/>
      <c r="AD36" s="69"/>
      <c r="AE36" s="69"/>
      <c r="AF36" s="69"/>
      <c r="AG36" s="69"/>
      <c r="AH36" s="69"/>
      <c r="AI36" s="69"/>
      <c r="AJ36" s="69"/>
      <c r="AS36" s="211" t="s">
        <v>249</v>
      </c>
      <c r="AT36" s="195" t="str">
        <f>D7</f>
        <v>Mateuz Brzostowski</v>
      </c>
      <c r="AU36" s="196">
        <v>0</v>
      </c>
      <c r="AV36" s="196">
        <f>AL7*0.754</f>
        <v>0</v>
      </c>
      <c r="AW36" s="196">
        <f>AL7*0.708</f>
        <v>0</v>
      </c>
      <c r="AX36" s="196">
        <f>AM7*0.165</f>
        <v>0</v>
      </c>
      <c r="AY36" s="196">
        <v>0</v>
      </c>
      <c r="AZ36" s="196">
        <f>AN7*0.286</f>
        <v>0</v>
      </c>
      <c r="BA36" s="196">
        <v>0</v>
      </c>
      <c r="BB36" s="210">
        <f>(0.5*AP7+0.3*AQ7)/10</f>
        <v>0</v>
      </c>
      <c r="BC36" s="210">
        <f>(0.4*AL7+0.3*AQ7)/10</f>
        <v>0</v>
      </c>
      <c r="BD36" s="201">
        <f>((AE7+1)+(AH7+1)*2)/8</f>
        <v>4.4207142857142854</v>
      </c>
      <c r="BE36" s="201">
        <f>((AL7)+(AO7)*2)/8</f>
        <v>3.5714285714285587E-2</v>
      </c>
    </row>
    <row r="37" spans="3:57" x14ac:dyDescent="0.25">
      <c r="C37" s="167"/>
      <c r="D37" s="119"/>
      <c r="G37" s="69"/>
      <c r="H37" s="56"/>
      <c r="J37" s="69"/>
      <c r="K37" s="69"/>
      <c r="M37" s="168"/>
      <c r="T37" s="69"/>
      <c r="U37" s="69"/>
      <c r="V37" s="69"/>
      <c r="W37" s="69"/>
      <c r="X37" s="69"/>
      <c r="Y37" s="69"/>
      <c r="Z37" s="69"/>
      <c r="AA37" s="69"/>
      <c r="AB37" s="69"/>
      <c r="AC37" s="69"/>
      <c r="AD37" s="69"/>
      <c r="AE37" s="69"/>
      <c r="AF37" s="69"/>
      <c r="AG37" s="69"/>
      <c r="AH37" s="69"/>
      <c r="AI37" s="69"/>
      <c r="AJ37" s="69"/>
      <c r="AS37" s="126" t="s">
        <v>240</v>
      </c>
      <c r="AT37" s="26" t="str">
        <f>AT20</f>
        <v>Csaba Mező</v>
      </c>
      <c r="AU37" s="202">
        <f>AU7</f>
        <v>0</v>
      </c>
      <c r="AV37" s="202">
        <f t="shared" ref="AV37:BE37" si="68">AV7</f>
        <v>0</v>
      </c>
      <c r="AW37" s="202">
        <f t="shared" si="68"/>
        <v>0</v>
      </c>
      <c r="AX37" s="202">
        <f t="shared" si="68"/>
        <v>0</v>
      </c>
      <c r="AY37" s="202">
        <f t="shared" si="68"/>
        <v>0</v>
      </c>
      <c r="AZ37" s="202">
        <f t="shared" si="68"/>
        <v>0</v>
      </c>
      <c r="BA37" s="202">
        <f t="shared" si="68"/>
        <v>0</v>
      </c>
      <c r="BB37" s="202">
        <f t="shared" si="68"/>
        <v>0</v>
      </c>
      <c r="BC37" s="202">
        <f t="shared" si="68"/>
        <v>0</v>
      </c>
      <c r="BD37" s="202">
        <f t="shared" si="68"/>
        <v>4.2818749999999994</v>
      </c>
      <c r="BE37" s="202">
        <f t="shared" si="68"/>
        <v>1.5625E-2</v>
      </c>
    </row>
    <row r="38" spans="3:57" x14ac:dyDescent="0.25">
      <c r="C38" s="167"/>
      <c r="D38" s="119"/>
      <c r="G38" s="69"/>
      <c r="H38" s="56"/>
      <c r="J38" s="69"/>
      <c r="K38" s="69"/>
      <c r="M38" s="168"/>
      <c r="T38" s="69"/>
      <c r="U38" s="69"/>
      <c r="V38" s="69"/>
      <c r="W38" s="69"/>
      <c r="X38" s="69"/>
      <c r="Y38" s="69"/>
      <c r="Z38" s="69"/>
      <c r="AA38" s="69"/>
      <c r="AB38" s="69"/>
      <c r="AC38" s="69"/>
      <c r="AD38" s="69"/>
      <c r="AE38" s="69"/>
      <c r="AF38" s="69"/>
      <c r="AG38" s="69"/>
      <c r="AH38" s="69"/>
      <c r="AI38" s="69"/>
      <c r="AJ38" s="69"/>
      <c r="AS38" s="126" t="s">
        <v>242</v>
      </c>
      <c r="AT38" s="26" t="str">
        <f>AT22</f>
        <v>Gianfranco Rezza</v>
      </c>
      <c r="AU38" s="202">
        <f>AU22</f>
        <v>0</v>
      </c>
      <c r="AV38" s="202">
        <f t="shared" ref="AV38:BE38" si="69">AV22</f>
        <v>0</v>
      </c>
      <c r="AW38" s="202">
        <f t="shared" si="69"/>
        <v>0</v>
      </c>
      <c r="AX38" s="202">
        <f t="shared" si="69"/>
        <v>0</v>
      </c>
      <c r="AY38" s="202">
        <f t="shared" si="69"/>
        <v>1.5750000000000111E-2</v>
      </c>
      <c r="AZ38" s="202">
        <f t="shared" si="69"/>
        <v>1.5750000000000111E-2</v>
      </c>
      <c r="BA38" s="202">
        <f t="shared" si="69"/>
        <v>4.2250000000000301E-2</v>
      </c>
      <c r="BB38" s="202">
        <f t="shared" si="69"/>
        <v>0</v>
      </c>
      <c r="BC38" s="202">
        <f t="shared" si="69"/>
        <v>0</v>
      </c>
      <c r="BD38" s="202">
        <f t="shared" si="69"/>
        <v>0</v>
      </c>
      <c r="BE38" s="202">
        <f t="shared" si="69"/>
        <v>0</v>
      </c>
    </row>
    <row r="39" spans="3:57" x14ac:dyDescent="0.25">
      <c r="C39" s="167"/>
      <c r="D39" s="119"/>
      <c r="G39" s="69"/>
      <c r="H39" s="56"/>
      <c r="J39" s="69"/>
      <c r="K39" s="69"/>
      <c r="M39" s="168"/>
      <c r="T39" s="69"/>
      <c r="U39" s="69"/>
      <c r="V39" s="69"/>
      <c r="W39" s="69"/>
      <c r="X39" s="69"/>
      <c r="Y39" s="69"/>
      <c r="Z39" s="69"/>
      <c r="AA39" s="69"/>
      <c r="AB39" s="69"/>
      <c r="AC39" s="69"/>
      <c r="AD39" s="69"/>
      <c r="AE39" s="69"/>
      <c r="AF39" s="69"/>
      <c r="AG39" s="69"/>
      <c r="AH39" s="69"/>
      <c r="AI39" s="69"/>
      <c r="AJ39" s="69"/>
      <c r="AS39" s="126" t="s">
        <v>242</v>
      </c>
      <c r="AT39" s="26" t="str">
        <f>AT26</f>
        <v>Adam Moss</v>
      </c>
      <c r="AU39" s="202">
        <f>AL17*0.038</f>
        <v>0</v>
      </c>
      <c r="AV39" s="202">
        <f>AL17*0.077</f>
        <v>0</v>
      </c>
      <c r="AW39" s="202">
        <f>AL17*0.162</f>
        <v>0</v>
      </c>
      <c r="AX39" s="202">
        <f>AM17*0.944</f>
        <v>0</v>
      </c>
      <c r="AY39" s="202">
        <f>(AO17*0.126)</f>
        <v>9.6923076923076581E-3</v>
      </c>
      <c r="AZ39" s="202">
        <f>(AO17*0.251)</f>
        <v>1.9307692307692238E-2</v>
      </c>
      <c r="BA39" s="202">
        <f>(AO17*0.507)+(AP17*0.31)</f>
        <v>3.8999999999999861E-2</v>
      </c>
      <c r="BB39" s="210">
        <f>(0.5*AP17+0.3*AQ17)/10</f>
        <v>0</v>
      </c>
      <c r="BC39" s="210">
        <f>(0.4*AL17+0.3*AQ17)/10</f>
        <v>0</v>
      </c>
      <c r="BD39" s="210">
        <v>0</v>
      </c>
      <c r="BE39" s="210">
        <v>0</v>
      </c>
    </row>
    <row r="40" spans="3:57" x14ac:dyDescent="0.25">
      <c r="C40" s="167"/>
      <c r="D40" s="119"/>
      <c r="G40" s="69"/>
      <c r="H40" s="56"/>
      <c r="J40" s="69"/>
      <c r="K40" s="69"/>
      <c r="M40" s="168"/>
      <c r="T40" s="69"/>
      <c r="U40" s="69"/>
      <c r="V40" s="69"/>
      <c r="W40" s="69"/>
      <c r="X40" s="69"/>
      <c r="Y40" s="69"/>
      <c r="Z40" s="69"/>
      <c r="AA40" s="69"/>
      <c r="AB40" s="69"/>
      <c r="AC40" s="69"/>
      <c r="AD40" s="69"/>
      <c r="AE40" s="69"/>
      <c r="AF40" s="69"/>
      <c r="AG40" s="69"/>
      <c r="AH40" s="69"/>
      <c r="AI40" s="69"/>
      <c r="AJ40" s="69"/>
      <c r="AS40" s="126" t="s">
        <v>241</v>
      </c>
      <c r="AT40" s="26" t="str">
        <f>AT25</f>
        <v>Cezary Pauch</v>
      </c>
      <c r="AU40" s="202">
        <f>AU25</f>
        <v>0</v>
      </c>
      <c r="AV40" s="202">
        <f t="shared" ref="AV40:BE40" si="70">AV25</f>
        <v>0</v>
      </c>
      <c r="AW40" s="202">
        <f t="shared" si="70"/>
        <v>0</v>
      </c>
      <c r="AX40" s="202">
        <f t="shared" si="70"/>
        <v>0</v>
      </c>
      <c r="AY40" s="202">
        <f t="shared" si="70"/>
        <v>0</v>
      </c>
      <c r="AZ40" s="202">
        <f t="shared" si="70"/>
        <v>2.7111111111111013E-2</v>
      </c>
      <c r="BA40" s="202">
        <f t="shared" si="70"/>
        <v>1.3444444444444396E-2</v>
      </c>
      <c r="BB40" s="202">
        <f t="shared" si="70"/>
        <v>0</v>
      </c>
      <c r="BC40" s="202">
        <f t="shared" si="70"/>
        <v>0</v>
      </c>
      <c r="BD40" s="202">
        <f t="shared" si="70"/>
        <v>0</v>
      </c>
      <c r="BE40" s="202">
        <f t="shared" si="70"/>
        <v>0</v>
      </c>
    </row>
    <row r="41" spans="3:57" x14ac:dyDescent="0.25">
      <c r="C41" s="167"/>
      <c r="D41" s="119"/>
      <c r="G41" s="69"/>
      <c r="H41" s="56"/>
      <c r="J41" s="69"/>
      <c r="K41" s="69"/>
      <c r="M41" s="168"/>
      <c r="T41" s="69"/>
      <c r="U41" s="69"/>
      <c r="V41" s="69"/>
      <c r="W41" s="69"/>
      <c r="X41" s="69"/>
      <c r="Y41" s="69"/>
      <c r="Z41" s="69"/>
      <c r="AA41" s="69"/>
      <c r="AB41" s="69"/>
      <c r="AC41" s="69"/>
      <c r="AD41" s="69"/>
      <c r="AE41" s="69"/>
      <c r="AF41" s="69"/>
      <c r="AG41" s="69"/>
      <c r="AH41" s="69"/>
      <c r="AI41" s="69"/>
      <c r="AJ41" s="69"/>
      <c r="AS41" s="211" t="s">
        <v>44</v>
      </c>
      <c r="AT41" s="195" t="str">
        <f>AT26</f>
        <v>Adam Moss</v>
      </c>
      <c r="AU41" s="202">
        <f t="shared" ref="AU41:BE42" si="71">AU26</f>
        <v>0</v>
      </c>
      <c r="AV41" s="202">
        <f t="shared" si="71"/>
        <v>0</v>
      </c>
      <c r="AW41" s="202">
        <f t="shared" si="71"/>
        <v>0</v>
      </c>
      <c r="AX41" s="202">
        <f t="shared" si="71"/>
        <v>0</v>
      </c>
      <c r="AY41" s="202">
        <f t="shared" si="71"/>
        <v>1.0923076923076883E-2</v>
      </c>
      <c r="AZ41" s="202">
        <f t="shared" si="71"/>
        <v>1.0923076923076883E-2</v>
      </c>
      <c r="BA41" s="202">
        <f t="shared" si="71"/>
        <v>2.8384615384615283E-2</v>
      </c>
      <c r="BB41" s="202">
        <f t="shared" si="71"/>
        <v>0</v>
      </c>
      <c r="BC41" s="202">
        <f t="shared" si="71"/>
        <v>0</v>
      </c>
      <c r="BD41" s="202">
        <f t="shared" si="71"/>
        <v>0</v>
      </c>
      <c r="BE41" s="202">
        <f t="shared" si="71"/>
        <v>0</v>
      </c>
    </row>
    <row r="42" spans="3:57" x14ac:dyDescent="0.25">
      <c r="C42" s="167"/>
      <c r="D42" s="119"/>
      <c r="G42" s="69"/>
      <c r="H42" s="56"/>
      <c r="J42" s="69"/>
      <c r="K42" s="69"/>
      <c r="M42" s="168"/>
      <c r="T42" s="69"/>
      <c r="U42" s="69"/>
      <c r="V42" s="69"/>
      <c r="W42" s="69"/>
      <c r="X42" s="69"/>
      <c r="Y42" s="69"/>
      <c r="Z42" s="69"/>
      <c r="AA42" s="69"/>
      <c r="AB42" s="69"/>
      <c r="AC42" s="69"/>
      <c r="AD42" s="69"/>
      <c r="AE42" s="69"/>
      <c r="AF42" s="69"/>
      <c r="AG42" s="69"/>
      <c r="AH42" s="69"/>
      <c r="AI42" s="69"/>
      <c r="AJ42" s="69"/>
      <c r="AS42" s="126" t="s">
        <v>44</v>
      </c>
      <c r="AT42" s="26" t="str">
        <f>AT27</f>
        <v>Rasheed Da'na</v>
      </c>
      <c r="AU42" s="202">
        <f t="shared" si="71"/>
        <v>0</v>
      </c>
      <c r="AV42" s="202">
        <f t="shared" si="71"/>
        <v>0</v>
      </c>
      <c r="AW42" s="202">
        <f t="shared" si="71"/>
        <v>0</v>
      </c>
      <c r="AX42" s="202">
        <f t="shared" si="71"/>
        <v>0</v>
      </c>
      <c r="AY42" s="202">
        <f t="shared" si="71"/>
        <v>1.0923076923076883E-2</v>
      </c>
      <c r="AZ42" s="202">
        <f t="shared" si="71"/>
        <v>1.0923076923076883E-2</v>
      </c>
      <c r="BA42" s="202">
        <f t="shared" si="71"/>
        <v>2.8384615384615283E-2</v>
      </c>
      <c r="BB42" s="202">
        <f t="shared" si="71"/>
        <v>0</v>
      </c>
      <c r="BC42" s="202">
        <f t="shared" si="71"/>
        <v>0</v>
      </c>
      <c r="BD42" s="202">
        <f t="shared" si="71"/>
        <v>0</v>
      </c>
      <c r="BE42" s="202">
        <f t="shared" si="71"/>
        <v>0</v>
      </c>
    </row>
    <row r="43" spans="3:57" x14ac:dyDescent="0.25">
      <c r="C43" s="167"/>
      <c r="D43" s="119"/>
      <c r="G43" s="69"/>
      <c r="H43" s="56"/>
      <c r="J43" s="69"/>
      <c r="K43" s="69"/>
      <c r="M43" s="168"/>
      <c r="T43" s="69"/>
      <c r="U43" s="69"/>
      <c r="V43" s="69"/>
      <c r="W43" s="69"/>
      <c r="X43" s="69"/>
      <c r="Y43" s="69"/>
      <c r="Z43" s="69"/>
      <c r="AA43" s="69"/>
      <c r="AB43" s="69"/>
      <c r="AC43" s="69"/>
      <c r="AD43" s="69"/>
      <c r="AE43" s="69"/>
      <c r="AF43" s="69"/>
      <c r="AG43" s="69"/>
      <c r="AH43" s="69"/>
      <c r="AI43" s="69"/>
      <c r="AJ43" s="69"/>
    </row>
    <row r="44" spans="3:57" x14ac:dyDescent="0.25">
      <c r="C44" s="167"/>
      <c r="D44" s="119"/>
      <c r="G44" s="69"/>
      <c r="H44" s="56"/>
      <c r="J44" s="69"/>
      <c r="K44" s="69"/>
      <c r="M44" s="168"/>
      <c r="T44" s="69"/>
      <c r="U44" s="69"/>
      <c r="V44" s="69"/>
      <c r="W44" s="69"/>
      <c r="X44" s="69"/>
      <c r="Y44" s="69"/>
      <c r="Z44" s="69"/>
      <c r="AA44" s="69"/>
      <c r="AB44" s="69"/>
      <c r="AC44" s="69"/>
      <c r="AD44" s="69"/>
      <c r="AE44" s="69"/>
      <c r="AF44" s="69"/>
      <c r="AG44" s="69"/>
      <c r="AH44" s="69"/>
      <c r="AI44" s="69"/>
      <c r="AJ44" s="69"/>
    </row>
    <row r="45" spans="3:57" x14ac:dyDescent="0.25">
      <c r="C45" s="167"/>
      <c r="D45" s="119"/>
      <c r="G45" s="69"/>
      <c r="H45" s="56"/>
      <c r="J45" s="69"/>
      <c r="K45" s="69"/>
      <c r="M45" s="168"/>
      <c r="T45" s="69"/>
      <c r="U45" s="69"/>
      <c r="V45" s="69"/>
      <c r="W45" s="69"/>
      <c r="X45" s="69"/>
      <c r="Y45" s="69"/>
      <c r="Z45" s="69"/>
      <c r="AA45" s="69"/>
      <c r="AB45" s="69"/>
      <c r="AC45" s="69"/>
      <c r="AD45" s="69"/>
      <c r="AE45" s="69"/>
      <c r="AF45" s="69"/>
      <c r="AG45" s="69"/>
      <c r="AH45" s="69"/>
      <c r="AI45" s="69"/>
      <c r="AJ45" s="69"/>
    </row>
    <row r="46" spans="3:57" x14ac:dyDescent="0.25">
      <c r="C46" s="167"/>
      <c r="D46" s="119"/>
      <c r="G46" s="69"/>
      <c r="H46" s="56"/>
      <c r="J46" s="69"/>
      <c r="K46" s="69"/>
      <c r="M46" s="168"/>
      <c r="T46" s="69"/>
      <c r="U46" s="69"/>
      <c r="V46" s="69"/>
      <c r="W46" s="69"/>
      <c r="X46" s="69"/>
      <c r="Y46" s="69"/>
      <c r="Z46" s="69"/>
      <c r="AA46" s="69"/>
      <c r="AB46" s="69"/>
      <c r="AC46" s="69"/>
      <c r="AD46" s="69"/>
      <c r="AE46" s="69"/>
      <c r="AF46" s="69"/>
      <c r="AG46" s="69"/>
      <c r="AH46" s="69"/>
      <c r="AI46" s="69"/>
      <c r="AJ46" s="69"/>
    </row>
    <row r="47" spans="3:57" x14ac:dyDescent="0.25">
      <c r="C47" s="167"/>
      <c r="D47" s="119"/>
      <c r="G47" s="69"/>
      <c r="H47" s="56"/>
      <c r="J47" s="69"/>
      <c r="K47" s="69"/>
      <c r="M47" s="168"/>
      <c r="T47" s="69"/>
      <c r="U47" s="69"/>
      <c r="V47" s="69"/>
      <c r="W47" s="69"/>
      <c r="X47" s="69"/>
      <c r="Y47" s="69"/>
      <c r="Z47" s="69"/>
      <c r="AA47" s="69"/>
      <c r="AB47" s="69"/>
      <c r="AC47" s="69"/>
      <c r="AD47" s="69"/>
      <c r="AE47" s="69"/>
      <c r="AF47" s="69"/>
      <c r="AG47" s="69"/>
      <c r="AH47" s="69"/>
      <c r="AI47" s="69"/>
      <c r="AJ47" s="69"/>
    </row>
    <row r="48" spans="3:57" x14ac:dyDescent="0.25">
      <c r="C48" s="167"/>
      <c r="D48" s="119"/>
      <c r="G48" s="69"/>
      <c r="H48" s="56"/>
      <c r="J48" s="69"/>
      <c r="K48" s="69"/>
      <c r="M48" s="168"/>
      <c r="T48" s="69"/>
      <c r="U48" s="69"/>
      <c r="V48" s="69"/>
      <c r="W48" s="69"/>
      <c r="X48" s="69"/>
      <c r="Y48" s="69"/>
      <c r="Z48" s="69"/>
      <c r="AA48" s="69"/>
      <c r="AB48" s="69"/>
      <c r="AC48" s="69"/>
      <c r="AD48" s="69"/>
      <c r="AE48" s="69"/>
      <c r="AF48" s="69"/>
      <c r="AG48" s="69"/>
      <c r="AH48" s="69"/>
      <c r="AI48" s="69"/>
      <c r="AJ48" s="69"/>
    </row>
    <row r="49" spans="3:36" x14ac:dyDescent="0.25">
      <c r="C49" s="167"/>
      <c r="D49" s="119"/>
      <c r="G49" s="69"/>
      <c r="H49" s="56"/>
      <c r="J49" s="69"/>
      <c r="K49" s="69"/>
      <c r="M49" s="168"/>
      <c r="T49" s="69"/>
      <c r="U49" s="69"/>
      <c r="V49" s="69"/>
      <c r="W49" s="69"/>
      <c r="X49" s="69"/>
      <c r="Y49" s="69"/>
      <c r="Z49" s="69"/>
      <c r="AA49" s="69"/>
      <c r="AB49" s="69"/>
      <c r="AC49" s="69"/>
      <c r="AD49" s="69"/>
      <c r="AE49" s="69"/>
      <c r="AF49" s="69"/>
      <c r="AG49" s="69"/>
      <c r="AH49" s="69"/>
      <c r="AI49" s="69"/>
      <c r="AJ49" s="69"/>
    </row>
    <row r="50" spans="3:36" x14ac:dyDescent="0.25">
      <c r="C50" s="167"/>
      <c r="D50" s="119"/>
      <c r="G50" s="69"/>
      <c r="H50" s="56"/>
      <c r="J50" s="69"/>
      <c r="K50" s="69"/>
      <c r="M50" s="168"/>
      <c r="T50" s="69"/>
      <c r="U50" s="69"/>
      <c r="V50" s="69"/>
      <c r="W50" s="69"/>
      <c r="X50" s="69"/>
      <c r="Y50" s="69"/>
      <c r="Z50" s="69"/>
      <c r="AA50" s="69"/>
      <c r="AB50" s="69"/>
      <c r="AC50" s="69"/>
      <c r="AD50" s="69"/>
      <c r="AE50" s="69"/>
      <c r="AF50" s="69"/>
      <c r="AG50" s="69"/>
      <c r="AH50" s="69"/>
      <c r="AI50" s="69"/>
      <c r="AJ50" s="69"/>
    </row>
    <row r="51" spans="3:36" x14ac:dyDescent="0.25">
      <c r="C51" s="167"/>
      <c r="D51" s="119"/>
      <c r="G51" s="69"/>
      <c r="H51" s="56"/>
      <c r="J51" s="69"/>
      <c r="K51" s="69"/>
      <c r="M51" s="168"/>
      <c r="T51" s="69"/>
      <c r="U51" s="69"/>
      <c r="V51" s="69"/>
      <c r="W51" s="69"/>
      <c r="X51" s="69"/>
      <c r="Y51" s="69"/>
      <c r="Z51" s="69"/>
      <c r="AA51" s="69"/>
      <c r="AB51" s="69"/>
      <c r="AC51" s="69"/>
      <c r="AD51" s="69"/>
      <c r="AE51" s="69"/>
      <c r="AF51" s="69"/>
      <c r="AG51" s="69"/>
      <c r="AH51" s="69"/>
      <c r="AI51" s="69"/>
      <c r="AJ51" s="69"/>
    </row>
    <row r="52" spans="3:36" x14ac:dyDescent="0.25">
      <c r="C52" s="167"/>
      <c r="D52" s="119"/>
      <c r="G52" s="69"/>
      <c r="H52" s="56"/>
      <c r="J52" s="69"/>
      <c r="K52" s="69"/>
      <c r="M52" s="168"/>
      <c r="T52" s="69"/>
      <c r="U52" s="69"/>
      <c r="V52" s="69"/>
      <c r="W52" s="69"/>
      <c r="X52" s="69"/>
      <c r="Y52" s="69"/>
      <c r="Z52" s="69"/>
      <c r="AA52" s="69"/>
      <c r="AB52" s="69"/>
      <c r="AC52" s="69"/>
      <c r="AD52" s="69"/>
      <c r="AE52" s="69"/>
      <c r="AF52" s="69"/>
      <c r="AG52" s="69"/>
      <c r="AH52" s="69"/>
      <c r="AI52" s="69"/>
      <c r="AJ52" s="69"/>
    </row>
    <row r="53" spans="3:36" x14ac:dyDescent="0.25">
      <c r="C53" s="167"/>
      <c r="D53" s="119"/>
      <c r="G53" s="69"/>
      <c r="H53" s="56"/>
      <c r="J53" s="69"/>
      <c r="K53" s="69"/>
      <c r="M53" s="168"/>
      <c r="T53" s="69"/>
      <c r="U53" s="69"/>
      <c r="V53" s="69"/>
      <c r="W53" s="69"/>
      <c r="X53" s="69"/>
      <c r="Y53" s="69"/>
      <c r="Z53" s="69"/>
      <c r="AA53" s="69"/>
      <c r="AB53" s="69"/>
      <c r="AC53" s="69"/>
      <c r="AD53" s="69"/>
      <c r="AE53" s="69"/>
      <c r="AF53" s="69"/>
      <c r="AG53" s="69"/>
      <c r="AH53" s="69"/>
      <c r="AI53" s="69"/>
      <c r="AJ53" s="69"/>
    </row>
    <row r="54" spans="3:36" x14ac:dyDescent="0.25">
      <c r="C54" s="167"/>
      <c r="D54" s="119"/>
      <c r="G54" s="69"/>
      <c r="H54" s="56"/>
      <c r="J54" s="69"/>
      <c r="K54" s="69"/>
      <c r="M54" s="168"/>
      <c r="T54" s="69"/>
      <c r="U54" s="69"/>
      <c r="V54" s="69"/>
      <c r="W54" s="69"/>
      <c r="X54" s="69"/>
      <c r="Y54" s="69"/>
      <c r="Z54" s="69"/>
      <c r="AA54" s="69"/>
      <c r="AB54" s="69"/>
      <c r="AC54" s="69"/>
      <c r="AD54" s="69"/>
      <c r="AE54" s="69"/>
      <c r="AF54" s="69"/>
      <c r="AG54" s="69"/>
      <c r="AH54" s="69"/>
      <c r="AI54" s="69"/>
      <c r="AJ54" s="69"/>
    </row>
    <row r="55" spans="3:36" x14ac:dyDescent="0.25">
      <c r="C55" s="167"/>
      <c r="D55" s="119"/>
      <c r="G55" s="69"/>
      <c r="H55" s="56"/>
      <c r="J55" s="69"/>
      <c r="K55" s="69"/>
      <c r="M55" s="168"/>
      <c r="T55" s="69"/>
      <c r="U55" s="69"/>
      <c r="V55" s="69"/>
      <c r="W55" s="69"/>
      <c r="X55" s="69"/>
      <c r="Y55" s="69"/>
      <c r="Z55" s="69"/>
      <c r="AA55" s="69"/>
      <c r="AB55" s="69"/>
      <c r="AC55" s="69"/>
      <c r="AD55" s="69"/>
      <c r="AE55" s="69"/>
      <c r="AF55" s="69"/>
      <c r="AG55" s="69"/>
      <c r="AH55" s="69"/>
      <c r="AI55" s="69"/>
      <c r="AJ55" s="69"/>
    </row>
    <row r="56" spans="3:36" x14ac:dyDescent="0.25">
      <c r="C56" s="167"/>
      <c r="D56" s="119"/>
      <c r="G56" s="69"/>
      <c r="H56" s="56"/>
      <c r="J56" s="69"/>
      <c r="K56" s="69"/>
      <c r="M56" s="168"/>
      <c r="T56" s="69"/>
      <c r="U56" s="69"/>
      <c r="V56" s="69"/>
      <c r="W56" s="69"/>
      <c r="X56" s="69"/>
      <c r="Y56" s="69"/>
      <c r="Z56" s="69"/>
      <c r="AA56" s="69"/>
      <c r="AB56" s="69"/>
      <c r="AC56" s="69"/>
      <c r="AD56" s="69"/>
      <c r="AE56" s="69"/>
      <c r="AF56" s="69"/>
      <c r="AG56" s="69"/>
      <c r="AH56" s="69"/>
      <c r="AI56" s="69"/>
      <c r="AJ56" s="69"/>
    </row>
    <row r="57" spans="3:36" x14ac:dyDescent="0.25">
      <c r="C57" s="167"/>
      <c r="D57" s="119"/>
      <c r="G57" s="69"/>
      <c r="H57" s="56"/>
      <c r="J57" s="69"/>
      <c r="K57" s="69"/>
      <c r="M57" s="168"/>
      <c r="T57" s="69"/>
      <c r="U57" s="69"/>
      <c r="V57" s="69"/>
      <c r="W57" s="69"/>
      <c r="X57" s="69"/>
      <c r="Y57" s="69"/>
      <c r="Z57" s="69"/>
      <c r="AA57" s="69"/>
      <c r="AB57" s="69"/>
      <c r="AC57" s="69"/>
      <c r="AD57" s="69"/>
      <c r="AE57" s="69"/>
      <c r="AF57" s="69"/>
      <c r="AG57" s="69"/>
      <c r="AH57" s="69"/>
      <c r="AI57" s="69"/>
      <c r="AJ57" s="69"/>
    </row>
    <row r="58" spans="3:36" x14ac:dyDescent="0.25">
      <c r="C58" s="167"/>
      <c r="D58" s="119"/>
      <c r="G58" s="69"/>
      <c r="H58" s="56"/>
      <c r="J58" s="69"/>
      <c r="K58" s="69"/>
      <c r="M58" s="168"/>
      <c r="T58" s="69"/>
      <c r="U58" s="69"/>
      <c r="V58" s="69"/>
      <c r="W58" s="69"/>
      <c r="X58" s="69"/>
      <c r="Y58" s="69"/>
      <c r="Z58" s="69"/>
      <c r="AA58" s="69"/>
      <c r="AB58" s="69"/>
      <c r="AC58" s="69"/>
      <c r="AD58" s="69"/>
      <c r="AE58" s="69"/>
      <c r="AF58" s="69"/>
      <c r="AG58" s="69"/>
      <c r="AH58" s="69"/>
      <c r="AI58" s="69"/>
      <c r="AJ58" s="69"/>
    </row>
    <row r="59" spans="3:36" x14ac:dyDescent="0.25">
      <c r="C59" s="167"/>
      <c r="D59" s="119"/>
      <c r="G59" s="69"/>
      <c r="H59" s="56"/>
      <c r="J59" s="69"/>
      <c r="K59" s="69"/>
      <c r="M59" s="168"/>
      <c r="T59" s="69"/>
      <c r="U59" s="69"/>
      <c r="V59" s="69"/>
      <c r="W59" s="69"/>
      <c r="X59" s="69"/>
      <c r="Y59" s="69"/>
      <c r="Z59" s="69"/>
      <c r="AA59" s="69"/>
      <c r="AB59" s="69"/>
      <c r="AC59" s="69"/>
      <c r="AD59" s="69"/>
      <c r="AE59" s="69"/>
      <c r="AF59" s="69"/>
      <c r="AG59" s="69"/>
      <c r="AH59" s="69"/>
      <c r="AI59" s="69"/>
      <c r="AJ59" s="69"/>
    </row>
    <row r="60" spans="3:36" x14ac:dyDescent="0.25">
      <c r="C60" s="167"/>
      <c r="D60" s="119"/>
      <c r="G60" s="69"/>
      <c r="H60" s="56"/>
      <c r="J60" s="69"/>
      <c r="K60" s="69"/>
      <c r="M60" s="168"/>
      <c r="T60" s="69"/>
      <c r="U60" s="69"/>
      <c r="V60" s="69"/>
      <c r="W60" s="69"/>
      <c r="X60" s="69"/>
      <c r="Y60" s="69"/>
      <c r="Z60" s="69"/>
      <c r="AA60" s="69"/>
      <c r="AB60" s="69"/>
      <c r="AC60" s="69"/>
      <c r="AD60" s="69"/>
      <c r="AE60" s="69"/>
      <c r="AF60" s="69"/>
      <c r="AG60" s="69"/>
      <c r="AH60" s="69"/>
      <c r="AI60" s="69"/>
      <c r="AJ60" s="69"/>
    </row>
    <row r="61" spans="3:36" x14ac:dyDescent="0.25">
      <c r="C61" s="167"/>
      <c r="D61" s="119"/>
      <c r="G61" s="69"/>
      <c r="H61" s="56"/>
      <c r="J61" s="69"/>
      <c r="K61" s="69"/>
      <c r="M61" s="168"/>
      <c r="T61" s="69"/>
      <c r="U61" s="69"/>
      <c r="V61" s="69"/>
      <c r="W61" s="69"/>
      <c r="X61" s="69"/>
      <c r="Y61" s="69"/>
      <c r="Z61" s="69"/>
      <c r="AA61" s="69"/>
      <c r="AB61" s="69"/>
      <c r="AC61" s="69"/>
      <c r="AD61" s="69"/>
      <c r="AE61" s="69"/>
      <c r="AF61" s="69"/>
      <c r="AG61" s="69"/>
      <c r="AH61" s="69"/>
      <c r="AI61" s="69"/>
      <c r="AJ61" s="69"/>
    </row>
    <row r="62" spans="3:36" x14ac:dyDescent="0.25">
      <c r="C62" s="167"/>
      <c r="D62" s="119"/>
      <c r="G62" s="69"/>
      <c r="H62" s="56"/>
      <c r="J62" s="69"/>
      <c r="K62" s="69"/>
      <c r="M62" s="168"/>
      <c r="T62" s="69"/>
      <c r="U62" s="69"/>
      <c r="V62" s="69"/>
      <c r="W62" s="69"/>
      <c r="X62" s="69"/>
      <c r="Y62" s="69"/>
      <c r="Z62" s="69"/>
      <c r="AA62" s="69"/>
      <c r="AB62" s="69"/>
      <c r="AC62" s="69"/>
      <c r="AD62" s="69"/>
      <c r="AE62" s="69"/>
      <c r="AF62" s="69"/>
      <c r="AG62" s="69"/>
      <c r="AH62" s="69"/>
      <c r="AI62" s="69"/>
      <c r="AJ62" s="69"/>
    </row>
    <row r="63" spans="3:36" x14ac:dyDescent="0.25">
      <c r="C63" s="167"/>
      <c r="D63" s="119"/>
      <c r="G63" s="69"/>
      <c r="H63" s="56"/>
      <c r="J63" s="69"/>
      <c r="K63" s="69"/>
      <c r="M63" s="168"/>
      <c r="T63" s="69"/>
      <c r="U63" s="69"/>
      <c r="V63" s="69"/>
      <c r="W63" s="69"/>
      <c r="X63" s="69"/>
      <c r="Y63" s="69"/>
      <c r="Z63" s="69"/>
      <c r="AA63" s="69"/>
      <c r="AB63" s="69"/>
      <c r="AC63" s="69"/>
      <c r="AD63" s="69"/>
      <c r="AE63" s="69"/>
      <c r="AF63" s="69"/>
      <c r="AG63" s="69"/>
      <c r="AH63" s="69"/>
      <c r="AI63" s="69"/>
      <c r="AJ63" s="69"/>
    </row>
    <row r="64" spans="3:36" x14ac:dyDescent="0.25">
      <c r="C64" s="167"/>
      <c r="D64" s="119"/>
      <c r="G64" s="69"/>
      <c r="H64" s="56"/>
      <c r="J64" s="69"/>
      <c r="K64" s="69"/>
      <c r="M64" s="168"/>
      <c r="T64" s="69"/>
      <c r="U64" s="69"/>
      <c r="V64" s="69"/>
      <c r="W64" s="69"/>
      <c r="X64" s="69"/>
      <c r="Y64" s="69"/>
      <c r="Z64" s="69"/>
      <c r="AA64" s="69"/>
      <c r="AB64" s="69"/>
      <c r="AC64" s="69"/>
      <c r="AD64" s="69"/>
      <c r="AE64" s="69"/>
      <c r="AF64" s="69"/>
      <c r="AG64" s="69"/>
      <c r="AH64" s="69"/>
      <c r="AI64" s="69"/>
      <c r="AJ64" s="69"/>
    </row>
    <row r="65" spans="3:36" x14ac:dyDescent="0.25">
      <c r="C65" s="167"/>
      <c r="D65" s="119"/>
      <c r="G65" s="69"/>
      <c r="H65" s="56"/>
      <c r="J65" s="69"/>
      <c r="K65" s="69"/>
      <c r="M65" s="168"/>
      <c r="T65" s="69"/>
      <c r="U65" s="69"/>
      <c r="V65" s="69"/>
      <c r="W65" s="69"/>
      <c r="X65" s="69"/>
      <c r="Y65" s="69"/>
      <c r="Z65" s="69"/>
      <c r="AA65" s="69"/>
      <c r="AB65" s="69"/>
      <c r="AC65" s="69"/>
      <c r="AD65" s="69"/>
      <c r="AE65" s="69"/>
      <c r="AF65" s="69"/>
      <c r="AG65" s="69"/>
      <c r="AH65" s="69"/>
      <c r="AI65" s="69"/>
      <c r="AJ65" s="69"/>
    </row>
    <row r="66" spans="3:36" x14ac:dyDescent="0.25">
      <c r="C66" s="167"/>
      <c r="D66" s="119"/>
      <c r="G66" s="69"/>
      <c r="H66" s="56"/>
      <c r="J66" s="69"/>
      <c r="K66" s="69"/>
      <c r="M66" s="168"/>
      <c r="T66" s="69"/>
      <c r="U66" s="69"/>
      <c r="V66" s="69"/>
      <c r="W66" s="69"/>
      <c r="X66" s="69"/>
      <c r="Y66" s="69"/>
      <c r="Z66" s="69"/>
      <c r="AA66" s="69"/>
      <c r="AB66" s="69"/>
      <c r="AC66" s="69"/>
      <c r="AD66" s="69"/>
      <c r="AE66" s="69"/>
      <c r="AF66" s="69"/>
      <c r="AG66" s="69"/>
      <c r="AH66" s="69"/>
      <c r="AI66" s="69"/>
      <c r="AJ66" s="69"/>
    </row>
    <row r="67" spans="3:36" x14ac:dyDescent="0.25">
      <c r="C67" s="167"/>
      <c r="D67" s="119"/>
      <c r="G67" s="69"/>
      <c r="H67" s="56"/>
      <c r="J67" s="69"/>
      <c r="K67" s="69"/>
      <c r="M67" s="168"/>
      <c r="T67" s="69"/>
      <c r="U67" s="69"/>
      <c r="V67" s="69"/>
      <c r="W67" s="69"/>
      <c r="X67" s="69"/>
      <c r="Y67" s="69"/>
      <c r="Z67" s="69"/>
      <c r="AA67" s="69"/>
      <c r="AB67" s="69"/>
      <c r="AC67" s="69"/>
      <c r="AD67" s="69"/>
      <c r="AE67" s="69"/>
      <c r="AF67" s="69"/>
      <c r="AG67" s="69"/>
      <c r="AH67" s="69"/>
      <c r="AI67" s="69"/>
      <c r="AJ67" s="69"/>
    </row>
    <row r="68" spans="3:36" x14ac:dyDescent="0.25">
      <c r="C68" s="167"/>
      <c r="D68" s="119"/>
      <c r="G68" s="69"/>
      <c r="H68" s="56"/>
      <c r="J68" s="69"/>
      <c r="K68" s="69"/>
      <c r="M68" s="168"/>
      <c r="T68" s="69"/>
      <c r="U68" s="69"/>
      <c r="V68" s="69"/>
      <c r="W68" s="69"/>
      <c r="X68" s="69"/>
      <c r="Y68" s="69"/>
      <c r="Z68" s="69"/>
      <c r="AA68" s="69"/>
      <c r="AB68" s="69"/>
      <c r="AC68" s="69"/>
      <c r="AD68" s="69"/>
      <c r="AE68" s="69"/>
      <c r="AF68" s="69"/>
      <c r="AG68" s="69"/>
      <c r="AH68" s="69"/>
      <c r="AI68" s="69"/>
      <c r="AJ68" s="69"/>
    </row>
    <row r="69" spans="3:36" x14ac:dyDescent="0.25">
      <c r="C69" s="167"/>
      <c r="D69" s="119"/>
      <c r="G69" s="69"/>
      <c r="H69" s="56"/>
      <c r="J69" s="69"/>
      <c r="K69" s="69"/>
      <c r="M69" s="168"/>
      <c r="T69" s="69"/>
      <c r="U69" s="69"/>
      <c r="V69" s="69"/>
      <c r="W69" s="69"/>
      <c r="X69" s="69"/>
      <c r="Y69" s="69"/>
      <c r="Z69" s="69"/>
      <c r="AA69" s="69"/>
      <c r="AB69" s="69"/>
      <c r="AC69" s="69"/>
      <c r="AD69" s="69"/>
      <c r="AE69" s="69"/>
      <c r="AF69" s="69"/>
      <c r="AG69" s="69"/>
      <c r="AH69" s="69"/>
      <c r="AI69" s="69"/>
      <c r="AJ69" s="69"/>
    </row>
    <row r="70" spans="3:36" x14ac:dyDescent="0.25">
      <c r="C70" s="167"/>
      <c r="D70" s="119"/>
      <c r="G70" s="69"/>
      <c r="H70" s="56"/>
      <c r="J70" s="69"/>
      <c r="K70" s="69"/>
      <c r="M70" s="168"/>
      <c r="T70" s="69"/>
      <c r="U70" s="69"/>
      <c r="V70" s="69"/>
      <c r="W70" s="69"/>
      <c r="X70" s="69"/>
      <c r="Y70" s="69"/>
      <c r="Z70" s="69"/>
      <c r="AA70" s="69"/>
      <c r="AB70" s="69"/>
      <c r="AC70" s="69"/>
      <c r="AD70" s="69"/>
      <c r="AE70" s="69"/>
      <c r="AF70" s="69"/>
      <c r="AG70" s="69"/>
      <c r="AH70" s="69"/>
      <c r="AI70" s="69"/>
      <c r="AJ70" s="69"/>
    </row>
    <row r="71" spans="3:36" x14ac:dyDescent="0.25">
      <c r="C71" s="167"/>
      <c r="D71" s="119"/>
      <c r="G71" s="69"/>
      <c r="H71" s="56"/>
      <c r="J71" s="69"/>
      <c r="K71" s="69"/>
      <c r="M71" s="16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N35" sqref="N35"/>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5735</v>
      </c>
      <c r="C2">
        <v>5735</v>
      </c>
      <c r="N2" s="34" t="s">
        <v>54</v>
      </c>
    </row>
    <row r="3" spans="1:14" x14ac:dyDescent="0.25">
      <c r="A3" s="11" t="s">
        <v>17</v>
      </c>
      <c r="B3">
        <v>14490</v>
      </c>
      <c r="C3">
        <v>22460</v>
      </c>
      <c r="D3">
        <v>32580</v>
      </c>
      <c r="N3" s="34" t="s">
        <v>55</v>
      </c>
    </row>
    <row r="4" spans="1:14" x14ac:dyDescent="0.25">
      <c r="A4" s="11" t="s">
        <v>18</v>
      </c>
      <c r="B4">
        <v>0</v>
      </c>
      <c r="C4">
        <f t="shared" ref="C4:C7" si="0">B4</f>
        <v>0</v>
      </c>
      <c r="N4" s="34" t="s">
        <v>56</v>
      </c>
    </row>
    <row r="5" spans="1:14" x14ac:dyDescent="0.25">
      <c r="A5" s="11" t="s">
        <v>19</v>
      </c>
      <c r="B5">
        <v>125</v>
      </c>
      <c r="C5">
        <v>125</v>
      </c>
      <c r="N5" s="34" t="s">
        <v>57</v>
      </c>
    </row>
    <row r="6" spans="1:14" x14ac:dyDescent="0.25">
      <c r="A6" s="11" t="s">
        <v>20</v>
      </c>
      <c r="B6">
        <v>125</v>
      </c>
      <c r="C6">
        <v>125</v>
      </c>
      <c r="N6" s="34" t="s">
        <v>58</v>
      </c>
    </row>
    <row r="7" spans="1:14" x14ac:dyDescent="0.25">
      <c r="A7" s="37" t="s">
        <v>48</v>
      </c>
      <c r="B7" s="39">
        <v>1.6E-2</v>
      </c>
      <c r="C7" s="135">
        <f t="shared" si="0"/>
        <v>1.6E-2</v>
      </c>
      <c r="N7" s="34" t="s">
        <v>59</v>
      </c>
    </row>
    <row r="8" spans="1:14" x14ac:dyDescent="0.25">
      <c r="N8" s="34" t="s">
        <v>60</v>
      </c>
    </row>
    <row r="9" spans="1:14" x14ac:dyDescent="0.25">
      <c r="A9" s="38" t="s">
        <v>70</v>
      </c>
      <c r="B9" s="36">
        <f>SUM(B1:B6)*(1+B7)</f>
        <v>20802.599999999999</v>
      </c>
      <c r="C9" s="36">
        <f>SUM(C1:C6)*(1+C7)</f>
        <v>28900.12</v>
      </c>
      <c r="N9" s="34" t="s">
        <v>61</v>
      </c>
    </row>
    <row r="10" spans="1:14" x14ac:dyDescent="0.25">
      <c r="A10" s="38" t="s">
        <v>71</v>
      </c>
      <c r="B10" s="36">
        <f>B9*1.2</f>
        <v>24963.119999999999</v>
      </c>
      <c r="C10" s="36">
        <f>C9*1.2</f>
        <v>34680.144</v>
      </c>
      <c r="N10" s="34" t="s">
        <v>62</v>
      </c>
    </row>
    <row r="11" spans="1:14" x14ac:dyDescent="0.25">
      <c r="N11" s="34" t="s">
        <v>63</v>
      </c>
    </row>
    <row r="12" spans="1:14" x14ac:dyDescent="0.25">
      <c r="N12" s="34" t="s">
        <v>64</v>
      </c>
    </row>
    <row r="13" spans="1:14" x14ac:dyDescent="0.25">
      <c r="N13" s="34" t="s">
        <v>65</v>
      </c>
    </row>
    <row r="14" spans="1:14" x14ac:dyDescent="0.25">
      <c r="C14" s="40">
        <f>D3-B3</f>
        <v>18090</v>
      </c>
      <c r="N14" s="34" t="s">
        <v>66</v>
      </c>
    </row>
    <row r="15" spans="1:14" x14ac:dyDescent="0.25">
      <c r="C15">
        <f>(C3-B3)</f>
        <v>7970</v>
      </c>
      <c r="N15" s="34" t="s">
        <v>67</v>
      </c>
    </row>
    <row r="16" spans="1:14" x14ac:dyDescent="0.25">
      <c r="C16" s="136">
        <f>C15/C14</f>
        <v>0.44057490326147042</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193</v>
      </c>
      <c r="J1" s="70" t="s">
        <v>115</v>
      </c>
      <c r="K1" s="56" t="s">
        <v>194</v>
      </c>
      <c r="L1" s="56" t="s">
        <v>354</v>
      </c>
      <c r="M1" s="56" t="s">
        <v>355</v>
      </c>
      <c r="N1" s="56" t="s">
        <v>356</v>
      </c>
      <c r="P1" s="57" t="s">
        <v>113</v>
      </c>
      <c r="Q1" s="57" t="s">
        <v>114</v>
      </c>
      <c r="R1" s="57" t="s">
        <v>115</v>
      </c>
      <c r="S1" s="57" t="s">
        <v>116</v>
      </c>
      <c r="T1" s="57" t="s">
        <v>117</v>
      </c>
      <c r="U1" s="57" t="s">
        <v>118</v>
      </c>
    </row>
    <row r="2" spans="1:25" x14ac:dyDescent="0.25">
      <c r="A2" s="61" t="s">
        <v>107</v>
      </c>
      <c r="B2" s="62">
        <v>1.0529999999999999</v>
      </c>
      <c r="D2" s="234">
        <v>1</v>
      </c>
      <c r="E2" s="234">
        <v>1</v>
      </c>
      <c r="F2" s="234">
        <v>0</v>
      </c>
      <c r="G2" s="234">
        <v>0.3</v>
      </c>
      <c r="H2" s="235">
        <f t="shared" ref="H2:H4" si="0">D2+F2-G2</f>
        <v>0.7</v>
      </c>
      <c r="I2" s="148">
        <v>5</v>
      </c>
      <c r="J2" s="148">
        <f>40-37.5+0</f>
        <v>2.5</v>
      </c>
      <c r="K2" s="236">
        <f>16320*3</f>
        <v>48960</v>
      </c>
      <c r="L2" s="237">
        <f>H2-$H$4</f>
        <v>-0.48799999999999999</v>
      </c>
      <c r="M2" s="238">
        <f>L2*16</f>
        <v>-7.8079999999999998</v>
      </c>
      <c r="N2" s="239">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27">
        <v>1.0529999999999999</v>
      </c>
      <c r="E3" s="224">
        <v>1</v>
      </c>
      <c r="F3" s="227">
        <v>0.17499999999999999</v>
      </c>
      <c r="G3" s="224">
        <v>0.3</v>
      </c>
      <c r="H3" s="230">
        <f>D3+F3-G3</f>
        <v>0.92799999999999994</v>
      </c>
      <c r="I3" s="225">
        <v>5</v>
      </c>
      <c r="J3" s="225">
        <f t="shared" ref="J3:J12" si="1">40-37.5+25</f>
        <v>27.5</v>
      </c>
      <c r="K3" s="226">
        <f t="shared" ref="K3:K12" si="2">16320*3</f>
        <v>48960</v>
      </c>
      <c r="L3" s="231">
        <f>H3-$H$4</f>
        <v>-0.26</v>
      </c>
      <c r="M3" s="232">
        <f>L3*16</f>
        <v>-4.16</v>
      </c>
      <c r="N3" s="233">
        <f>M3*7</f>
        <v>-29.12</v>
      </c>
      <c r="O3" s="56"/>
      <c r="P3" s="58">
        <v>9</v>
      </c>
      <c r="Q3" s="59">
        <v>31.5</v>
      </c>
      <c r="R3" s="59">
        <v>22.5</v>
      </c>
      <c r="S3" s="60">
        <v>0.3</v>
      </c>
      <c r="T3" s="65">
        <v>24480</v>
      </c>
      <c r="U3" s="64">
        <v>2720</v>
      </c>
      <c r="W3" s="56"/>
      <c r="X3" s="56"/>
      <c r="Y3" s="56"/>
    </row>
    <row r="4" spans="1:25" x14ac:dyDescent="0.25">
      <c r="A4" s="61" t="s">
        <v>109</v>
      </c>
      <c r="B4" s="62">
        <v>0.90900000000000003</v>
      </c>
      <c r="D4" s="240">
        <v>1</v>
      </c>
      <c r="E4" s="240">
        <v>1</v>
      </c>
      <c r="F4" s="241">
        <v>0.28799999999999998</v>
      </c>
      <c r="G4" s="240">
        <v>0.1</v>
      </c>
      <c r="H4" s="242">
        <f t="shared" si="0"/>
        <v>1.1879999999999999</v>
      </c>
      <c r="I4" s="243">
        <v>5</v>
      </c>
      <c r="J4" s="243">
        <f t="shared" ref="J4:J9" si="3">40-37.5+25</f>
        <v>27.5</v>
      </c>
      <c r="K4" s="244">
        <f t="shared" si="2"/>
        <v>48960</v>
      </c>
      <c r="L4" s="245">
        <f t="shared" ref="L4:L8" si="4">H4-$H$4</f>
        <v>0</v>
      </c>
      <c r="M4" s="246">
        <f t="shared" ref="M4:M8" si="5">L4*16</f>
        <v>0</v>
      </c>
      <c r="N4" s="247">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23">
        <v>0.17499999999999999</v>
      </c>
      <c r="G5" s="71">
        <v>0.3</v>
      </c>
      <c r="H5" s="228">
        <f>D5+F5-G5</f>
        <v>0.875</v>
      </c>
      <c r="I5" s="221">
        <v>5</v>
      </c>
      <c r="J5" s="221">
        <f t="shared" si="3"/>
        <v>27.5</v>
      </c>
      <c r="K5" s="73">
        <f t="shared" si="2"/>
        <v>48960</v>
      </c>
      <c r="L5" s="229">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23">
        <v>1.0529999999999999</v>
      </c>
      <c r="E6" s="71">
        <v>1</v>
      </c>
      <c r="F6" s="71">
        <v>0.35</v>
      </c>
      <c r="G6" s="71">
        <v>0.05</v>
      </c>
      <c r="H6" s="228">
        <f>D6+F6-G6</f>
        <v>1.353</v>
      </c>
      <c r="I6" s="221">
        <v>5</v>
      </c>
      <c r="J6" s="221">
        <f t="shared" si="3"/>
        <v>27.5</v>
      </c>
      <c r="K6" s="73">
        <f t="shared" si="2"/>
        <v>48960</v>
      </c>
      <c r="L6" s="229">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28">
        <f>D7+F7-G7</f>
        <v>1.25</v>
      </c>
      <c r="I7" s="221">
        <v>5</v>
      </c>
      <c r="J7" s="221">
        <f t="shared" si="3"/>
        <v>27.5</v>
      </c>
      <c r="K7" s="73">
        <f t="shared" si="2"/>
        <v>48960</v>
      </c>
      <c r="L7" s="229">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23">
        <v>1.0529999999999999</v>
      </c>
      <c r="E8" s="71">
        <v>1</v>
      </c>
      <c r="F8" s="71">
        <v>0.35</v>
      </c>
      <c r="G8" s="71">
        <v>0.1</v>
      </c>
      <c r="H8" s="228">
        <f>D8+F8-G8</f>
        <v>1.3029999999999999</v>
      </c>
      <c r="I8" s="221">
        <v>5</v>
      </c>
      <c r="J8" s="221">
        <f t="shared" si="3"/>
        <v>27.5</v>
      </c>
      <c r="K8" s="73">
        <f t="shared" si="2"/>
        <v>48960</v>
      </c>
      <c r="L8" s="229">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28">
        <f>D9+F9-G9</f>
        <v>1.3</v>
      </c>
      <c r="I9" s="248">
        <v>5</v>
      </c>
      <c r="J9" s="248">
        <f t="shared" si="3"/>
        <v>27.5</v>
      </c>
      <c r="K9" s="73">
        <f t="shared" si="2"/>
        <v>48960</v>
      </c>
      <c r="L9" s="229">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21"/>
      <c r="E10" s="71"/>
      <c r="F10" s="221"/>
      <c r="G10" s="71"/>
      <c r="H10" s="228"/>
      <c r="I10" s="221">
        <v>5</v>
      </c>
      <c r="J10" s="221">
        <f t="shared" si="1"/>
        <v>27.5</v>
      </c>
      <c r="K10" s="73">
        <f t="shared" si="2"/>
        <v>48960</v>
      </c>
      <c r="P10" s="58">
        <v>2</v>
      </c>
      <c r="Q10" s="59">
        <v>7</v>
      </c>
      <c r="R10" s="59">
        <v>5</v>
      </c>
      <c r="S10" s="60">
        <v>6.6666666666666666E-2</v>
      </c>
      <c r="T10" s="65">
        <v>2040.0000000000002</v>
      </c>
      <c r="U10" s="64">
        <v>1020.0000000000001</v>
      </c>
    </row>
    <row r="11" spans="1:25" x14ac:dyDescent="0.25">
      <c r="D11" s="221"/>
      <c r="E11" s="71"/>
      <c r="F11" s="221"/>
      <c r="G11" s="71"/>
      <c r="H11" s="228"/>
      <c r="I11" s="221">
        <v>5</v>
      </c>
      <c r="J11" s="221">
        <f t="shared" si="1"/>
        <v>27.5</v>
      </c>
      <c r="K11" s="73">
        <f t="shared" si="2"/>
        <v>48960</v>
      </c>
      <c r="P11" s="58">
        <v>1</v>
      </c>
      <c r="Q11" s="59">
        <v>3.5</v>
      </c>
      <c r="R11" s="59">
        <v>2.5</v>
      </c>
      <c r="S11" s="60">
        <v>3.3333333333333333E-2</v>
      </c>
      <c r="T11" s="65">
        <v>1020.0000000000001</v>
      </c>
      <c r="U11" s="64">
        <v>1020.0000000000001</v>
      </c>
    </row>
    <row r="12" spans="1:25" x14ac:dyDescent="0.25">
      <c r="D12" s="221"/>
      <c r="E12" s="71"/>
      <c r="F12" s="221"/>
      <c r="G12" s="71"/>
      <c r="H12" s="228"/>
      <c r="I12" s="221">
        <v>5</v>
      </c>
      <c r="J12" s="221">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21"/>
      <c r="H17" s="42"/>
      <c r="I17" s="221"/>
      <c r="J17" s="42"/>
      <c r="K17" s="42"/>
      <c r="P17" s="61">
        <v>10</v>
      </c>
      <c r="Q17" s="61">
        <f>3.2*10</f>
        <v>32</v>
      </c>
      <c r="R17" s="66">
        <f>30/12*10</f>
        <v>25</v>
      </c>
      <c r="S17" s="67">
        <f>0.4/12*10</f>
        <v>0.33333333333333331</v>
      </c>
      <c r="T17" s="68">
        <v>48000</v>
      </c>
      <c r="U17" s="68">
        <f>T17/P17</f>
        <v>4800</v>
      </c>
    </row>
    <row r="18" spans="2:21" x14ac:dyDescent="0.25">
      <c r="G18" s="221"/>
      <c r="H18" s="42"/>
      <c r="I18" s="221"/>
      <c r="J18" s="42"/>
      <c r="K18" s="42"/>
      <c r="P18" s="61">
        <v>8</v>
      </c>
      <c r="Q18" s="61">
        <f>3.2*8</f>
        <v>25.6</v>
      </c>
      <c r="R18" s="66">
        <f>30/12*8</f>
        <v>20</v>
      </c>
      <c r="S18" s="67">
        <f>0.4/12*8</f>
        <v>0.26666666666666666</v>
      </c>
      <c r="T18" s="68">
        <v>24000</v>
      </c>
      <c r="U18" s="68">
        <f>T18/P18</f>
        <v>3000</v>
      </c>
    </row>
    <row r="19" spans="2:21" x14ac:dyDescent="0.25">
      <c r="G19" s="221"/>
      <c r="H19" s="42"/>
      <c r="I19" s="221"/>
      <c r="J19" s="42"/>
      <c r="K19" s="42"/>
    </row>
    <row r="20" spans="2:21" x14ac:dyDescent="0.25">
      <c r="G20" s="221"/>
      <c r="H20" s="42"/>
      <c r="I20" s="221"/>
      <c r="J20" s="42"/>
      <c r="K20" s="42"/>
    </row>
    <row r="23" spans="2:21" x14ac:dyDescent="0.25">
      <c r="J23" s="221"/>
    </row>
    <row r="24" spans="2:21" x14ac:dyDescent="0.25">
      <c r="B24" s="4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IDEAL</vt:lpstr>
      <vt:lpstr>PLANTILLA</vt:lpstr>
      <vt:lpstr>Evaluacion Jugadores</vt:lpstr>
      <vt:lpstr>CambioENTRENADOR</vt:lpstr>
      <vt:lpstr>Rendimiento_ENTRENAMIENTO</vt:lpstr>
      <vt:lpstr>Calculador de Sueldo</vt:lpstr>
      <vt:lpstr>Empleados</vt:lpstr>
      <vt:lpstr>Planning_v3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2017-11-17T14:34:47Z</dcterms:modified>
</cp:coreProperties>
</file>