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7350"/>
  </bookViews>
  <sheets>
    <sheet name="Pueblica-VADER" sheetId="463" r:id="rId1"/>
    <sheet name="Men-OBIWAN" sheetId="464" r:id="rId2"/>
    <sheet name="SIMULADOR" sheetId="285" r:id="rId3"/>
    <sheet name="SIMULADOR&gt;22-12-17" sheetId="435" r:id="rId4"/>
    <sheet name="SIMULADOR_sinJC" sheetId="273" r:id="rId5"/>
  </sheets>
  <calcPr calcId="152511"/>
  <fileRecoveryPr autoRecover="0"/>
</workbook>
</file>

<file path=xl/calcChain.xml><?xml version="1.0" encoding="utf-8"?>
<calcChain xmlns="http://schemas.openxmlformats.org/spreadsheetml/2006/main">
  <c r="Y19" i="463" l="1"/>
  <c r="Y17" i="463"/>
  <c r="Y16" i="463"/>
  <c r="Y14" i="463"/>
  <c r="Y11" i="463"/>
  <c r="Y10" i="463"/>
  <c r="Y9" i="463"/>
  <c r="Y8" i="463"/>
  <c r="Y6" i="463"/>
  <c r="Y5" i="463"/>
  <c r="O19" i="463"/>
  <c r="O17" i="463"/>
  <c r="O16" i="463"/>
  <c r="O14" i="463"/>
  <c r="O11" i="463"/>
  <c r="O10" i="463"/>
  <c r="O9" i="463"/>
  <c r="O8" i="463"/>
  <c r="O6" i="463"/>
  <c r="O5" i="463"/>
  <c r="O10" i="285"/>
  <c r="Y10" i="285"/>
  <c r="Y19" i="285"/>
  <c r="Y17" i="285"/>
  <c r="Y16" i="285"/>
  <c r="Y14" i="285"/>
  <c r="Y11" i="285"/>
  <c r="Y9" i="285"/>
  <c r="Y8" i="285"/>
  <c r="Y6" i="285"/>
  <c r="Y5" i="285"/>
  <c r="O19" i="285"/>
  <c r="O17" i="285"/>
  <c r="O16" i="285"/>
  <c r="O14" i="285"/>
  <c r="O11" i="285"/>
  <c r="O9" i="285"/>
  <c r="O8" i="285"/>
  <c r="O6" i="285"/>
  <c r="O5" i="285"/>
  <c r="Y19" i="464"/>
  <c r="Y14" i="464"/>
  <c r="O14" i="464"/>
  <c r="Y11" i="464"/>
  <c r="O11" i="464"/>
  <c r="B6" i="464" l="1"/>
  <c r="BF48" i="464"/>
  <c r="BF47" i="464"/>
  <c r="BF46" i="464"/>
  <c r="BE45" i="464"/>
  <c r="BE44" i="464"/>
  <c r="BF45" i="464" s="1"/>
  <c r="BD44" i="464"/>
  <c r="BE43" i="464"/>
  <c r="BD43" i="464"/>
  <c r="BC43" i="464"/>
  <c r="BF42" i="464"/>
  <c r="BE42" i="464"/>
  <c r="BF43" i="464" s="1"/>
  <c r="BD42" i="464"/>
  <c r="BC42" i="464"/>
  <c r="BF41" i="464"/>
  <c r="BE41" i="464"/>
  <c r="BD41" i="464"/>
  <c r="BC41" i="464"/>
  <c r="BF40" i="464"/>
  <c r="BE40" i="464"/>
  <c r="BD40" i="464"/>
  <c r="BC40" i="464"/>
  <c r="BC39" i="464"/>
  <c r="AS38" i="464"/>
  <c r="AR38" i="464"/>
  <c r="AQ38" i="464"/>
  <c r="AP38" i="464"/>
  <c r="AO38" i="464"/>
  <c r="AN38" i="464"/>
  <c r="AM38" i="464"/>
  <c r="AL38" i="464"/>
  <c r="AK38" i="464"/>
  <c r="AJ38" i="464"/>
  <c r="AI38" i="464"/>
  <c r="AH38" i="464"/>
  <c r="AG38" i="464"/>
  <c r="AF38" i="464"/>
  <c r="AE38" i="464"/>
  <c r="AD38" i="464"/>
  <c r="AC38" i="464"/>
  <c r="AB38" i="464"/>
  <c r="AA38" i="464"/>
  <c r="Z38" i="464"/>
  <c r="Y38" i="464"/>
  <c r="X38" i="464"/>
  <c r="W38" i="464"/>
  <c r="V38" i="464"/>
  <c r="U38" i="464"/>
  <c r="T38" i="464"/>
  <c r="S38" i="464"/>
  <c r="R38" i="464"/>
  <c r="Q38" i="464"/>
  <c r="P38" i="464"/>
  <c r="O38" i="464"/>
  <c r="N38" i="464"/>
  <c r="M38" i="464"/>
  <c r="L38" i="464"/>
  <c r="K38" i="464"/>
  <c r="J38" i="464"/>
  <c r="I38" i="464"/>
  <c r="H38" i="464"/>
  <c r="G38" i="464"/>
  <c r="BH36" i="464"/>
  <c r="BH42" i="464" s="1"/>
  <c r="BH47" i="464" s="1"/>
  <c r="BH52" i="464" s="1"/>
  <c r="BH55" i="464" s="1"/>
  <c r="BH57" i="464" s="1"/>
  <c r="BL13" i="464" s="1"/>
  <c r="BF34" i="464"/>
  <c r="BH33" i="464"/>
  <c r="BH39" i="464" s="1"/>
  <c r="BH44" i="464" s="1"/>
  <c r="BF33" i="464"/>
  <c r="C33" i="464"/>
  <c r="B33" i="464"/>
  <c r="C32" i="464"/>
  <c r="B32" i="464"/>
  <c r="BE31" i="464"/>
  <c r="BF32" i="464" s="1"/>
  <c r="BH30" i="464"/>
  <c r="BH37" i="464" s="1"/>
  <c r="BH43" i="464" s="1"/>
  <c r="BH48" i="464" s="1"/>
  <c r="BH53" i="464" s="1"/>
  <c r="BH56" i="464" s="1"/>
  <c r="BH58" i="464" s="1"/>
  <c r="BH59" i="464" s="1"/>
  <c r="BE30" i="464"/>
  <c r="BD30" i="464"/>
  <c r="E30" i="464"/>
  <c r="D30" i="464"/>
  <c r="BH29" i="464"/>
  <c r="BE29" i="464"/>
  <c r="BF30" i="464" s="1"/>
  <c r="BD29" i="464"/>
  <c r="BC29" i="464"/>
  <c r="C29" i="464"/>
  <c r="B29" i="464"/>
  <c r="BH28" i="464"/>
  <c r="BH35" i="464" s="1"/>
  <c r="BH41" i="464" s="1"/>
  <c r="BH46" i="464" s="1"/>
  <c r="BH51" i="464" s="1"/>
  <c r="BH54" i="464" s="1"/>
  <c r="BL12" i="464" s="1"/>
  <c r="BP47" i="464" s="1"/>
  <c r="BE28" i="464"/>
  <c r="BD28" i="464"/>
  <c r="BC28" i="464"/>
  <c r="BH27" i="464"/>
  <c r="BH34" i="464" s="1"/>
  <c r="BH40" i="464" s="1"/>
  <c r="BH45" i="464" s="1"/>
  <c r="BH50" i="464" s="1"/>
  <c r="BF27" i="464"/>
  <c r="BE27" i="464"/>
  <c r="BF28" i="464" s="1"/>
  <c r="BD27" i="464"/>
  <c r="BC27" i="464"/>
  <c r="E27" i="464"/>
  <c r="D27" i="464"/>
  <c r="C27" i="464"/>
  <c r="B27" i="464"/>
  <c r="BH26" i="464"/>
  <c r="BF26" i="464"/>
  <c r="BE26" i="464"/>
  <c r="BD26" i="464"/>
  <c r="BC26" i="464"/>
  <c r="E26" i="464"/>
  <c r="D26" i="464"/>
  <c r="C26" i="464"/>
  <c r="B26" i="464"/>
  <c r="BH25" i="464"/>
  <c r="BH32" i="464" s="1"/>
  <c r="BH38" i="464" s="1"/>
  <c r="BC25" i="464"/>
  <c r="E25" i="464"/>
  <c r="E23" i="464" s="1"/>
  <c r="D25" i="464"/>
  <c r="D23" i="464" s="1"/>
  <c r="C25" i="464"/>
  <c r="B25" i="464"/>
  <c r="BH24" i="464"/>
  <c r="BH31" i="464" s="1"/>
  <c r="BH23" i="464"/>
  <c r="B22" i="464"/>
  <c r="C22" i="464" s="1"/>
  <c r="B20" i="464"/>
  <c r="B21" i="464" s="1"/>
  <c r="Z19" i="464"/>
  <c r="AA19" i="464"/>
  <c r="P19" i="464"/>
  <c r="O19" i="464"/>
  <c r="AA18" i="464"/>
  <c r="Q18" i="464"/>
  <c r="Z17" i="464"/>
  <c r="Y17" i="464"/>
  <c r="P17" i="464"/>
  <c r="O17" i="464"/>
  <c r="Q17" i="464" s="1"/>
  <c r="Y16" i="464"/>
  <c r="AA16" i="464" s="1"/>
  <c r="Q16" i="464"/>
  <c r="O16" i="464"/>
  <c r="C16" i="464"/>
  <c r="B16" i="464"/>
  <c r="AA15" i="464"/>
  <c r="Q15" i="464"/>
  <c r="BL14" i="464"/>
  <c r="AA14" i="464"/>
  <c r="Q14" i="464"/>
  <c r="Z13" i="464"/>
  <c r="AA13" i="464" s="1"/>
  <c r="Q13" i="464"/>
  <c r="P13" i="464"/>
  <c r="BP12" i="464"/>
  <c r="BP16" i="464" s="1"/>
  <c r="BP20" i="464" s="1"/>
  <c r="BP26" i="464" s="1"/>
  <c r="BP33" i="464" s="1"/>
  <c r="BP41" i="464" s="1"/>
  <c r="AA12" i="464"/>
  <c r="Q12" i="464"/>
  <c r="BL11" i="464"/>
  <c r="BP38" i="464" s="1"/>
  <c r="BP46" i="464" s="1"/>
  <c r="Z11" i="464"/>
  <c r="P11" i="464"/>
  <c r="BL10" i="464"/>
  <c r="BP30" i="464" s="1"/>
  <c r="BP37" i="464" s="1"/>
  <c r="BP45" i="464" s="1"/>
  <c r="Z10" i="464"/>
  <c r="Y10" i="464"/>
  <c r="P10" i="464"/>
  <c r="O10" i="464"/>
  <c r="Q10" i="464" s="1"/>
  <c r="BL9" i="464"/>
  <c r="BP23" i="464" s="1"/>
  <c r="BP29" i="464" s="1"/>
  <c r="BP36" i="464" s="1"/>
  <c r="BP44" i="464" s="1"/>
  <c r="Y9" i="464"/>
  <c r="AA9" i="464" s="1"/>
  <c r="O9" i="464"/>
  <c r="Q9" i="464" s="1"/>
  <c r="BL8" i="464"/>
  <c r="BP18" i="464" s="1"/>
  <c r="BP22" i="464" s="1"/>
  <c r="BP28" i="464" s="1"/>
  <c r="BP35" i="464" s="1"/>
  <c r="BP43" i="464" s="1"/>
  <c r="Z8" i="464"/>
  <c r="Y8" i="464"/>
  <c r="P8" i="464"/>
  <c r="O8" i="464"/>
  <c r="BL7" i="464"/>
  <c r="BP13" i="464" s="1"/>
  <c r="BP17" i="464" s="1"/>
  <c r="BP21" i="464" s="1"/>
  <c r="BP27" i="464" s="1"/>
  <c r="BP34" i="464" s="1"/>
  <c r="BP42" i="464" s="1"/>
  <c r="AA7" i="464"/>
  <c r="Q7" i="464"/>
  <c r="BP6" i="464"/>
  <c r="BP8" i="464" s="1"/>
  <c r="BP11" i="464" s="1"/>
  <c r="BP15" i="464" s="1"/>
  <c r="BP19" i="464" s="1"/>
  <c r="BP25" i="464" s="1"/>
  <c r="BP32" i="464" s="1"/>
  <c r="BP40" i="464" s="1"/>
  <c r="BL6" i="464"/>
  <c r="BP9" i="464" s="1"/>
  <c r="AA6" i="464"/>
  <c r="Z6" i="464"/>
  <c r="Y6" i="464"/>
  <c r="P6" i="464"/>
  <c r="O6" i="464"/>
  <c r="BP5" i="464"/>
  <c r="BP7" i="464" s="1"/>
  <c r="BP10" i="464" s="1"/>
  <c r="BP14" i="464" s="1"/>
  <c r="BH49" i="464" s="1"/>
  <c r="BP24" i="464" s="1"/>
  <c r="BP31" i="464" s="1"/>
  <c r="BP39" i="464" s="1"/>
  <c r="Z5" i="464"/>
  <c r="Y5" i="464"/>
  <c r="P5" i="464"/>
  <c r="O5" i="464"/>
  <c r="K3" i="464"/>
  <c r="G3" i="464"/>
  <c r="D3" i="464"/>
  <c r="S2" i="464"/>
  <c r="K2" i="464"/>
  <c r="G2" i="464"/>
  <c r="AF1" i="464"/>
  <c r="V1" i="464"/>
  <c r="S1" i="464"/>
  <c r="K1" i="464"/>
  <c r="L1" i="464" s="1"/>
  <c r="G1" i="464"/>
  <c r="AA11" i="464" l="1"/>
  <c r="Q19" i="464"/>
  <c r="Q6" i="464"/>
  <c r="Q5" i="464"/>
  <c r="H1" i="464"/>
  <c r="M1" i="464" s="1"/>
  <c r="M2" i="464" s="1"/>
  <c r="Q8" i="464"/>
  <c r="B31" i="464"/>
  <c r="W25" i="464" s="1"/>
  <c r="AA10" i="464"/>
  <c r="Q11" i="464"/>
  <c r="AA5" i="464"/>
  <c r="AA8" i="464"/>
  <c r="C31" i="464"/>
  <c r="W39" i="464" s="1"/>
  <c r="AA17" i="464"/>
  <c r="B23" i="464"/>
  <c r="C23" i="464" s="1"/>
  <c r="BF29" i="464"/>
  <c r="BF31" i="464"/>
  <c r="BF44" i="464"/>
  <c r="BF48" i="463"/>
  <c r="BF47" i="463"/>
  <c r="BF46" i="463"/>
  <c r="BE45" i="463"/>
  <c r="BE44" i="463"/>
  <c r="BF45" i="463" s="1"/>
  <c r="BD44" i="463"/>
  <c r="BE43" i="463"/>
  <c r="BF44" i="463" s="1"/>
  <c r="BD43" i="463"/>
  <c r="BC43" i="463"/>
  <c r="BH42" i="463"/>
  <c r="BH47" i="463" s="1"/>
  <c r="BH52" i="463" s="1"/>
  <c r="BH55" i="463" s="1"/>
  <c r="BH57" i="463" s="1"/>
  <c r="BL13" i="463" s="1"/>
  <c r="BF42" i="463"/>
  <c r="BE42" i="463"/>
  <c r="BD42" i="463"/>
  <c r="BC42" i="463"/>
  <c r="BF41" i="463"/>
  <c r="BE41" i="463"/>
  <c r="BD41" i="463"/>
  <c r="BC41" i="463"/>
  <c r="BF40" i="463"/>
  <c r="BE40" i="463"/>
  <c r="BD40" i="463"/>
  <c r="BC40" i="463"/>
  <c r="BC39" i="463"/>
  <c r="AS38" i="463"/>
  <c r="AR38" i="463"/>
  <c r="AQ38" i="463"/>
  <c r="AP38" i="463"/>
  <c r="AO38" i="463"/>
  <c r="AN38" i="463"/>
  <c r="AM38" i="463"/>
  <c r="AL38" i="463"/>
  <c r="AK38" i="463"/>
  <c r="AJ38" i="463"/>
  <c r="AI38" i="463"/>
  <c r="AH38" i="463"/>
  <c r="AG38" i="463"/>
  <c r="AF38" i="463"/>
  <c r="AE38" i="463"/>
  <c r="AD38" i="463"/>
  <c r="AC38" i="463"/>
  <c r="AB38" i="463"/>
  <c r="AA38" i="463"/>
  <c r="Z38" i="463"/>
  <c r="Y38" i="463"/>
  <c r="X38" i="463"/>
  <c r="W38" i="463"/>
  <c r="V38" i="463"/>
  <c r="U38" i="463"/>
  <c r="T38" i="463"/>
  <c r="S38" i="463"/>
  <c r="R38" i="463"/>
  <c r="Q38" i="463"/>
  <c r="P38" i="463"/>
  <c r="O38" i="463"/>
  <c r="N38" i="463"/>
  <c r="M38" i="463"/>
  <c r="L38" i="463"/>
  <c r="K38" i="463"/>
  <c r="J38" i="463"/>
  <c r="I38" i="463"/>
  <c r="H38" i="463"/>
  <c r="G38" i="463"/>
  <c r="BH36" i="463"/>
  <c r="BF34" i="463"/>
  <c r="BF33" i="463"/>
  <c r="C33" i="463"/>
  <c r="B33" i="463"/>
  <c r="C32" i="463"/>
  <c r="B32" i="463"/>
  <c r="BE31" i="463"/>
  <c r="BH30" i="463"/>
  <c r="BH37" i="463" s="1"/>
  <c r="BH43" i="463" s="1"/>
  <c r="BH48" i="463" s="1"/>
  <c r="BH53" i="463" s="1"/>
  <c r="BH56" i="463" s="1"/>
  <c r="BH58" i="463" s="1"/>
  <c r="BH59" i="463" s="1"/>
  <c r="BE30" i="463"/>
  <c r="BD30" i="463"/>
  <c r="E30" i="463"/>
  <c r="D30" i="463"/>
  <c r="BH29" i="463"/>
  <c r="BE29" i="463"/>
  <c r="BF30" i="463" s="1"/>
  <c r="BD29" i="463"/>
  <c r="BC29" i="463"/>
  <c r="C29" i="463"/>
  <c r="B29" i="463"/>
  <c r="BH28" i="463"/>
  <c r="BH35" i="463" s="1"/>
  <c r="BH41" i="463" s="1"/>
  <c r="BH46" i="463" s="1"/>
  <c r="BH51" i="463" s="1"/>
  <c r="BH54" i="463" s="1"/>
  <c r="BE28" i="463"/>
  <c r="BD28" i="463"/>
  <c r="BC28" i="463"/>
  <c r="BH27" i="463"/>
  <c r="BH34" i="463" s="1"/>
  <c r="BH40" i="463" s="1"/>
  <c r="BH45" i="463" s="1"/>
  <c r="BH50" i="463" s="1"/>
  <c r="BF27" i="463"/>
  <c r="BE27" i="463"/>
  <c r="BF28" i="463" s="1"/>
  <c r="BD27" i="463"/>
  <c r="BC27" i="463"/>
  <c r="D27" i="463"/>
  <c r="C27" i="463"/>
  <c r="B27" i="463"/>
  <c r="BH26" i="463"/>
  <c r="BH33" i="463" s="1"/>
  <c r="BH39" i="463" s="1"/>
  <c r="BH44" i="463" s="1"/>
  <c r="BF26" i="463"/>
  <c r="BE26" i="463"/>
  <c r="BD26" i="463"/>
  <c r="BC26" i="463"/>
  <c r="E26" i="463"/>
  <c r="E27" i="463" s="1"/>
  <c r="E23" i="463" s="1"/>
  <c r="D26" i="463"/>
  <c r="C26" i="463"/>
  <c r="B26" i="463"/>
  <c r="BH25" i="463"/>
  <c r="BH32" i="463" s="1"/>
  <c r="BH38" i="463" s="1"/>
  <c r="BL9" i="463" s="1"/>
  <c r="BP23" i="463" s="1"/>
  <c r="BP29" i="463" s="1"/>
  <c r="BP36" i="463" s="1"/>
  <c r="BP44" i="463" s="1"/>
  <c r="BC25" i="463"/>
  <c r="E25" i="463"/>
  <c r="D25" i="463"/>
  <c r="D23" i="463" s="1"/>
  <c r="C25" i="463"/>
  <c r="B25" i="463"/>
  <c r="BH24" i="463"/>
  <c r="BH31" i="463" s="1"/>
  <c r="BH23" i="463"/>
  <c r="B22" i="463"/>
  <c r="C22" i="463" s="1"/>
  <c r="B20" i="463"/>
  <c r="B21" i="463" s="1"/>
  <c r="Z19" i="463"/>
  <c r="AA19" i="463"/>
  <c r="P19" i="463"/>
  <c r="Q19" i="463" s="1"/>
  <c r="AA18" i="463"/>
  <c r="Q18" i="463"/>
  <c r="Z17" i="463"/>
  <c r="P17" i="463"/>
  <c r="Q17" i="463" s="1"/>
  <c r="AA16" i="463"/>
  <c r="Q16" i="463"/>
  <c r="C16" i="463"/>
  <c r="B16" i="463"/>
  <c r="AA15" i="463"/>
  <c r="Q15" i="463"/>
  <c r="AA14" i="463"/>
  <c r="Q14" i="463"/>
  <c r="Z13" i="463"/>
  <c r="AA13" i="463" s="1"/>
  <c r="P13" i="463"/>
  <c r="Q13" i="463" s="1"/>
  <c r="BL12" i="463"/>
  <c r="BP47" i="463" s="1"/>
  <c r="AA12" i="463"/>
  <c r="Q12" i="463"/>
  <c r="BL11" i="463"/>
  <c r="BP38" i="463" s="1"/>
  <c r="BP46" i="463" s="1"/>
  <c r="Z11" i="463"/>
  <c r="P11" i="463"/>
  <c r="Q11" i="463"/>
  <c r="BL10" i="463"/>
  <c r="BP30" i="463" s="1"/>
  <c r="BP37" i="463" s="1"/>
  <c r="BP45" i="463" s="1"/>
  <c r="Z10" i="463"/>
  <c r="AA10" i="463"/>
  <c r="P10" i="463"/>
  <c r="AA9" i="463"/>
  <c r="Q9" i="463"/>
  <c r="BL8" i="463"/>
  <c r="BP18" i="463" s="1"/>
  <c r="BP22" i="463" s="1"/>
  <c r="BP28" i="463" s="1"/>
  <c r="BP35" i="463" s="1"/>
  <c r="BP43" i="463" s="1"/>
  <c r="Z8" i="463"/>
  <c r="AA8" i="463"/>
  <c r="P8" i="463"/>
  <c r="BL7" i="463"/>
  <c r="BP13" i="463" s="1"/>
  <c r="BP17" i="463" s="1"/>
  <c r="BP21" i="463" s="1"/>
  <c r="BP27" i="463" s="1"/>
  <c r="BP34" i="463" s="1"/>
  <c r="BP42" i="463" s="1"/>
  <c r="AA7" i="463"/>
  <c r="Q7" i="463"/>
  <c r="BP6" i="463"/>
  <c r="BP8" i="463" s="1"/>
  <c r="BP11" i="463" s="1"/>
  <c r="BP15" i="463" s="1"/>
  <c r="BP19" i="463" s="1"/>
  <c r="BP25" i="463" s="1"/>
  <c r="BP32" i="463" s="1"/>
  <c r="BP40" i="463" s="1"/>
  <c r="BL6" i="463"/>
  <c r="BP9" i="463" s="1"/>
  <c r="BP12" i="463" s="1"/>
  <c r="BP16" i="463" s="1"/>
  <c r="BP20" i="463" s="1"/>
  <c r="BP26" i="463" s="1"/>
  <c r="BP33" i="463" s="1"/>
  <c r="BP41" i="463" s="1"/>
  <c r="AA6" i="463"/>
  <c r="Z6" i="463"/>
  <c r="P6" i="463"/>
  <c r="BP5" i="463"/>
  <c r="BP7" i="463" s="1"/>
  <c r="BP10" i="463" s="1"/>
  <c r="BP14" i="463" s="1"/>
  <c r="BH49" i="463" s="1"/>
  <c r="BP24" i="463" s="1"/>
  <c r="BP31" i="463" s="1"/>
  <c r="BP39" i="463" s="1"/>
  <c r="BL14" i="463" s="1"/>
  <c r="Z5" i="463"/>
  <c r="AA5" i="463"/>
  <c r="P5" i="463"/>
  <c r="K3" i="463"/>
  <c r="G3" i="463"/>
  <c r="D3" i="463"/>
  <c r="S2" i="463"/>
  <c r="K2" i="463"/>
  <c r="G2" i="463"/>
  <c r="AF1" i="463"/>
  <c r="V1" i="463"/>
  <c r="S1" i="463"/>
  <c r="K1" i="463"/>
  <c r="G1" i="463"/>
  <c r="T34" i="464" l="1"/>
  <c r="T42" i="464"/>
  <c r="T43" i="464"/>
  <c r="T39" i="464"/>
  <c r="T41" i="464"/>
  <c r="T49" i="464"/>
  <c r="T46" i="464"/>
  <c r="T45" i="464"/>
  <c r="T32" i="464"/>
  <c r="C34" i="464"/>
  <c r="T30" i="464"/>
  <c r="T26" i="464"/>
  <c r="C24" i="464"/>
  <c r="T31" i="464"/>
  <c r="T29" i="464"/>
  <c r="T25" i="464"/>
  <c r="T28" i="464"/>
  <c r="T27" i="464"/>
  <c r="R19" i="464"/>
  <c r="AB16" i="464"/>
  <c r="AB17" i="464"/>
  <c r="AB14" i="464"/>
  <c r="R11" i="464"/>
  <c r="AB10" i="464"/>
  <c r="AB8" i="464"/>
  <c r="R7" i="464"/>
  <c r="AB5" i="464"/>
  <c r="R16" i="464"/>
  <c r="R15" i="464"/>
  <c r="R14" i="464"/>
  <c r="AB12" i="464"/>
  <c r="AB19" i="464"/>
  <c r="AB18" i="464"/>
  <c r="R18" i="464"/>
  <c r="R17" i="464"/>
  <c r="AB15" i="464"/>
  <c r="AB13" i="464"/>
  <c r="AB11" i="464"/>
  <c r="R9" i="464"/>
  <c r="R6" i="464"/>
  <c r="AB6" i="464"/>
  <c r="R13" i="464"/>
  <c r="R10" i="464"/>
  <c r="AB7" i="464"/>
  <c r="R5" i="464"/>
  <c r="R12" i="464"/>
  <c r="AB9" i="464"/>
  <c r="R8" i="464"/>
  <c r="T35" i="464"/>
  <c r="T33" i="464"/>
  <c r="T48" i="464"/>
  <c r="B34" i="464"/>
  <c r="T47" i="464"/>
  <c r="T44" i="464"/>
  <c r="T40" i="464"/>
  <c r="B24" i="464"/>
  <c r="AA11" i="463"/>
  <c r="L1" i="463"/>
  <c r="Q6" i="463"/>
  <c r="Q10" i="463"/>
  <c r="Q8" i="463"/>
  <c r="H1" i="463"/>
  <c r="Q5" i="463"/>
  <c r="AA17" i="463"/>
  <c r="B23" i="463"/>
  <c r="BF29" i="463"/>
  <c r="B31" i="463"/>
  <c r="W25" i="463" s="1"/>
  <c r="BF32" i="463"/>
  <c r="BF31" i="463"/>
  <c r="C31" i="463"/>
  <c r="W39" i="463" s="1"/>
  <c r="BF43" i="463"/>
  <c r="T37" i="464" l="1"/>
  <c r="T23" i="464"/>
  <c r="S5" i="464"/>
  <c r="AC13" i="464"/>
  <c r="S15" i="464"/>
  <c r="AC17" i="464"/>
  <c r="S8" i="464"/>
  <c r="S6" i="464"/>
  <c r="AC19" i="464"/>
  <c r="AC10" i="464"/>
  <c r="N30" i="464"/>
  <c r="P30" i="464" s="1"/>
  <c r="R35" i="464" s="1"/>
  <c r="N29" i="464"/>
  <c r="P29" i="464" s="1"/>
  <c r="R34" i="464" s="1"/>
  <c r="N26" i="464"/>
  <c r="N28" i="464"/>
  <c r="P28" i="464" s="1"/>
  <c r="N25" i="464"/>
  <c r="N27" i="464"/>
  <c r="P27" i="464" s="1"/>
  <c r="AC9" i="464"/>
  <c r="S10" i="464"/>
  <c r="S9" i="464"/>
  <c r="S17" i="464"/>
  <c r="AC12" i="464"/>
  <c r="AC5" i="464"/>
  <c r="S11" i="464"/>
  <c r="S19" i="464"/>
  <c r="AC6" i="464"/>
  <c r="AC18" i="464"/>
  <c r="AC8" i="464"/>
  <c r="N43" i="464"/>
  <c r="P43" i="464" s="1"/>
  <c r="N41" i="464"/>
  <c r="P41" i="464" s="1"/>
  <c r="N44" i="464"/>
  <c r="P44" i="464" s="1"/>
  <c r="N39" i="464"/>
  <c r="N40" i="464"/>
  <c r="P40" i="464" s="1"/>
  <c r="N42" i="464"/>
  <c r="P42" i="464" s="1"/>
  <c r="AC7" i="464"/>
  <c r="AC15" i="464"/>
  <c r="S16" i="464"/>
  <c r="AC16" i="464"/>
  <c r="S12" i="464"/>
  <c r="S13" i="464"/>
  <c r="AC11" i="464"/>
  <c r="S18" i="464"/>
  <c r="S14" i="464"/>
  <c r="S7" i="464"/>
  <c r="AC14" i="464"/>
  <c r="M1" i="463"/>
  <c r="M2" i="463" s="1"/>
  <c r="AB14" i="463" s="1"/>
  <c r="T48" i="463"/>
  <c r="B34" i="463"/>
  <c r="T40" i="463"/>
  <c r="B24" i="463"/>
  <c r="T44" i="463"/>
  <c r="T47" i="463"/>
  <c r="T39" i="463"/>
  <c r="T41" i="463"/>
  <c r="C23" i="463"/>
  <c r="T42" i="463"/>
  <c r="T46" i="463"/>
  <c r="T43" i="463"/>
  <c r="T49" i="463"/>
  <c r="T45" i="463"/>
  <c r="Y19" i="435"/>
  <c r="Y18" i="435"/>
  <c r="Y17" i="435"/>
  <c r="O16" i="435"/>
  <c r="Y16" i="435"/>
  <c r="Y14" i="435"/>
  <c r="Y13" i="435"/>
  <c r="O13" i="435"/>
  <c r="Y11" i="435"/>
  <c r="Y10" i="435"/>
  <c r="Y9" i="435"/>
  <c r="Y8" i="435"/>
  <c r="Y6" i="435"/>
  <c r="Y5" i="435"/>
  <c r="O19" i="435"/>
  <c r="O18" i="435"/>
  <c r="O17" i="435"/>
  <c r="O14" i="435"/>
  <c r="O11" i="435"/>
  <c r="O10" i="435"/>
  <c r="O9" i="435"/>
  <c r="O6" i="435"/>
  <c r="O8" i="435"/>
  <c r="O5" i="435"/>
  <c r="P18" i="435"/>
  <c r="P13" i="285"/>
  <c r="Z13" i="285"/>
  <c r="P13" i="435"/>
  <c r="T9" i="464" l="1"/>
  <c r="T5" i="464"/>
  <c r="T13" i="464"/>
  <c r="U13" i="464"/>
  <c r="AE6" i="464"/>
  <c r="T7" i="464"/>
  <c r="AD16" i="464"/>
  <c r="AD17" i="464"/>
  <c r="AE14" i="464"/>
  <c r="U18" i="464"/>
  <c r="U15" i="464"/>
  <c r="AD18" i="464"/>
  <c r="T16" i="464"/>
  <c r="AD9" i="464"/>
  <c r="T15" i="464"/>
  <c r="AD14" i="464"/>
  <c r="T14" i="464"/>
  <c r="AD11" i="464"/>
  <c r="AD15" i="464"/>
  <c r="AD7" i="464"/>
  <c r="AD8" i="464"/>
  <c r="AD5" i="464"/>
  <c r="T10" i="464"/>
  <c r="AD10" i="464"/>
  <c r="AE5" i="464"/>
  <c r="U5" i="464"/>
  <c r="AE10" i="464"/>
  <c r="AE15" i="464"/>
  <c r="AE18" i="464"/>
  <c r="AD6" i="464"/>
  <c r="T11" i="464"/>
  <c r="AD12" i="464"/>
  <c r="R32" i="464"/>
  <c r="AE17" i="464"/>
  <c r="T18" i="464"/>
  <c r="AE12" i="464"/>
  <c r="T17" i="464"/>
  <c r="U6" i="464"/>
  <c r="AE16" i="464"/>
  <c r="T19" i="464"/>
  <c r="AC20" i="464"/>
  <c r="U17" i="464"/>
  <c r="S20" i="464"/>
  <c r="AE11" i="464"/>
  <c r="P25" i="464"/>
  <c r="N23" i="464"/>
  <c r="AD13" i="464"/>
  <c r="U12" i="464"/>
  <c r="U11" i="464"/>
  <c r="U10" i="464"/>
  <c r="U8" i="464"/>
  <c r="U7" i="464"/>
  <c r="AE7" i="464"/>
  <c r="U14" i="464"/>
  <c r="T12" i="464"/>
  <c r="U16" i="464"/>
  <c r="R47" i="464"/>
  <c r="R49" i="464"/>
  <c r="R48" i="464"/>
  <c r="R46" i="464"/>
  <c r="R45" i="464"/>
  <c r="AE8" i="464"/>
  <c r="R33" i="464"/>
  <c r="AD19" i="464"/>
  <c r="AE13" i="464"/>
  <c r="U9" i="464"/>
  <c r="N37" i="464"/>
  <c r="P39" i="464"/>
  <c r="R42" i="464" s="1"/>
  <c r="AE9" i="464"/>
  <c r="P26" i="464"/>
  <c r="R31" i="464" s="1"/>
  <c r="T6" i="464"/>
  <c r="T8" i="464"/>
  <c r="R19" i="463"/>
  <c r="AB16" i="463"/>
  <c r="AC16" i="463" s="1"/>
  <c r="R5" i="463"/>
  <c r="S5" i="463" s="1"/>
  <c r="AB7" i="463"/>
  <c r="AC7" i="463" s="1"/>
  <c r="AB12" i="463"/>
  <c r="R14" i="463"/>
  <c r="S14" i="463" s="1"/>
  <c r="R18" i="463"/>
  <c r="S18" i="463" s="1"/>
  <c r="R8" i="463"/>
  <c r="S8" i="463" s="1"/>
  <c r="R12" i="463"/>
  <c r="S12" i="463" s="1"/>
  <c r="R15" i="463"/>
  <c r="R13" i="463"/>
  <c r="S13" i="463" s="1"/>
  <c r="R17" i="463"/>
  <c r="S17" i="463" s="1"/>
  <c r="R9" i="463"/>
  <c r="S9" i="463" s="1"/>
  <c r="AB15" i="463"/>
  <c r="AC15" i="463" s="1"/>
  <c r="AB17" i="463"/>
  <c r="AB9" i="463"/>
  <c r="AC9" i="463" s="1"/>
  <c r="AB5" i="463"/>
  <c r="AC5" i="463" s="1"/>
  <c r="AB8" i="463"/>
  <c r="AC8" i="463" s="1"/>
  <c r="AB10" i="463"/>
  <c r="AC10" i="463" s="1"/>
  <c r="AB18" i="463"/>
  <c r="AC18" i="463" s="1"/>
  <c r="AB13" i="463"/>
  <c r="AC13" i="463" s="1"/>
  <c r="R6" i="463"/>
  <c r="S6" i="463" s="1"/>
  <c r="R11" i="463"/>
  <c r="S11" i="463" s="1"/>
  <c r="AB6" i="463"/>
  <c r="AC6" i="463" s="1"/>
  <c r="R16" i="463"/>
  <c r="S16" i="463" s="1"/>
  <c r="R10" i="463"/>
  <c r="S10" i="463" s="1"/>
  <c r="AB11" i="463"/>
  <c r="AC11" i="463" s="1"/>
  <c r="AB19" i="463"/>
  <c r="AC19" i="463" s="1"/>
  <c r="R7" i="463"/>
  <c r="S7" i="463" s="1"/>
  <c r="T37" i="463"/>
  <c r="N30" i="463"/>
  <c r="P30" i="463" s="1"/>
  <c r="R35" i="463" s="1"/>
  <c r="N29" i="463"/>
  <c r="P29" i="463" s="1"/>
  <c r="N26" i="463"/>
  <c r="N28" i="463"/>
  <c r="P28" i="463" s="1"/>
  <c r="N25" i="463"/>
  <c r="N27" i="463"/>
  <c r="P27" i="463" s="1"/>
  <c r="AC14" i="463"/>
  <c r="S15" i="463"/>
  <c r="AC17" i="463"/>
  <c r="AC12" i="463"/>
  <c r="S19" i="463"/>
  <c r="T32" i="463"/>
  <c r="C34" i="463"/>
  <c r="T27" i="463"/>
  <c r="T30" i="463"/>
  <c r="T31" i="463"/>
  <c r="T29" i="463"/>
  <c r="T26" i="463"/>
  <c r="C24" i="463"/>
  <c r="T25" i="463"/>
  <c r="T28" i="463"/>
  <c r="T34" i="463"/>
  <c r="T33" i="463"/>
  <c r="T35" i="463"/>
  <c r="Z13" i="435"/>
  <c r="R41" i="464" l="1"/>
  <c r="R44" i="464"/>
  <c r="T20" i="464"/>
  <c r="T21" i="464" s="1"/>
  <c r="U20" i="464"/>
  <c r="U21" i="464" s="1"/>
  <c r="L27" i="464" s="1"/>
  <c r="AD20" i="464"/>
  <c r="AE20" i="464"/>
  <c r="AE21" i="464" s="1"/>
  <c r="L41" i="464" s="1"/>
  <c r="R27" i="464"/>
  <c r="P23" i="464"/>
  <c r="R30" i="464"/>
  <c r="R28" i="464"/>
  <c r="R29" i="464"/>
  <c r="R25" i="464"/>
  <c r="R26" i="464"/>
  <c r="R39" i="464"/>
  <c r="P37" i="464"/>
  <c r="R43" i="464"/>
  <c r="R40" i="464"/>
  <c r="AD10" i="463"/>
  <c r="R32" i="463"/>
  <c r="R34" i="463"/>
  <c r="U13" i="463"/>
  <c r="T9" i="463"/>
  <c r="AE16" i="463"/>
  <c r="AD16" i="463"/>
  <c r="AE11" i="463"/>
  <c r="U12" i="463"/>
  <c r="T6" i="463"/>
  <c r="T23" i="463"/>
  <c r="U14" i="463"/>
  <c r="T17" i="463"/>
  <c r="T14" i="463"/>
  <c r="AE12" i="463"/>
  <c r="S20" i="463"/>
  <c r="AE17" i="463"/>
  <c r="T10" i="463"/>
  <c r="U6" i="463"/>
  <c r="T19" i="463"/>
  <c r="T5" i="463"/>
  <c r="T18" i="463"/>
  <c r="AD6" i="463"/>
  <c r="AD8" i="463"/>
  <c r="U11" i="463"/>
  <c r="AD17" i="463"/>
  <c r="T8" i="463"/>
  <c r="AD19" i="463"/>
  <c r="AC20" i="463"/>
  <c r="AE9" i="463"/>
  <c r="AE14" i="463"/>
  <c r="U18" i="463"/>
  <c r="T11" i="463"/>
  <c r="AD15" i="463"/>
  <c r="AD7" i="463"/>
  <c r="T16" i="463"/>
  <c r="AD13" i="463"/>
  <c r="AD5" i="463"/>
  <c r="U5" i="463"/>
  <c r="U17" i="463"/>
  <c r="U8" i="463"/>
  <c r="AD14" i="463"/>
  <c r="AD11" i="463"/>
  <c r="U10" i="463"/>
  <c r="P25" i="463"/>
  <c r="N23" i="463"/>
  <c r="U9" i="463"/>
  <c r="AD9" i="463"/>
  <c r="U15" i="463"/>
  <c r="AE10" i="463"/>
  <c r="AE15" i="463"/>
  <c r="T13" i="463"/>
  <c r="AE8" i="463"/>
  <c r="AE13" i="463"/>
  <c r="T12" i="463"/>
  <c r="T15" i="463"/>
  <c r="U16" i="463"/>
  <c r="AE6" i="463"/>
  <c r="R33" i="463"/>
  <c r="AE18" i="463"/>
  <c r="AE7" i="463"/>
  <c r="U7" i="463"/>
  <c r="AE5" i="463"/>
  <c r="N43" i="463"/>
  <c r="P43" i="463" s="1"/>
  <c r="N41" i="463"/>
  <c r="P41" i="463" s="1"/>
  <c r="N44" i="463"/>
  <c r="P44" i="463" s="1"/>
  <c r="N39" i="463"/>
  <c r="N42" i="463"/>
  <c r="P42" i="463" s="1"/>
  <c r="N40" i="463"/>
  <c r="P40" i="463" s="1"/>
  <c r="AD12" i="463"/>
  <c r="T7" i="463"/>
  <c r="P26" i="463"/>
  <c r="R31" i="463" s="1"/>
  <c r="AD18" i="463"/>
  <c r="Q9" i="435"/>
  <c r="BF48" i="435"/>
  <c r="BF47" i="435"/>
  <c r="BF46" i="435"/>
  <c r="BE45" i="435"/>
  <c r="BE44" i="435"/>
  <c r="BF45" i="435" s="1"/>
  <c r="BD44" i="435"/>
  <c r="BE43" i="435"/>
  <c r="BF44" i="435" s="1"/>
  <c r="BD43" i="435"/>
  <c r="BC43" i="435"/>
  <c r="BH42" i="435"/>
  <c r="BH47" i="435" s="1"/>
  <c r="BH52" i="435" s="1"/>
  <c r="BH55" i="435" s="1"/>
  <c r="BH57" i="435" s="1"/>
  <c r="BL13" i="435" s="1"/>
  <c r="BF42" i="435"/>
  <c r="BE42" i="435"/>
  <c r="BF43" i="435" s="1"/>
  <c r="BD42" i="435"/>
  <c r="BC42" i="435"/>
  <c r="BF41" i="435"/>
  <c r="BE41" i="435"/>
  <c r="BD41" i="435"/>
  <c r="BC41" i="435"/>
  <c r="BF40" i="435"/>
  <c r="BE40" i="435"/>
  <c r="BD40" i="435"/>
  <c r="BC40" i="435"/>
  <c r="BC39" i="435"/>
  <c r="AS38" i="435"/>
  <c r="AR38" i="435"/>
  <c r="AQ38" i="435"/>
  <c r="AP38" i="435"/>
  <c r="AO38" i="435"/>
  <c r="AN38" i="435"/>
  <c r="AM38" i="435"/>
  <c r="AL38" i="435"/>
  <c r="AK38" i="435"/>
  <c r="AJ38" i="435"/>
  <c r="AI38" i="435"/>
  <c r="AH38" i="435"/>
  <c r="AG38" i="435"/>
  <c r="AF38" i="435"/>
  <c r="AE38" i="435"/>
  <c r="AD38" i="435"/>
  <c r="AC38" i="435"/>
  <c r="AB38" i="435"/>
  <c r="AA38" i="435"/>
  <c r="Z38" i="435"/>
  <c r="Y38" i="435"/>
  <c r="X38" i="435"/>
  <c r="W38" i="435"/>
  <c r="V38" i="435"/>
  <c r="U38" i="435"/>
  <c r="T38" i="435"/>
  <c r="S38" i="435"/>
  <c r="R38" i="435"/>
  <c r="Q38" i="435"/>
  <c r="P38" i="435"/>
  <c r="O38" i="435"/>
  <c r="N38" i="435"/>
  <c r="M38" i="435"/>
  <c r="L38" i="435"/>
  <c r="K38" i="435"/>
  <c r="J38" i="435"/>
  <c r="I38" i="435"/>
  <c r="H38" i="435"/>
  <c r="G38" i="435"/>
  <c r="BH36" i="435"/>
  <c r="BF34" i="435"/>
  <c r="BF33" i="435"/>
  <c r="C33" i="435"/>
  <c r="B33" i="435"/>
  <c r="C32" i="435"/>
  <c r="B32" i="435"/>
  <c r="BE31" i="435"/>
  <c r="BH30" i="435"/>
  <c r="BH37" i="435" s="1"/>
  <c r="BH43" i="435" s="1"/>
  <c r="BH48" i="435" s="1"/>
  <c r="BH53" i="435" s="1"/>
  <c r="BH56" i="435" s="1"/>
  <c r="BH58" i="435" s="1"/>
  <c r="BH59" i="435" s="1"/>
  <c r="BE30" i="435"/>
  <c r="BD30" i="435"/>
  <c r="E30" i="435"/>
  <c r="D30" i="435"/>
  <c r="BH29" i="435"/>
  <c r="BE29" i="435"/>
  <c r="BF30" i="435" s="1"/>
  <c r="BD29" i="435"/>
  <c r="BC29" i="435"/>
  <c r="C29" i="435"/>
  <c r="B29" i="435"/>
  <c r="BH28" i="435"/>
  <c r="BH35" i="435" s="1"/>
  <c r="BH41" i="435" s="1"/>
  <c r="BH46" i="435" s="1"/>
  <c r="BH51" i="435" s="1"/>
  <c r="BH54" i="435" s="1"/>
  <c r="BE28" i="435"/>
  <c r="BD28" i="435"/>
  <c r="BC28" i="435"/>
  <c r="BH27" i="435"/>
  <c r="BH34" i="435" s="1"/>
  <c r="BH40" i="435" s="1"/>
  <c r="BH45" i="435" s="1"/>
  <c r="BH50" i="435" s="1"/>
  <c r="BF27" i="435"/>
  <c r="BE27" i="435"/>
  <c r="BF28" i="435" s="1"/>
  <c r="BD27" i="435"/>
  <c r="BC27" i="435"/>
  <c r="C27" i="435"/>
  <c r="B27" i="435"/>
  <c r="BH26" i="435"/>
  <c r="BH33" i="435" s="1"/>
  <c r="BH39" i="435" s="1"/>
  <c r="BH44" i="435" s="1"/>
  <c r="BF26" i="435"/>
  <c r="BE26" i="435"/>
  <c r="BD26" i="435"/>
  <c r="BC26" i="435"/>
  <c r="E26" i="435"/>
  <c r="E27" i="435" s="1"/>
  <c r="D26" i="435"/>
  <c r="D27" i="435" s="1"/>
  <c r="C26" i="435"/>
  <c r="B26" i="435"/>
  <c r="BH25" i="435"/>
  <c r="BH32" i="435" s="1"/>
  <c r="BH38" i="435" s="1"/>
  <c r="BC25" i="435"/>
  <c r="E25" i="435"/>
  <c r="E23" i="435" s="1"/>
  <c r="D25" i="435"/>
  <c r="C25" i="435"/>
  <c r="B25" i="435"/>
  <c r="BH24" i="435"/>
  <c r="BH31" i="435" s="1"/>
  <c r="BH23" i="435"/>
  <c r="B22" i="435"/>
  <c r="C22" i="435" s="1"/>
  <c r="B20" i="435"/>
  <c r="B21" i="435" s="1"/>
  <c r="Z19" i="435"/>
  <c r="AA19" i="435"/>
  <c r="P19" i="435"/>
  <c r="Q19" i="435" s="1"/>
  <c r="AA18" i="435"/>
  <c r="Q18" i="435"/>
  <c r="Z17" i="435"/>
  <c r="AA17" i="435"/>
  <c r="P17" i="435"/>
  <c r="AA16" i="435"/>
  <c r="Q16" i="435"/>
  <c r="C16" i="435"/>
  <c r="B16" i="435"/>
  <c r="AA15" i="435"/>
  <c r="Q15" i="435"/>
  <c r="AA14" i="435"/>
  <c r="Q14" i="435"/>
  <c r="AA13" i="435"/>
  <c r="Q13" i="435"/>
  <c r="BL12" i="435"/>
  <c r="BP47" i="435" s="1"/>
  <c r="AA12" i="435"/>
  <c r="Q12" i="435"/>
  <c r="BL11" i="435"/>
  <c r="BP38" i="435" s="1"/>
  <c r="BP46" i="435" s="1"/>
  <c r="Z11" i="435"/>
  <c r="AA11" i="435"/>
  <c r="P11" i="435"/>
  <c r="Q11" i="435" s="1"/>
  <c r="BL10" i="435"/>
  <c r="BP30" i="435" s="1"/>
  <c r="BP37" i="435" s="1"/>
  <c r="BP45" i="435" s="1"/>
  <c r="AA10" i="435"/>
  <c r="Z10" i="435"/>
  <c r="P10" i="435"/>
  <c r="Q10" i="435" s="1"/>
  <c r="BP9" i="435"/>
  <c r="BP12" i="435" s="1"/>
  <c r="BP16" i="435" s="1"/>
  <c r="BP20" i="435" s="1"/>
  <c r="BP26" i="435" s="1"/>
  <c r="BP33" i="435" s="1"/>
  <c r="BP41" i="435" s="1"/>
  <c r="BL9" i="435"/>
  <c r="BP23" i="435" s="1"/>
  <c r="BP29" i="435" s="1"/>
  <c r="BP36" i="435" s="1"/>
  <c r="BP44" i="435" s="1"/>
  <c r="AA9" i="435"/>
  <c r="BP8" i="435"/>
  <c r="BP11" i="435" s="1"/>
  <c r="BP15" i="435" s="1"/>
  <c r="BP19" i="435" s="1"/>
  <c r="BP25" i="435" s="1"/>
  <c r="BP32" i="435" s="1"/>
  <c r="BP40" i="435" s="1"/>
  <c r="BL8" i="435"/>
  <c r="BP18" i="435" s="1"/>
  <c r="BP22" i="435" s="1"/>
  <c r="BP28" i="435" s="1"/>
  <c r="BP35" i="435" s="1"/>
  <c r="BP43" i="435" s="1"/>
  <c r="Z8" i="435"/>
  <c r="AA8" i="435"/>
  <c r="P8" i="435"/>
  <c r="Q8" i="435" s="1"/>
  <c r="BP7" i="435"/>
  <c r="BP10" i="435" s="1"/>
  <c r="BP14" i="435" s="1"/>
  <c r="BH49" i="435" s="1"/>
  <c r="BP24" i="435" s="1"/>
  <c r="BP31" i="435" s="1"/>
  <c r="BP39" i="435" s="1"/>
  <c r="BL14" i="435" s="1"/>
  <c r="BL7" i="435"/>
  <c r="BP13" i="435" s="1"/>
  <c r="BP17" i="435" s="1"/>
  <c r="BP21" i="435" s="1"/>
  <c r="BP27" i="435" s="1"/>
  <c r="BP34" i="435" s="1"/>
  <c r="BP42" i="435" s="1"/>
  <c r="AA7" i="435"/>
  <c r="Q7" i="435"/>
  <c r="BP6" i="435"/>
  <c r="BL6" i="435"/>
  <c r="Z6" i="435"/>
  <c r="P6" i="435"/>
  <c r="Q6" i="435" s="1"/>
  <c r="BP5" i="435"/>
  <c r="Z5" i="435"/>
  <c r="AA5" i="435"/>
  <c r="P5" i="435"/>
  <c r="Q5" i="435" s="1"/>
  <c r="D3" i="435"/>
  <c r="S2" i="435"/>
  <c r="AF1" i="435"/>
  <c r="V1" i="435"/>
  <c r="S1" i="435"/>
  <c r="V26" i="464" l="1"/>
  <c r="V27" i="464"/>
  <c r="V20" i="464"/>
  <c r="V21" i="464" s="1"/>
  <c r="L28" i="464" s="1"/>
  <c r="AD21" i="464"/>
  <c r="AF20" i="464"/>
  <c r="AF21" i="464" s="1"/>
  <c r="L42" i="464" s="1"/>
  <c r="L26" i="464"/>
  <c r="AC25" i="464"/>
  <c r="AC26" i="464"/>
  <c r="AC27" i="464"/>
  <c r="V28" i="464"/>
  <c r="V40" i="464"/>
  <c r="AA26" i="464"/>
  <c r="AA25" i="464"/>
  <c r="V42" i="464"/>
  <c r="R37" i="464"/>
  <c r="V39" i="464"/>
  <c r="V43" i="464"/>
  <c r="V45" i="464"/>
  <c r="V46" i="464"/>
  <c r="V44" i="464"/>
  <c r="V48" i="464"/>
  <c r="V47" i="464"/>
  <c r="R23" i="464"/>
  <c r="V25" i="464"/>
  <c r="V34" i="464"/>
  <c r="V30" i="464"/>
  <c r="V31" i="464"/>
  <c r="V32" i="464"/>
  <c r="V33" i="464"/>
  <c r="V29" i="464"/>
  <c r="V41" i="464"/>
  <c r="R26" i="463"/>
  <c r="AE20" i="463"/>
  <c r="AE21" i="463" s="1"/>
  <c r="L41" i="463" s="1"/>
  <c r="AD20" i="463"/>
  <c r="U20" i="463"/>
  <c r="U21" i="463" s="1"/>
  <c r="L27" i="463" s="1"/>
  <c r="T20" i="463"/>
  <c r="T21" i="463" s="1"/>
  <c r="L26" i="463" s="1"/>
  <c r="R47" i="463"/>
  <c r="R49" i="463"/>
  <c r="R48" i="463"/>
  <c r="R46" i="463"/>
  <c r="R45" i="463"/>
  <c r="N37" i="463"/>
  <c r="P39" i="463"/>
  <c r="R41" i="463" s="1"/>
  <c r="R28" i="463"/>
  <c r="R25" i="463"/>
  <c r="R27" i="463"/>
  <c r="R30" i="463"/>
  <c r="P23" i="463"/>
  <c r="R29" i="463"/>
  <c r="AA6" i="435"/>
  <c r="D23" i="435"/>
  <c r="Q17" i="435"/>
  <c r="B23" i="435"/>
  <c r="C23" i="435" s="1"/>
  <c r="K3" i="435"/>
  <c r="K1" i="435"/>
  <c r="G3" i="435"/>
  <c r="K2" i="435"/>
  <c r="G1" i="435"/>
  <c r="G2" i="435"/>
  <c r="B31" i="435"/>
  <c r="W25" i="435" s="1"/>
  <c r="C31" i="435"/>
  <c r="W39" i="435" s="1"/>
  <c r="BF29" i="435"/>
  <c r="BF32" i="435"/>
  <c r="BF31" i="435"/>
  <c r="S21" i="464" l="1"/>
  <c r="L25" i="464" s="1"/>
  <c r="L23" i="464" s="1"/>
  <c r="AA23" i="464"/>
  <c r="AC23" i="464"/>
  <c r="L40" i="464"/>
  <c r="AC21" i="464"/>
  <c r="L39" i="464" s="1"/>
  <c r="AQ27" i="464"/>
  <c r="AQ25" i="464"/>
  <c r="AQ30" i="464"/>
  <c r="AQ33" i="464"/>
  <c r="AQ26" i="464"/>
  <c r="AQ28" i="464"/>
  <c r="AQ32" i="464"/>
  <c r="AQ29" i="464"/>
  <c r="AQ31" i="464"/>
  <c r="AQ34" i="464"/>
  <c r="AK43" i="464"/>
  <c r="AK41" i="464"/>
  <c r="AK40" i="464"/>
  <c r="AK45" i="464"/>
  <c r="AK42" i="464"/>
  <c r="AK39" i="464"/>
  <c r="AK44" i="464"/>
  <c r="AE28" i="464"/>
  <c r="AE25" i="464"/>
  <c r="AE26" i="464"/>
  <c r="AE27" i="464"/>
  <c r="AC39" i="464"/>
  <c r="AC40" i="464"/>
  <c r="AC41" i="464"/>
  <c r="AI39" i="464"/>
  <c r="AI44" i="464"/>
  <c r="AI40" i="464"/>
  <c r="AI41" i="464"/>
  <c r="AI43" i="464"/>
  <c r="AI42" i="464"/>
  <c r="AG29" i="464"/>
  <c r="AG26" i="464"/>
  <c r="AG25" i="464"/>
  <c r="AG28" i="464"/>
  <c r="AG27" i="464"/>
  <c r="AK31" i="464"/>
  <c r="AK28" i="464"/>
  <c r="AK26" i="464"/>
  <c r="AK30" i="464"/>
  <c r="AK29" i="464"/>
  <c r="AK27" i="464"/>
  <c r="AK25" i="464"/>
  <c r="Y39" i="464"/>
  <c r="V37" i="464"/>
  <c r="V49" i="464" s="1"/>
  <c r="V36" i="464" s="1"/>
  <c r="AO30" i="464"/>
  <c r="AO31" i="464"/>
  <c r="AO29" i="464"/>
  <c r="AO33" i="464"/>
  <c r="AO26" i="464"/>
  <c r="AO27" i="464"/>
  <c r="AO25" i="464"/>
  <c r="AO32" i="464"/>
  <c r="AO28" i="464"/>
  <c r="AQ45" i="464"/>
  <c r="AQ42" i="464"/>
  <c r="AQ43" i="464"/>
  <c r="AQ46" i="464"/>
  <c r="AQ48" i="464"/>
  <c r="AQ44" i="464"/>
  <c r="AQ40" i="464"/>
  <c r="AQ47" i="464"/>
  <c r="AQ41" i="464"/>
  <c r="AQ39" i="464"/>
  <c r="AE40" i="464"/>
  <c r="AE39" i="464"/>
  <c r="AE41" i="464"/>
  <c r="AE42" i="464"/>
  <c r="AM26" i="464"/>
  <c r="AM30" i="464"/>
  <c r="AM32" i="464"/>
  <c r="AM29" i="464"/>
  <c r="AM27" i="464"/>
  <c r="AM25" i="464"/>
  <c r="AM31" i="464"/>
  <c r="AM28" i="464"/>
  <c r="V23" i="464"/>
  <c r="V35" i="464" s="1"/>
  <c r="V22" i="464" s="1"/>
  <c r="Y25" i="464"/>
  <c r="AG41" i="464"/>
  <c r="AG40" i="464"/>
  <c r="AG43" i="464"/>
  <c r="AG39" i="464"/>
  <c r="AG42" i="464"/>
  <c r="AI26" i="464"/>
  <c r="AI29" i="464"/>
  <c r="AI28" i="464"/>
  <c r="AI27" i="464"/>
  <c r="AI25" i="464"/>
  <c r="AI30" i="464"/>
  <c r="AO45" i="464"/>
  <c r="AO39" i="464"/>
  <c r="AO44" i="464"/>
  <c r="AO41" i="464"/>
  <c r="AO42" i="464"/>
  <c r="AO43" i="464"/>
  <c r="AO47" i="464"/>
  <c r="AO46" i="464"/>
  <c r="AO40" i="464"/>
  <c r="AM46" i="464"/>
  <c r="AM42" i="464"/>
  <c r="AM40" i="464"/>
  <c r="AM44" i="464"/>
  <c r="AM41" i="464"/>
  <c r="AM43" i="464"/>
  <c r="AM45" i="464"/>
  <c r="AM39" i="464"/>
  <c r="AA39" i="464"/>
  <c r="AA40" i="464"/>
  <c r="R42" i="463"/>
  <c r="V28" i="463"/>
  <c r="AE27" i="463" s="1"/>
  <c r="V20" i="463"/>
  <c r="V21" i="463" s="1"/>
  <c r="L28" i="463" s="1"/>
  <c r="AD21" i="463"/>
  <c r="AF20" i="463"/>
  <c r="AF21" i="463" s="1"/>
  <c r="L42" i="463" s="1"/>
  <c r="V27" i="463"/>
  <c r="AC25" i="463" s="1"/>
  <c r="R44" i="463"/>
  <c r="AE26" i="463"/>
  <c r="R39" i="463"/>
  <c r="P37" i="463"/>
  <c r="R23" i="463"/>
  <c r="V25" i="463"/>
  <c r="V31" i="463"/>
  <c r="V29" i="463"/>
  <c r="V32" i="463"/>
  <c r="V34" i="463"/>
  <c r="V30" i="463"/>
  <c r="V33" i="463"/>
  <c r="R43" i="463"/>
  <c r="R40" i="463"/>
  <c r="V40" i="463" s="1"/>
  <c r="V26" i="463"/>
  <c r="B34" i="435"/>
  <c r="B24" i="435"/>
  <c r="T39" i="435"/>
  <c r="T49" i="435"/>
  <c r="T42" i="435"/>
  <c r="T46" i="435"/>
  <c r="T43" i="435"/>
  <c r="T41" i="435"/>
  <c r="T47" i="435"/>
  <c r="T33" i="435"/>
  <c r="T35" i="435"/>
  <c r="T44" i="435"/>
  <c r="T48" i="435"/>
  <c r="N30" i="435"/>
  <c r="P30" i="435" s="1"/>
  <c r="R35" i="435" s="1"/>
  <c r="N29" i="435"/>
  <c r="P29" i="435" s="1"/>
  <c r="N26" i="435"/>
  <c r="N28" i="435"/>
  <c r="P28" i="435" s="1"/>
  <c r="N25" i="435"/>
  <c r="N27" i="435"/>
  <c r="P27" i="435" s="1"/>
  <c r="L1" i="435"/>
  <c r="T45" i="435"/>
  <c r="T34" i="435"/>
  <c r="T32" i="435"/>
  <c r="C34" i="435"/>
  <c r="T30" i="435"/>
  <c r="T26" i="435"/>
  <c r="C24" i="435"/>
  <c r="T31" i="435"/>
  <c r="T29" i="435"/>
  <c r="T28" i="435"/>
  <c r="T25" i="435"/>
  <c r="T27" i="435"/>
  <c r="T40" i="435"/>
  <c r="H1" i="435"/>
  <c r="AM23" i="464" l="1"/>
  <c r="AK23" i="464"/>
  <c r="AQ23" i="464"/>
  <c r="AI23" i="464"/>
  <c r="AA37" i="464"/>
  <c r="AO23" i="464"/>
  <c r="AK37" i="464"/>
  <c r="L37" i="464"/>
  <c r="AQ37" i="464"/>
  <c r="AM37" i="464"/>
  <c r="AG37" i="464"/>
  <c r="AE23" i="464"/>
  <c r="AO37" i="464"/>
  <c r="AE37" i="464"/>
  <c r="AC37" i="464"/>
  <c r="AG23" i="464"/>
  <c r="AI37" i="464"/>
  <c r="AS32" i="464"/>
  <c r="AS26" i="464"/>
  <c r="J26" i="464" s="1"/>
  <c r="AS29" i="464"/>
  <c r="J29" i="464" s="1"/>
  <c r="AS34" i="464"/>
  <c r="J34" i="464" s="1"/>
  <c r="AS25" i="464"/>
  <c r="AS28" i="464"/>
  <c r="AS30" i="464"/>
  <c r="J30" i="464" s="1"/>
  <c r="AS33" i="464"/>
  <c r="J33" i="464" s="1"/>
  <c r="AS27" i="464"/>
  <c r="J27" i="464" s="1"/>
  <c r="AS35" i="464"/>
  <c r="J35" i="464" s="1"/>
  <c r="AS31" i="464"/>
  <c r="J31" i="464" s="1"/>
  <c r="AS40" i="464"/>
  <c r="J40" i="464" s="1"/>
  <c r="AS49" i="464"/>
  <c r="J49" i="464" s="1"/>
  <c r="AS46" i="464"/>
  <c r="J46" i="464" s="1"/>
  <c r="AS48" i="464"/>
  <c r="J48" i="464" s="1"/>
  <c r="AS44" i="464"/>
  <c r="J44" i="464" s="1"/>
  <c r="AS39" i="464"/>
  <c r="AS45" i="464"/>
  <c r="J45" i="464" s="1"/>
  <c r="AS42" i="464"/>
  <c r="J42" i="464" s="1"/>
  <c r="AS41" i="464"/>
  <c r="J41" i="464" s="1"/>
  <c r="AS43" i="464"/>
  <c r="J43" i="464" s="1"/>
  <c r="AS47" i="464"/>
  <c r="J47" i="464" s="1"/>
  <c r="J28" i="464"/>
  <c r="Y37" i="464"/>
  <c r="Y23" i="464"/>
  <c r="J25" i="464"/>
  <c r="J32" i="464"/>
  <c r="AC27" i="463"/>
  <c r="AE28" i="463"/>
  <c r="S21" i="463"/>
  <c r="L25" i="463" s="1"/>
  <c r="L23" i="463" s="1"/>
  <c r="AC26" i="463"/>
  <c r="AE25" i="463"/>
  <c r="L40" i="463"/>
  <c r="AC21" i="463"/>
  <c r="L39" i="463" s="1"/>
  <c r="AA40" i="463"/>
  <c r="AA39" i="463"/>
  <c r="AK29" i="463"/>
  <c r="AK27" i="463"/>
  <c r="AK28" i="463"/>
  <c r="AK31" i="463"/>
  <c r="AK25" i="463"/>
  <c r="AK26" i="463"/>
  <c r="AK30" i="463"/>
  <c r="AM31" i="463"/>
  <c r="AM27" i="463"/>
  <c r="AM25" i="463"/>
  <c r="AM30" i="463"/>
  <c r="AM26" i="463"/>
  <c r="AM28" i="463"/>
  <c r="AM29" i="463"/>
  <c r="AM32" i="463"/>
  <c r="V42" i="463"/>
  <c r="AI30" i="463"/>
  <c r="AI27" i="463"/>
  <c r="AI25" i="463"/>
  <c r="AI29" i="463"/>
  <c r="AI28" i="463"/>
  <c r="AI26" i="463"/>
  <c r="AQ32" i="463"/>
  <c r="AQ33" i="463"/>
  <c r="AQ31" i="463"/>
  <c r="AQ26" i="463"/>
  <c r="AQ29" i="463"/>
  <c r="AQ28" i="463"/>
  <c r="AQ25" i="463"/>
  <c r="AQ34" i="463"/>
  <c r="AQ27" i="463"/>
  <c r="AQ30" i="463"/>
  <c r="Y25" i="463"/>
  <c r="V23" i="463"/>
  <c r="V35" i="463" s="1"/>
  <c r="V22" i="463" s="1"/>
  <c r="R37" i="463"/>
  <c r="V39" i="463"/>
  <c r="V45" i="463"/>
  <c r="V47" i="463"/>
  <c r="V44" i="463"/>
  <c r="V48" i="463"/>
  <c r="V43" i="463"/>
  <c r="V46" i="463"/>
  <c r="AO32" i="463"/>
  <c r="AO25" i="463"/>
  <c r="AO29" i="463"/>
  <c r="AO33" i="463"/>
  <c r="AO28" i="463"/>
  <c r="AO27" i="463"/>
  <c r="AO30" i="463"/>
  <c r="AO31" i="463"/>
  <c r="AO26" i="463"/>
  <c r="AA25" i="463"/>
  <c r="AA26" i="463"/>
  <c r="AG27" i="463"/>
  <c r="AG26" i="463"/>
  <c r="AG25" i="463"/>
  <c r="AG29" i="463"/>
  <c r="AG28" i="463"/>
  <c r="V41" i="463"/>
  <c r="R34" i="435"/>
  <c r="T37" i="435"/>
  <c r="T23" i="435"/>
  <c r="R33" i="435"/>
  <c r="N43" i="435"/>
  <c r="P43" i="435" s="1"/>
  <c r="N41" i="435"/>
  <c r="P41" i="435" s="1"/>
  <c r="N44" i="435"/>
  <c r="P44" i="435" s="1"/>
  <c r="N39" i="435"/>
  <c r="N42" i="435"/>
  <c r="P42" i="435" s="1"/>
  <c r="N40" i="435"/>
  <c r="P40" i="435" s="1"/>
  <c r="M1" i="435"/>
  <c r="M2" i="435" s="1"/>
  <c r="R5" i="435" s="1"/>
  <c r="P26" i="435"/>
  <c r="R31" i="435" s="1"/>
  <c r="R32" i="435"/>
  <c r="P25" i="435"/>
  <c r="N23" i="435"/>
  <c r="AS23" i="464" l="1"/>
  <c r="AS22" i="464" s="1"/>
  <c r="AS37" i="464"/>
  <c r="AS36" i="464" s="1"/>
  <c r="H46" i="464"/>
  <c r="H26" i="464"/>
  <c r="H29" i="464"/>
  <c r="H30" i="464"/>
  <c r="H43" i="464"/>
  <c r="H27" i="464"/>
  <c r="H44" i="464"/>
  <c r="H33" i="464"/>
  <c r="H34" i="464"/>
  <c r="H45" i="464"/>
  <c r="H49" i="464"/>
  <c r="H48" i="464"/>
  <c r="H28" i="464"/>
  <c r="H32" i="464"/>
  <c r="H35" i="464"/>
  <c r="BN14" i="464" s="1"/>
  <c r="H31" i="464"/>
  <c r="H47" i="464"/>
  <c r="J39" i="464"/>
  <c r="H40" i="464" s="1"/>
  <c r="J23" i="464"/>
  <c r="H25" i="464"/>
  <c r="AC23" i="463"/>
  <c r="AE23" i="463"/>
  <c r="L37" i="463"/>
  <c r="AO23" i="463"/>
  <c r="AQ23" i="463"/>
  <c r="AK23" i="463"/>
  <c r="AM23" i="463"/>
  <c r="AI23" i="463"/>
  <c r="AA37" i="463"/>
  <c r="AG23" i="463"/>
  <c r="AA23" i="463"/>
  <c r="AO47" i="463"/>
  <c r="AO46" i="463"/>
  <c r="AO40" i="463"/>
  <c r="AO41" i="463"/>
  <c r="AO42" i="463"/>
  <c r="AO43" i="463"/>
  <c r="AO45" i="463"/>
  <c r="AO39" i="463"/>
  <c r="AO44" i="463"/>
  <c r="AG42" i="463"/>
  <c r="AG39" i="463"/>
  <c r="AG43" i="463"/>
  <c r="AG41" i="463"/>
  <c r="AG40" i="463"/>
  <c r="AK44" i="463"/>
  <c r="AK42" i="463"/>
  <c r="AK39" i="463"/>
  <c r="AK45" i="463"/>
  <c r="AK41" i="463"/>
  <c r="AK43" i="463"/>
  <c r="AK40" i="463"/>
  <c r="AS34" i="463"/>
  <c r="J34" i="463" s="1"/>
  <c r="AS30" i="463"/>
  <c r="J30" i="463" s="1"/>
  <c r="AS27" i="463"/>
  <c r="J27" i="463" s="1"/>
  <c r="AS31" i="463"/>
  <c r="J31" i="463" s="1"/>
  <c r="AS29" i="463"/>
  <c r="J29" i="463" s="1"/>
  <c r="AS25" i="463"/>
  <c r="AS35" i="463"/>
  <c r="J35" i="463" s="1"/>
  <c r="AS28" i="463"/>
  <c r="J28" i="463" s="1"/>
  <c r="AS26" i="463"/>
  <c r="J26" i="463" s="1"/>
  <c r="AS33" i="463"/>
  <c r="J33" i="463" s="1"/>
  <c r="AS32" i="463"/>
  <c r="J32" i="463" s="1"/>
  <c r="AE39" i="463"/>
  <c r="AE42" i="463"/>
  <c r="AE40" i="463"/>
  <c r="AE41" i="463"/>
  <c r="AI44" i="463"/>
  <c r="AI40" i="463"/>
  <c r="AI42" i="463"/>
  <c r="AI41" i="463"/>
  <c r="AI43" i="463"/>
  <c r="AI39" i="463"/>
  <c r="AM44" i="463"/>
  <c r="AM40" i="463"/>
  <c r="AM43" i="463"/>
  <c r="AM45" i="463"/>
  <c r="AM39" i="463"/>
  <c r="AM41" i="463"/>
  <c r="AM46" i="463"/>
  <c r="AM42" i="463"/>
  <c r="AC40" i="463"/>
  <c r="AC39" i="463"/>
  <c r="AC41" i="463"/>
  <c r="AQ47" i="463"/>
  <c r="AQ41" i="463"/>
  <c r="AQ44" i="463"/>
  <c r="AQ39" i="463"/>
  <c r="AQ46" i="463"/>
  <c r="AQ48" i="463"/>
  <c r="AQ45" i="463"/>
  <c r="AQ42" i="463"/>
  <c r="AQ43" i="463"/>
  <c r="AQ40" i="463"/>
  <c r="Y39" i="463"/>
  <c r="V37" i="463"/>
  <c r="V49" i="463" s="1"/>
  <c r="V36" i="463" s="1"/>
  <c r="Y23" i="463"/>
  <c r="R26" i="435"/>
  <c r="AB19" i="435"/>
  <c r="AB18" i="435"/>
  <c r="AB15" i="435"/>
  <c r="AB13" i="435"/>
  <c r="AB11" i="435"/>
  <c r="R9" i="435"/>
  <c r="R6" i="435"/>
  <c r="R11" i="435"/>
  <c r="AB10" i="435"/>
  <c r="R19" i="435"/>
  <c r="R17" i="435"/>
  <c r="R16" i="435"/>
  <c r="R15" i="435"/>
  <c r="R14" i="435"/>
  <c r="AB12" i="435"/>
  <c r="AB6" i="435"/>
  <c r="AB14" i="435"/>
  <c r="R18" i="435"/>
  <c r="AB17" i="435"/>
  <c r="R13" i="435"/>
  <c r="R12" i="435"/>
  <c r="R10" i="435"/>
  <c r="AB9" i="435"/>
  <c r="R8" i="435"/>
  <c r="AB7" i="435"/>
  <c r="AB16" i="435"/>
  <c r="AB8" i="435"/>
  <c r="R7" i="435"/>
  <c r="AB5" i="435"/>
  <c r="N37" i="435"/>
  <c r="P39" i="435"/>
  <c r="R40" i="435" s="1"/>
  <c r="R47" i="435"/>
  <c r="R49" i="435"/>
  <c r="R48" i="435"/>
  <c r="R46" i="435"/>
  <c r="R45" i="435"/>
  <c r="R27" i="435"/>
  <c r="P23" i="435"/>
  <c r="R30" i="435"/>
  <c r="R29" i="435"/>
  <c r="R25" i="435"/>
  <c r="R28" i="435"/>
  <c r="V1" i="285"/>
  <c r="BH52" i="285"/>
  <c r="BH55" i="285" s="1"/>
  <c r="BH57" i="285" s="1"/>
  <c r="BL13" i="285" s="1"/>
  <c r="BF48" i="285"/>
  <c r="BF47" i="285"/>
  <c r="BF46" i="285"/>
  <c r="BH45" i="285"/>
  <c r="BH50" i="285" s="1"/>
  <c r="BL11" i="285" s="1"/>
  <c r="BP38" i="285" s="1"/>
  <c r="BP46" i="285" s="1"/>
  <c r="BE45" i="285"/>
  <c r="BE44" i="285"/>
  <c r="BF45" i="285" s="1"/>
  <c r="BD44" i="285"/>
  <c r="BE43" i="285"/>
  <c r="BF44" i="285" s="1"/>
  <c r="BD43" i="285"/>
  <c r="BC43" i="285"/>
  <c r="BE42" i="285"/>
  <c r="BF43" i="285" s="1"/>
  <c r="BD42" i="285"/>
  <c r="BC42" i="285"/>
  <c r="BF41" i="285"/>
  <c r="BE41" i="285"/>
  <c r="BF42" i="285" s="1"/>
  <c r="BD41" i="285"/>
  <c r="BC41" i="285"/>
  <c r="BF40" i="285"/>
  <c r="BE40" i="285"/>
  <c r="BD40" i="285"/>
  <c r="BC40" i="285"/>
  <c r="BC39" i="285"/>
  <c r="AS38" i="285"/>
  <c r="AR38" i="285"/>
  <c r="AQ38" i="285"/>
  <c r="AP38" i="285"/>
  <c r="AO38" i="285"/>
  <c r="AN38" i="285"/>
  <c r="AM38" i="285"/>
  <c r="AL38" i="285"/>
  <c r="AK38" i="285"/>
  <c r="AJ38" i="285"/>
  <c r="AI38" i="285"/>
  <c r="AH38" i="285"/>
  <c r="AG38" i="285"/>
  <c r="AF38" i="285"/>
  <c r="AE38" i="285"/>
  <c r="AD38" i="285"/>
  <c r="AC38" i="285"/>
  <c r="AB38" i="285"/>
  <c r="AA38" i="285"/>
  <c r="Z38" i="285"/>
  <c r="Y38" i="285"/>
  <c r="X38" i="285"/>
  <c r="W38" i="285"/>
  <c r="V38" i="285"/>
  <c r="U38" i="285"/>
  <c r="T38" i="285"/>
  <c r="S38" i="285"/>
  <c r="R38" i="285"/>
  <c r="Q38" i="285"/>
  <c r="P38" i="285"/>
  <c r="O38" i="285"/>
  <c r="N38" i="285"/>
  <c r="M38" i="285"/>
  <c r="L38" i="285"/>
  <c r="K38" i="285"/>
  <c r="J38" i="285"/>
  <c r="I38" i="285"/>
  <c r="H38" i="285"/>
  <c r="G38" i="285"/>
  <c r="BF34" i="285"/>
  <c r="BF33" i="285"/>
  <c r="C33" i="285"/>
  <c r="B33" i="285"/>
  <c r="C32" i="285"/>
  <c r="B32" i="285"/>
  <c r="BE31" i="285"/>
  <c r="BF32" i="285" s="1"/>
  <c r="BH30" i="285"/>
  <c r="BH37" i="285" s="1"/>
  <c r="BH43" i="285" s="1"/>
  <c r="BH48" i="285" s="1"/>
  <c r="BH53" i="285" s="1"/>
  <c r="BH56" i="285" s="1"/>
  <c r="BH58" i="285" s="1"/>
  <c r="BH59" i="285" s="1"/>
  <c r="BE30" i="285"/>
  <c r="BD30" i="285"/>
  <c r="E30" i="285"/>
  <c r="D30" i="285"/>
  <c r="BH29" i="285"/>
  <c r="BH36" i="285" s="1"/>
  <c r="BH42" i="285" s="1"/>
  <c r="BH47" i="285" s="1"/>
  <c r="BE29" i="285"/>
  <c r="BF30" i="285" s="1"/>
  <c r="BD29" i="285"/>
  <c r="BC29" i="285"/>
  <c r="C29" i="285"/>
  <c r="B29" i="285"/>
  <c r="BH28" i="285"/>
  <c r="BH35" i="285" s="1"/>
  <c r="BH41" i="285" s="1"/>
  <c r="BH46" i="285" s="1"/>
  <c r="BH51" i="285" s="1"/>
  <c r="BH54" i="285" s="1"/>
  <c r="BL12" i="285" s="1"/>
  <c r="BP47" i="285" s="1"/>
  <c r="BE28" i="285"/>
  <c r="BF29" i="285" s="1"/>
  <c r="BD28" i="285"/>
  <c r="BC28" i="285"/>
  <c r="BH27" i="285"/>
  <c r="BH34" i="285" s="1"/>
  <c r="BH40" i="285" s="1"/>
  <c r="BF27" i="285"/>
  <c r="BE27" i="285"/>
  <c r="BD27" i="285"/>
  <c r="BC27" i="285"/>
  <c r="C27" i="285"/>
  <c r="B27" i="285"/>
  <c r="BH26" i="285"/>
  <c r="BH33" i="285" s="1"/>
  <c r="BH39" i="285" s="1"/>
  <c r="BH44" i="285" s="1"/>
  <c r="BL10" i="285" s="1"/>
  <c r="BP30" i="285" s="1"/>
  <c r="BP37" i="285" s="1"/>
  <c r="BP45" i="285" s="1"/>
  <c r="BF26" i="285"/>
  <c r="BE26" i="285"/>
  <c r="BD26" i="285"/>
  <c r="BC26" i="285"/>
  <c r="E26" i="285"/>
  <c r="E27" i="285" s="1"/>
  <c r="D26" i="285"/>
  <c r="D27" i="285" s="1"/>
  <c r="C26" i="285"/>
  <c r="B26" i="285"/>
  <c r="BH25" i="285"/>
  <c r="BH32" i="285" s="1"/>
  <c r="BH38" i="285" s="1"/>
  <c r="BC25" i="285"/>
  <c r="E25" i="285"/>
  <c r="D25" i="285"/>
  <c r="C25" i="285"/>
  <c r="B25" i="285"/>
  <c r="BH24" i="285"/>
  <c r="BH31" i="285" s="1"/>
  <c r="BH23" i="285"/>
  <c r="B22" i="285"/>
  <c r="C22" i="285" s="1"/>
  <c r="B20" i="285"/>
  <c r="B21" i="285" s="1"/>
  <c r="Z19" i="285"/>
  <c r="P19" i="285"/>
  <c r="AA18" i="285"/>
  <c r="Q18" i="285"/>
  <c r="Z17" i="285"/>
  <c r="P17" i="285"/>
  <c r="AA16" i="285"/>
  <c r="Q16" i="285"/>
  <c r="C16" i="285"/>
  <c r="B16" i="285"/>
  <c r="AA15" i="285"/>
  <c r="Q15" i="285"/>
  <c r="AA14" i="285"/>
  <c r="Q14" i="285"/>
  <c r="AA13" i="285"/>
  <c r="Q13" i="285"/>
  <c r="AA12" i="285"/>
  <c r="Q12" i="285"/>
  <c r="Z11" i="285"/>
  <c r="P11" i="285"/>
  <c r="Q11" i="285"/>
  <c r="Z10" i="285"/>
  <c r="P10" i="285"/>
  <c r="BL9" i="285"/>
  <c r="BP23" i="285" s="1"/>
  <c r="BP29" i="285" s="1"/>
  <c r="BP36" i="285" s="1"/>
  <c r="BP44" i="285" s="1"/>
  <c r="AA9" i="285"/>
  <c r="Q9" i="285"/>
  <c r="BP8" i="285"/>
  <c r="BP11" i="285" s="1"/>
  <c r="BP15" i="285" s="1"/>
  <c r="BP19" i="285" s="1"/>
  <c r="BP25" i="285" s="1"/>
  <c r="BP32" i="285" s="1"/>
  <c r="BP40" i="285" s="1"/>
  <c r="BL8" i="285"/>
  <c r="BP18" i="285" s="1"/>
  <c r="BP22" i="285" s="1"/>
  <c r="BP28" i="285" s="1"/>
  <c r="BP35" i="285" s="1"/>
  <c r="BP43" i="285" s="1"/>
  <c r="Z8" i="285"/>
  <c r="P8" i="285"/>
  <c r="BL7" i="285"/>
  <c r="BP13" i="285" s="1"/>
  <c r="BP17" i="285" s="1"/>
  <c r="BP21" i="285" s="1"/>
  <c r="BP27" i="285" s="1"/>
  <c r="BP34" i="285" s="1"/>
  <c r="BP42" i="285" s="1"/>
  <c r="AA7" i="285"/>
  <c r="Q7" i="285"/>
  <c r="BP6" i="285"/>
  <c r="BL6" i="285"/>
  <c r="BP9" i="285" s="1"/>
  <c r="BP12" i="285" s="1"/>
  <c r="BP16" i="285" s="1"/>
  <c r="BP20" i="285" s="1"/>
  <c r="BP26" i="285" s="1"/>
  <c r="BP33" i="285" s="1"/>
  <c r="BP41" i="285" s="1"/>
  <c r="Z6" i="285"/>
  <c r="AA6" i="285"/>
  <c r="P6" i="285"/>
  <c r="BP5" i="285"/>
  <c r="BP7" i="285" s="1"/>
  <c r="BP10" i="285" s="1"/>
  <c r="BP14" i="285" s="1"/>
  <c r="BH49" i="285" s="1"/>
  <c r="BP24" i="285" s="1"/>
  <c r="BP31" i="285" s="1"/>
  <c r="BP39" i="285" s="1"/>
  <c r="BL14" i="285" s="1"/>
  <c r="Z5" i="285"/>
  <c r="P5" i="285"/>
  <c r="D3" i="285"/>
  <c r="K1" i="285" s="1"/>
  <c r="S2" i="285"/>
  <c r="AF1" i="285"/>
  <c r="S1" i="285"/>
  <c r="BJ17" i="464" l="1"/>
  <c r="BJ20" i="464"/>
  <c r="BJ40" i="464"/>
  <c r="BJ21" i="464"/>
  <c r="BJ19" i="464"/>
  <c r="BJ16" i="464"/>
  <c r="BJ46" i="464"/>
  <c r="BJ41" i="464"/>
  <c r="BR15" i="464"/>
  <c r="BJ44" i="464"/>
  <c r="BJ43" i="464"/>
  <c r="BJ22" i="464"/>
  <c r="BJ45" i="464"/>
  <c r="BJ18" i="464"/>
  <c r="BR18" i="464"/>
  <c r="BJ48" i="464"/>
  <c r="BN9" i="464"/>
  <c r="H23" i="464"/>
  <c r="BJ10" i="464"/>
  <c r="BJ8" i="464"/>
  <c r="BJ12" i="464"/>
  <c r="BJ13" i="464"/>
  <c r="BJ11" i="464"/>
  <c r="BJ4" i="464"/>
  <c r="BJ9" i="464"/>
  <c r="BJ7" i="464"/>
  <c r="BJ32" i="464"/>
  <c r="BJ31" i="464"/>
  <c r="BJ35" i="464"/>
  <c r="BJ33" i="464"/>
  <c r="BJ37" i="464"/>
  <c r="BJ36" i="464"/>
  <c r="BR8" i="464"/>
  <c r="BJ34" i="464"/>
  <c r="BJ29" i="464"/>
  <c r="BJ26" i="464"/>
  <c r="BJ27" i="464"/>
  <c r="BJ30" i="464"/>
  <c r="BJ24" i="464"/>
  <c r="BJ28" i="464"/>
  <c r="BR6" i="464"/>
  <c r="BJ25" i="464"/>
  <c r="J37" i="464"/>
  <c r="H39" i="464"/>
  <c r="BJ49" i="464" s="1"/>
  <c r="BN8" i="464"/>
  <c r="BJ38" i="464"/>
  <c r="BJ39" i="464"/>
  <c r="BN5" i="464"/>
  <c r="BJ47" i="464"/>
  <c r="BJ59" i="464"/>
  <c r="BR40" i="464"/>
  <c r="BR45" i="464"/>
  <c r="BR44" i="464"/>
  <c r="BR43" i="464"/>
  <c r="BR46" i="464"/>
  <c r="BR47" i="464"/>
  <c r="BN13" i="464"/>
  <c r="BR11" i="464"/>
  <c r="BJ53" i="464"/>
  <c r="BJ51" i="464"/>
  <c r="BJ50" i="464"/>
  <c r="BR19" i="464"/>
  <c r="BR23" i="464"/>
  <c r="BJ52" i="464"/>
  <c r="BN10" i="464"/>
  <c r="BR22" i="464"/>
  <c r="BJ57" i="464"/>
  <c r="BR38" i="464"/>
  <c r="BR37" i="464"/>
  <c r="BR36" i="464"/>
  <c r="BJ58" i="464"/>
  <c r="BR35" i="464"/>
  <c r="BR32" i="464"/>
  <c r="BN12" i="464"/>
  <c r="BJ42" i="464"/>
  <c r="BJ55" i="464"/>
  <c r="BR30" i="464"/>
  <c r="BJ54" i="464"/>
  <c r="BR25" i="464"/>
  <c r="BR28" i="464"/>
  <c r="BJ56" i="464"/>
  <c r="BR29" i="464"/>
  <c r="BN11" i="464"/>
  <c r="H41" i="464"/>
  <c r="BR9" i="464" s="1"/>
  <c r="H42" i="464"/>
  <c r="BJ6" i="464" s="1"/>
  <c r="AS23" i="463"/>
  <c r="AS22" i="463" s="1"/>
  <c r="AE37" i="463"/>
  <c r="AC37" i="463"/>
  <c r="AK37" i="463"/>
  <c r="AM37" i="463"/>
  <c r="AO37" i="463"/>
  <c r="AQ37" i="463"/>
  <c r="AI37" i="463"/>
  <c r="AG37" i="463"/>
  <c r="J25" i="463"/>
  <c r="H25" i="463" s="1"/>
  <c r="H29" i="463"/>
  <c r="H31" i="463"/>
  <c r="H32" i="463"/>
  <c r="Y37" i="463"/>
  <c r="H34" i="463"/>
  <c r="H35" i="463"/>
  <c r="AS42" i="463"/>
  <c r="AS46" i="463"/>
  <c r="AS43" i="463"/>
  <c r="J43" i="463" s="1"/>
  <c r="AS47" i="463"/>
  <c r="J47" i="463" s="1"/>
  <c r="AS41" i="463"/>
  <c r="J41" i="463" s="1"/>
  <c r="AS48" i="463"/>
  <c r="J48" i="463" s="1"/>
  <c r="AS40" i="463"/>
  <c r="J40" i="463" s="1"/>
  <c r="AS49" i="463"/>
  <c r="J49" i="463" s="1"/>
  <c r="AS45" i="463"/>
  <c r="J45" i="463" s="1"/>
  <c r="AS44" i="463"/>
  <c r="J44" i="463" s="1"/>
  <c r="AS39" i="463"/>
  <c r="H33" i="463"/>
  <c r="J42" i="463"/>
  <c r="J46" i="463"/>
  <c r="H30" i="463"/>
  <c r="R43" i="435"/>
  <c r="V27" i="435"/>
  <c r="R41" i="435"/>
  <c r="R44" i="435"/>
  <c r="R23" i="435"/>
  <c r="V25" i="435"/>
  <c r="V33" i="435"/>
  <c r="V30" i="435"/>
  <c r="V31" i="435"/>
  <c r="V34" i="435"/>
  <c r="V32" i="435"/>
  <c r="V29" i="435"/>
  <c r="AC5" i="435"/>
  <c r="S5" i="435"/>
  <c r="S10" i="435"/>
  <c r="S18" i="435"/>
  <c r="S14" i="435"/>
  <c r="S19" i="435"/>
  <c r="S9" i="435"/>
  <c r="AC18" i="435"/>
  <c r="S7" i="435"/>
  <c r="AC7" i="435"/>
  <c r="S12" i="435"/>
  <c r="AC14" i="435"/>
  <c r="S15" i="435"/>
  <c r="AC10" i="435"/>
  <c r="AC11" i="435"/>
  <c r="AC19" i="435"/>
  <c r="V28" i="435"/>
  <c r="R39" i="435"/>
  <c r="P37" i="435"/>
  <c r="AC8" i="435"/>
  <c r="S8" i="435"/>
  <c r="S13" i="435"/>
  <c r="AC6" i="435"/>
  <c r="S16" i="435"/>
  <c r="S11" i="435"/>
  <c r="AC13" i="435"/>
  <c r="R42" i="435"/>
  <c r="AC27" i="435"/>
  <c r="AC26" i="435"/>
  <c r="AC25" i="435"/>
  <c r="AC16" i="435"/>
  <c r="AC9" i="435"/>
  <c r="AC17" i="435"/>
  <c r="AC12" i="435"/>
  <c r="S17" i="435"/>
  <c r="S6" i="435"/>
  <c r="AC15" i="435"/>
  <c r="V26" i="435"/>
  <c r="Q10" i="285"/>
  <c r="AA10" i="285"/>
  <c r="Q19" i="285"/>
  <c r="G2" i="285"/>
  <c r="G3" i="285"/>
  <c r="Q6" i="285"/>
  <c r="Q17" i="285"/>
  <c r="G1" i="285"/>
  <c r="K2" i="285"/>
  <c r="K3" i="285"/>
  <c r="Q5" i="285"/>
  <c r="R5" i="285" s="1"/>
  <c r="AA8" i="285"/>
  <c r="BF28" i="285"/>
  <c r="BF31" i="285"/>
  <c r="AA5" i="285"/>
  <c r="AA11" i="285"/>
  <c r="AA17" i="285"/>
  <c r="D23" i="285"/>
  <c r="E23" i="285"/>
  <c r="Q8" i="285"/>
  <c r="AA19" i="285"/>
  <c r="B23" i="285"/>
  <c r="C23" i="285" s="1"/>
  <c r="B31" i="285"/>
  <c r="W25" i="285" s="1"/>
  <c r="C31" i="285"/>
  <c r="W39" i="285" s="1"/>
  <c r="BR31" i="464" l="1"/>
  <c r="BR42" i="464"/>
  <c r="H37" i="464"/>
  <c r="BR4" i="464"/>
  <c r="BR14" i="464"/>
  <c r="BR10" i="464"/>
  <c r="BN6" i="464"/>
  <c r="BJ5" i="464"/>
  <c r="BR41" i="464"/>
  <c r="BR26" i="464"/>
  <c r="BR27" i="464"/>
  <c r="BR21" i="464"/>
  <c r="BJ23" i="464"/>
  <c r="BR12" i="464"/>
  <c r="BR16" i="464"/>
  <c r="BJ14" i="464"/>
  <c r="BR24" i="464"/>
  <c r="BR20" i="464"/>
  <c r="BR5" i="464"/>
  <c r="BR7" i="464"/>
  <c r="BR13" i="464"/>
  <c r="BJ15" i="464"/>
  <c r="BR17" i="464"/>
  <c r="BR33" i="464"/>
  <c r="BR34" i="464"/>
  <c r="BR39" i="464"/>
  <c r="BN7" i="464"/>
  <c r="BN4" i="464"/>
  <c r="H26" i="463"/>
  <c r="AS37" i="463"/>
  <c r="AS36" i="463" s="1"/>
  <c r="J23" i="463"/>
  <c r="H27" i="463"/>
  <c r="H28" i="463"/>
  <c r="H43" i="463"/>
  <c r="BR22" i="463" s="1"/>
  <c r="H45" i="463"/>
  <c r="BN10" i="463" s="1"/>
  <c r="H47" i="463"/>
  <c r="BJ54" i="463" s="1"/>
  <c r="H49" i="463"/>
  <c r="BJ59" i="463" s="1"/>
  <c r="H48" i="463"/>
  <c r="BJ52" i="463" s="1"/>
  <c r="H46" i="463"/>
  <c r="BJ45" i="463" s="1"/>
  <c r="H44" i="463"/>
  <c r="BR36" i="463" s="1"/>
  <c r="J39" i="463"/>
  <c r="H41" i="463" s="1"/>
  <c r="T17" i="435"/>
  <c r="AD14" i="435"/>
  <c r="AC23" i="435"/>
  <c r="U6" i="435"/>
  <c r="T13" i="435"/>
  <c r="AD16" i="435"/>
  <c r="U15" i="435"/>
  <c r="AE16" i="435"/>
  <c r="AD9" i="435"/>
  <c r="U5" i="435"/>
  <c r="T5" i="435"/>
  <c r="AD17" i="435"/>
  <c r="AD15" i="435"/>
  <c r="AD5" i="435"/>
  <c r="U7" i="435"/>
  <c r="AE18" i="435"/>
  <c r="T9" i="435"/>
  <c r="AD13" i="435"/>
  <c r="AE8" i="435"/>
  <c r="AE11" i="435"/>
  <c r="AE9" i="435"/>
  <c r="T11" i="435"/>
  <c r="U13" i="435"/>
  <c r="AD19" i="435"/>
  <c r="AD10" i="435"/>
  <c r="T12" i="435"/>
  <c r="S20" i="435"/>
  <c r="U17" i="435"/>
  <c r="AE17" i="435"/>
  <c r="AE7" i="435"/>
  <c r="AD12" i="435"/>
  <c r="U16" i="435"/>
  <c r="T14" i="435"/>
  <c r="AE5" i="435"/>
  <c r="AD18" i="435"/>
  <c r="U11" i="435"/>
  <c r="AC20" i="435"/>
  <c r="AA25" i="435"/>
  <c r="AA26" i="435"/>
  <c r="AE12" i="435"/>
  <c r="AE15" i="435"/>
  <c r="AD6" i="435"/>
  <c r="T8" i="435"/>
  <c r="T15" i="435"/>
  <c r="AE14" i="435"/>
  <c r="T7" i="435"/>
  <c r="U9" i="435"/>
  <c r="U14" i="435"/>
  <c r="T18" i="435"/>
  <c r="AM32" i="435"/>
  <c r="AM28" i="435"/>
  <c r="AM25" i="435"/>
  <c r="AM26" i="435"/>
  <c r="AM30" i="435"/>
  <c r="AM29" i="435"/>
  <c r="AM27" i="435"/>
  <c r="AM31" i="435"/>
  <c r="AO32" i="435"/>
  <c r="AO25" i="435"/>
  <c r="AO29" i="435"/>
  <c r="AO33" i="435"/>
  <c r="AO26" i="435"/>
  <c r="AO28" i="435"/>
  <c r="AO30" i="435"/>
  <c r="AO31" i="435"/>
  <c r="AO27" i="435"/>
  <c r="AE13" i="435"/>
  <c r="R37" i="435"/>
  <c r="V39" i="435"/>
  <c r="V47" i="435"/>
  <c r="V46" i="435"/>
  <c r="V43" i="435"/>
  <c r="V45" i="435"/>
  <c r="V44" i="435"/>
  <c r="V48" i="435"/>
  <c r="U12" i="435"/>
  <c r="U10" i="435"/>
  <c r="AQ32" i="435"/>
  <c r="AQ31" i="435"/>
  <c r="AQ34" i="435"/>
  <c r="AQ27" i="435"/>
  <c r="AQ29" i="435"/>
  <c r="AQ33" i="435"/>
  <c r="AQ28" i="435"/>
  <c r="AQ26" i="435"/>
  <c r="AQ25" i="435"/>
  <c r="AQ30" i="435"/>
  <c r="AE6" i="435"/>
  <c r="T6" i="435"/>
  <c r="V42" i="435"/>
  <c r="T16" i="435"/>
  <c r="U8" i="435"/>
  <c r="AD8" i="435"/>
  <c r="AE27" i="435"/>
  <c r="AE25" i="435"/>
  <c r="AE28" i="435"/>
  <c r="AE26" i="435"/>
  <c r="AD11" i="435"/>
  <c r="AE10" i="435"/>
  <c r="AD7" i="435"/>
  <c r="V40" i="435"/>
  <c r="T19" i="435"/>
  <c r="U18" i="435"/>
  <c r="V41" i="435"/>
  <c r="AK29" i="435"/>
  <c r="AK27" i="435"/>
  <c r="AK26" i="435"/>
  <c r="AK25" i="435"/>
  <c r="AK30" i="435"/>
  <c r="AK31" i="435"/>
  <c r="AK28" i="435"/>
  <c r="V23" i="435"/>
  <c r="V35" i="435" s="1"/>
  <c r="V22" i="435" s="1"/>
  <c r="Y25" i="435"/>
  <c r="T10" i="435"/>
  <c r="AG25" i="435"/>
  <c r="AG28" i="435"/>
  <c r="AG29" i="435"/>
  <c r="AG26" i="435"/>
  <c r="AG27" i="435"/>
  <c r="AI30" i="435"/>
  <c r="AI29" i="435"/>
  <c r="AI28" i="435"/>
  <c r="AI27" i="435"/>
  <c r="AI26" i="435"/>
  <c r="AI25" i="435"/>
  <c r="L1" i="285"/>
  <c r="H1" i="285"/>
  <c r="M1" i="285"/>
  <c r="M2" i="285" s="1"/>
  <c r="R17" i="285" s="1"/>
  <c r="S17" i="285" s="1"/>
  <c r="R11" i="285"/>
  <c r="S11" i="285" s="1"/>
  <c r="R6" i="285"/>
  <c r="S6" i="285" s="1"/>
  <c r="AB5" i="285"/>
  <c r="AC5" i="285" s="1"/>
  <c r="R7" i="285"/>
  <c r="S7" i="285" s="1"/>
  <c r="R12" i="285"/>
  <c r="S12" i="285" s="1"/>
  <c r="AB6" i="285"/>
  <c r="AC6" i="285" s="1"/>
  <c r="AB9" i="285"/>
  <c r="AC9" i="285" s="1"/>
  <c r="AB8" i="285"/>
  <c r="AC8" i="285" s="1"/>
  <c r="R16" i="285"/>
  <c r="S16" i="285" s="1"/>
  <c r="T42" i="285"/>
  <c r="T40" i="285"/>
  <c r="T47" i="285"/>
  <c r="T32" i="285"/>
  <c r="C34" i="285"/>
  <c r="T31" i="285"/>
  <c r="T28" i="285"/>
  <c r="T26" i="285"/>
  <c r="T25" i="285"/>
  <c r="T29" i="285"/>
  <c r="T27" i="285"/>
  <c r="C24" i="285"/>
  <c r="T33" i="285"/>
  <c r="T30" i="285"/>
  <c r="T35" i="285"/>
  <c r="T43" i="285"/>
  <c r="T34" i="285"/>
  <c r="B24" i="285"/>
  <c r="T48" i="285"/>
  <c r="T46" i="285"/>
  <c r="B34" i="285"/>
  <c r="T44" i="285"/>
  <c r="T49" i="285"/>
  <c r="T39" i="285"/>
  <c r="T45" i="285"/>
  <c r="T41" i="285"/>
  <c r="B38" i="464" l="1"/>
  <c r="B37" i="464"/>
  <c r="B39" i="464"/>
  <c r="H23" i="463"/>
  <c r="BR18" i="463"/>
  <c r="BR35" i="463"/>
  <c r="BR28" i="463"/>
  <c r="BR43" i="463"/>
  <c r="BJ16" i="463"/>
  <c r="BR45" i="463"/>
  <c r="BR30" i="463"/>
  <c r="BJ7" i="463"/>
  <c r="BN11" i="463"/>
  <c r="BR46" i="463"/>
  <c r="BJ20" i="463"/>
  <c r="BJ46" i="463"/>
  <c r="BJ56" i="463"/>
  <c r="BJ31" i="463"/>
  <c r="BJ18" i="463"/>
  <c r="BR37" i="463"/>
  <c r="BJ9" i="463"/>
  <c r="BJ44" i="463"/>
  <c r="BN8" i="463"/>
  <c r="BJ17" i="463"/>
  <c r="BR47" i="463"/>
  <c r="BN12" i="463"/>
  <c r="BJ11" i="463"/>
  <c r="BJ51" i="463"/>
  <c r="BN13" i="463"/>
  <c r="BJ24" i="463"/>
  <c r="BJ57" i="463"/>
  <c r="BR33" i="463"/>
  <c r="BJ14" i="463"/>
  <c r="BJ5" i="463"/>
  <c r="BR20" i="463"/>
  <c r="H40" i="463"/>
  <c r="BN5" i="463" s="1"/>
  <c r="BJ13" i="463"/>
  <c r="BJ40" i="463"/>
  <c r="BJ34" i="463"/>
  <c r="BJ27" i="463"/>
  <c r="BJ50" i="463"/>
  <c r="BR9" i="463"/>
  <c r="BN6" i="463"/>
  <c r="BR12" i="463"/>
  <c r="J37" i="463"/>
  <c r="H39" i="463"/>
  <c r="BJ19" i="463"/>
  <c r="BR16" i="463"/>
  <c r="BJ47" i="463"/>
  <c r="H42" i="463"/>
  <c r="BJ12" i="463"/>
  <c r="BJ10" i="463"/>
  <c r="BJ28" i="463"/>
  <c r="BJ35" i="463"/>
  <c r="BJ41" i="463"/>
  <c r="BJ36" i="463"/>
  <c r="BJ42" i="463"/>
  <c r="BJ29" i="463"/>
  <c r="BR26" i="463"/>
  <c r="BJ55" i="463"/>
  <c r="BR41" i="463"/>
  <c r="BJ21" i="463"/>
  <c r="BJ25" i="463"/>
  <c r="BJ38" i="463"/>
  <c r="BJ32" i="463"/>
  <c r="BJ8" i="463"/>
  <c r="BJ30" i="463"/>
  <c r="BJ37" i="463"/>
  <c r="BJ43" i="463"/>
  <c r="BR29" i="463"/>
  <c r="BN14" i="463"/>
  <c r="BR44" i="463"/>
  <c r="BJ22" i="463"/>
  <c r="BJ58" i="463"/>
  <c r="BR38" i="463"/>
  <c r="BN9" i="463"/>
  <c r="BJ48" i="463"/>
  <c r="BR23" i="463"/>
  <c r="BJ53" i="463"/>
  <c r="BJ39" i="463"/>
  <c r="BJ33" i="463"/>
  <c r="BJ26" i="463"/>
  <c r="AM23" i="435"/>
  <c r="AE23" i="435"/>
  <c r="AO23" i="435"/>
  <c r="AK23" i="435"/>
  <c r="AI23" i="435"/>
  <c r="AQ23" i="435"/>
  <c r="AA23" i="435"/>
  <c r="AG23" i="435"/>
  <c r="AE20" i="435"/>
  <c r="AE21" i="435" s="1"/>
  <c r="L41" i="435" s="1"/>
  <c r="AD20" i="435"/>
  <c r="U20" i="435"/>
  <c r="U21" i="435" s="1"/>
  <c r="L27" i="435" s="1"/>
  <c r="T20" i="435"/>
  <c r="T21" i="435" s="1"/>
  <c r="L26" i="435" s="1"/>
  <c r="Y23" i="435"/>
  <c r="AE40" i="435"/>
  <c r="AE42" i="435"/>
  <c r="AE41" i="435"/>
  <c r="AE39" i="435"/>
  <c r="AQ39" i="435"/>
  <c r="AQ46" i="435"/>
  <c r="AQ45" i="435"/>
  <c r="AQ42" i="435"/>
  <c r="AQ43" i="435"/>
  <c r="AQ48" i="435"/>
  <c r="AQ44" i="435"/>
  <c r="AQ40" i="435"/>
  <c r="AQ47" i="435"/>
  <c r="AQ41" i="435"/>
  <c r="AM43" i="435"/>
  <c r="AM45" i="435"/>
  <c r="AM39" i="435"/>
  <c r="AM44" i="435"/>
  <c r="AM46" i="435"/>
  <c r="AM42" i="435"/>
  <c r="AM40" i="435"/>
  <c r="AM41" i="435"/>
  <c r="AS34" i="435"/>
  <c r="J34" i="435" s="1"/>
  <c r="AS25" i="435"/>
  <c r="AS35" i="435"/>
  <c r="J35" i="435" s="1"/>
  <c r="AS26" i="435"/>
  <c r="J26" i="435" s="1"/>
  <c r="AS31" i="435"/>
  <c r="J31" i="435" s="1"/>
  <c r="AS28" i="435"/>
  <c r="J28" i="435" s="1"/>
  <c r="AS30" i="435"/>
  <c r="J30" i="435" s="1"/>
  <c r="AS33" i="435"/>
  <c r="J33" i="435" s="1"/>
  <c r="AS27" i="435"/>
  <c r="J27" i="435" s="1"/>
  <c r="AS32" i="435"/>
  <c r="AS29" i="435"/>
  <c r="J29" i="435" s="1"/>
  <c r="AC40" i="435"/>
  <c r="AC41" i="435"/>
  <c r="AC39" i="435"/>
  <c r="AA40" i="435"/>
  <c r="AA39" i="435"/>
  <c r="AI41" i="435"/>
  <c r="AI43" i="435"/>
  <c r="AI39" i="435"/>
  <c r="AI42" i="435"/>
  <c r="AI44" i="435"/>
  <c r="AI40" i="435"/>
  <c r="AO41" i="435"/>
  <c r="AO46" i="435"/>
  <c r="AO45" i="435"/>
  <c r="AO39" i="435"/>
  <c r="AO44" i="435"/>
  <c r="AO42" i="435"/>
  <c r="AO43" i="435"/>
  <c r="AO47" i="435"/>
  <c r="AO40" i="435"/>
  <c r="AK41" i="435"/>
  <c r="AK42" i="435"/>
  <c r="AK43" i="435"/>
  <c r="AK40" i="435"/>
  <c r="AK45" i="435"/>
  <c r="AK44" i="435"/>
  <c r="AK39" i="435"/>
  <c r="AG42" i="435"/>
  <c r="AG41" i="435"/>
  <c r="AG39" i="435"/>
  <c r="AG43" i="435"/>
  <c r="AG40" i="435"/>
  <c r="Y39" i="435"/>
  <c r="V37" i="435"/>
  <c r="V49" i="435" s="1"/>
  <c r="V36" i="435" s="1"/>
  <c r="J32" i="435"/>
  <c r="R13" i="285"/>
  <c r="S13" i="285" s="1"/>
  <c r="AB10" i="285"/>
  <c r="AC10" i="285" s="1"/>
  <c r="AB11" i="285"/>
  <c r="AC11" i="285" s="1"/>
  <c r="AB15" i="285"/>
  <c r="AC15" i="285" s="1"/>
  <c r="R9" i="285"/>
  <c r="S9" i="285" s="1"/>
  <c r="AB12" i="285"/>
  <c r="R18" i="285"/>
  <c r="S18" i="285" s="1"/>
  <c r="R8" i="285"/>
  <c r="S8" i="285" s="1"/>
  <c r="AB13" i="285"/>
  <c r="AC13" i="285" s="1"/>
  <c r="AD12" i="285" s="1"/>
  <c r="AB17" i="285"/>
  <c r="AC17" i="285" s="1"/>
  <c r="AB14" i="285"/>
  <c r="AC14" i="285" s="1"/>
  <c r="AB18" i="285"/>
  <c r="AC18" i="285" s="1"/>
  <c r="R14" i="285"/>
  <c r="S14" i="285" s="1"/>
  <c r="T7" i="285" s="1"/>
  <c r="R19" i="285"/>
  <c r="S19" i="285" s="1"/>
  <c r="AB16" i="285"/>
  <c r="AC16" i="285" s="1"/>
  <c r="AB19" i="285"/>
  <c r="AC19" i="285" s="1"/>
  <c r="AB7" i="285"/>
  <c r="AC7" i="285" s="1"/>
  <c r="S5" i="285"/>
  <c r="R15" i="285"/>
  <c r="S15" i="285" s="1"/>
  <c r="R10" i="285"/>
  <c r="S10" i="285" s="1"/>
  <c r="T37" i="285"/>
  <c r="T23" i="285"/>
  <c r="AC12" i="285"/>
  <c r="N29" i="285"/>
  <c r="P29" i="285" s="1"/>
  <c r="N27" i="285"/>
  <c r="P27" i="285" s="1"/>
  <c r="N30" i="285"/>
  <c r="P30" i="285" s="1"/>
  <c r="R35" i="285" s="1"/>
  <c r="N28" i="285"/>
  <c r="P28" i="285" s="1"/>
  <c r="N26" i="285"/>
  <c r="N25" i="285"/>
  <c r="N43" i="285"/>
  <c r="P43" i="285" s="1"/>
  <c r="N41" i="285"/>
  <c r="P41" i="285" s="1"/>
  <c r="N39" i="285"/>
  <c r="N44" i="285"/>
  <c r="P44" i="285" s="1"/>
  <c r="N42" i="285"/>
  <c r="P42" i="285" s="1"/>
  <c r="N40" i="285"/>
  <c r="P40" i="285" s="1"/>
  <c r="T10" i="285" l="1"/>
  <c r="B36" i="464"/>
  <c r="BR40" i="463"/>
  <c r="BR6" i="463"/>
  <c r="BR8" i="463"/>
  <c r="BR19" i="463"/>
  <c r="BJ4" i="463"/>
  <c r="BR25" i="463"/>
  <c r="BR11" i="463"/>
  <c r="BR32" i="463"/>
  <c r="BR15" i="463"/>
  <c r="BR13" i="463"/>
  <c r="BN7" i="463"/>
  <c r="BJ23" i="463"/>
  <c r="BR27" i="463"/>
  <c r="BJ6" i="463"/>
  <c r="BR34" i="463"/>
  <c r="BJ15" i="463"/>
  <c r="BR21" i="463"/>
  <c r="BR17" i="463"/>
  <c r="BR42" i="463"/>
  <c r="H37" i="463"/>
  <c r="BR10" i="463"/>
  <c r="BR7" i="463"/>
  <c r="BR5" i="463"/>
  <c r="BN4" i="463"/>
  <c r="BR4" i="463"/>
  <c r="BR39" i="463"/>
  <c r="BR31" i="463"/>
  <c r="BR14" i="463"/>
  <c r="BR24" i="463"/>
  <c r="BJ49" i="463"/>
  <c r="AI37" i="435"/>
  <c r="AC37" i="435"/>
  <c r="AS23" i="435"/>
  <c r="AG37" i="435"/>
  <c r="AM37" i="435"/>
  <c r="AQ37" i="435"/>
  <c r="AK37" i="435"/>
  <c r="AO37" i="435"/>
  <c r="AE37" i="435"/>
  <c r="AA37" i="435"/>
  <c r="J25" i="435"/>
  <c r="J23" i="435" s="1"/>
  <c r="AD21" i="435"/>
  <c r="AF20" i="435"/>
  <c r="AF21" i="435" s="1"/>
  <c r="L42" i="435" s="1"/>
  <c r="V20" i="435"/>
  <c r="V21" i="435" s="1"/>
  <c r="L28" i="435" s="1"/>
  <c r="AS46" i="435"/>
  <c r="AS43" i="435"/>
  <c r="J43" i="435" s="1"/>
  <c r="AS47" i="435"/>
  <c r="AS41" i="435"/>
  <c r="J41" i="435" s="1"/>
  <c r="AS48" i="435"/>
  <c r="AS45" i="435"/>
  <c r="J45" i="435" s="1"/>
  <c r="AS40" i="435"/>
  <c r="J40" i="435" s="1"/>
  <c r="AS49" i="435"/>
  <c r="J49" i="435" s="1"/>
  <c r="AS42" i="435"/>
  <c r="J42" i="435" s="1"/>
  <c r="AS44" i="435"/>
  <c r="J44" i="435" s="1"/>
  <c r="AS39" i="435"/>
  <c r="J47" i="435"/>
  <c r="J48" i="435"/>
  <c r="AS22" i="435"/>
  <c r="J39" i="435"/>
  <c r="Y37" i="435"/>
  <c r="J46" i="435"/>
  <c r="U7" i="285"/>
  <c r="AE14" i="285"/>
  <c r="U13" i="285"/>
  <c r="T13" i="285"/>
  <c r="AD6" i="285"/>
  <c r="T14" i="285"/>
  <c r="U10" i="285"/>
  <c r="T19" i="285"/>
  <c r="AE9" i="285"/>
  <c r="T18" i="285"/>
  <c r="U14" i="285"/>
  <c r="U12" i="285"/>
  <c r="T17" i="285"/>
  <c r="AE12" i="285"/>
  <c r="T12" i="285"/>
  <c r="T6" i="285"/>
  <c r="U18" i="285"/>
  <c r="T16" i="285"/>
  <c r="U6" i="285"/>
  <c r="U17" i="285"/>
  <c r="AE15" i="285"/>
  <c r="U16" i="285"/>
  <c r="T5" i="285"/>
  <c r="T20" i="285" s="1"/>
  <c r="T21" i="285" s="1"/>
  <c r="S20" i="285"/>
  <c r="T15" i="285"/>
  <c r="U8" i="285"/>
  <c r="U5" i="285"/>
  <c r="U20" i="285" s="1"/>
  <c r="U21" i="285" s="1"/>
  <c r="L27" i="285" s="1"/>
  <c r="U11" i="285"/>
  <c r="T8" i="285"/>
  <c r="U9" i="285"/>
  <c r="AD9" i="285"/>
  <c r="U15" i="285"/>
  <c r="T9" i="285"/>
  <c r="T11" i="285"/>
  <c r="AE17" i="285"/>
  <c r="AE5" i="285"/>
  <c r="AE8" i="285"/>
  <c r="AE16" i="285"/>
  <c r="AD19" i="285"/>
  <c r="AE13" i="285"/>
  <c r="AD13" i="285"/>
  <c r="AE6" i="285"/>
  <c r="AE7" i="285"/>
  <c r="AD7" i="285"/>
  <c r="AD8" i="285"/>
  <c r="AD10" i="285"/>
  <c r="AE10" i="285"/>
  <c r="AD16" i="285"/>
  <c r="AC20" i="285"/>
  <c r="AD11" i="285"/>
  <c r="AD14" i="285"/>
  <c r="AD17" i="285"/>
  <c r="AD18" i="285"/>
  <c r="AE18" i="285"/>
  <c r="AD15" i="285"/>
  <c r="AD5" i="285"/>
  <c r="AE11" i="285"/>
  <c r="AE20" i="285" s="1"/>
  <c r="AE21" i="285" s="1"/>
  <c r="L41" i="285" s="1"/>
  <c r="R32" i="285"/>
  <c r="P25" i="285"/>
  <c r="N23" i="285"/>
  <c r="P26" i="285"/>
  <c r="R31" i="285" s="1"/>
  <c r="R34" i="285"/>
  <c r="R49" i="285"/>
  <c r="R48" i="285"/>
  <c r="R46" i="285"/>
  <c r="R47" i="285"/>
  <c r="R45" i="285"/>
  <c r="R33" i="285"/>
  <c r="N37" i="285"/>
  <c r="P39" i="285"/>
  <c r="B37" i="463" l="1"/>
  <c r="B39" i="463"/>
  <c r="B38" i="463"/>
  <c r="J37" i="435"/>
  <c r="AS37" i="435"/>
  <c r="AS36" i="435" s="1"/>
  <c r="L40" i="435"/>
  <c r="AC21" i="435"/>
  <c r="L39" i="435" s="1"/>
  <c r="S21" i="435"/>
  <c r="L25" i="435" s="1"/>
  <c r="L26" i="285"/>
  <c r="AD20" i="285"/>
  <c r="AD21" i="285" s="1"/>
  <c r="V20" i="285"/>
  <c r="R39" i="285"/>
  <c r="P37" i="285"/>
  <c r="R44" i="285"/>
  <c r="R26" i="285"/>
  <c r="R30" i="285"/>
  <c r="R28" i="285"/>
  <c r="R25" i="285"/>
  <c r="R29" i="285"/>
  <c r="R27" i="285"/>
  <c r="P23" i="285"/>
  <c r="R42" i="285"/>
  <c r="R40" i="285"/>
  <c r="R43" i="285"/>
  <c r="R41" i="285"/>
  <c r="B36" i="463" l="1"/>
  <c r="L37" i="435"/>
  <c r="H46" i="435"/>
  <c r="H49" i="435"/>
  <c r="H47" i="435"/>
  <c r="H45" i="435"/>
  <c r="H48" i="435"/>
  <c r="H43" i="435"/>
  <c r="H29" i="435"/>
  <c r="H31" i="435"/>
  <c r="L23" i="435"/>
  <c r="H33" i="435"/>
  <c r="H34" i="435"/>
  <c r="H26" i="435"/>
  <c r="H32" i="435"/>
  <c r="H30" i="435"/>
  <c r="H25" i="435"/>
  <c r="H28" i="435"/>
  <c r="H27" i="435"/>
  <c r="H35" i="435"/>
  <c r="BN14" i="435" s="1"/>
  <c r="H42" i="435"/>
  <c r="BR13" i="435" s="1"/>
  <c r="H39" i="435"/>
  <c r="H44" i="435"/>
  <c r="H41" i="435"/>
  <c r="H40" i="435"/>
  <c r="BR11" i="435" s="1"/>
  <c r="L40" i="285"/>
  <c r="V21" i="285"/>
  <c r="AF20" i="285"/>
  <c r="V40" i="285"/>
  <c r="AA39" i="285" s="1"/>
  <c r="V26" i="285"/>
  <c r="AA26" i="285" s="1"/>
  <c r="R23" i="285"/>
  <c r="V25" i="285"/>
  <c r="V29" i="285"/>
  <c r="V32" i="285"/>
  <c r="V30" i="285"/>
  <c r="V33" i="285"/>
  <c r="V31" i="285"/>
  <c r="V34" i="285"/>
  <c r="V42" i="285"/>
  <c r="V41" i="285"/>
  <c r="V28" i="285"/>
  <c r="V27" i="285"/>
  <c r="V39" i="285"/>
  <c r="R37" i="285"/>
  <c r="V43" i="285"/>
  <c r="V46" i="285"/>
  <c r="V47" i="285"/>
  <c r="V44" i="285"/>
  <c r="V45" i="285"/>
  <c r="V48" i="285"/>
  <c r="BR12" i="435" l="1"/>
  <c r="BJ40" i="435"/>
  <c r="BJ33" i="435"/>
  <c r="BN10" i="435"/>
  <c r="BN12" i="435"/>
  <c r="BJ17" i="435"/>
  <c r="BR37" i="435"/>
  <c r="BJ38" i="435"/>
  <c r="BR35" i="435"/>
  <c r="BJ24" i="435"/>
  <c r="BR44" i="435"/>
  <c r="BJ18" i="435"/>
  <c r="BR14" i="435"/>
  <c r="BR29" i="435"/>
  <c r="BJ42" i="435"/>
  <c r="BR10" i="435"/>
  <c r="BJ49" i="435"/>
  <c r="BR7" i="435"/>
  <c r="BJ23" i="435"/>
  <c r="BJ28" i="435"/>
  <c r="BJ25" i="435"/>
  <c r="BN6" i="435"/>
  <c r="BJ27" i="435"/>
  <c r="BJ29" i="435"/>
  <c r="BR6" i="435"/>
  <c r="BN4" i="435"/>
  <c r="H37" i="435"/>
  <c r="BJ47" i="435"/>
  <c r="BR30" i="435"/>
  <c r="BJ35" i="435"/>
  <c r="BR9" i="435"/>
  <c r="BJ37" i="435"/>
  <c r="BR8" i="435"/>
  <c r="BJ31" i="435"/>
  <c r="BJ32" i="435"/>
  <c r="BJ34" i="435"/>
  <c r="BN7" i="435"/>
  <c r="BJ21" i="435"/>
  <c r="BJ16" i="435"/>
  <c r="BJ15" i="435"/>
  <c r="BN5" i="435"/>
  <c r="BJ19" i="435"/>
  <c r="BJ20" i="435"/>
  <c r="BJ14" i="435"/>
  <c r="BJ22" i="435"/>
  <c r="BJ51" i="435"/>
  <c r="BR19" i="435"/>
  <c r="BR20" i="435"/>
  <c r="BJ50" i="435"/>
  <c r="BJ52" i="435"/>
  <c r="BR23" i="435"/>
  <c r="BR21" i="435"/>
  <c r="BR22" i="435"/>
  <c r="BJ53" i="435"/>
  <c r="BJ39" i="435"/>
  <c r="BJ57" i="435"/>
  <c r="BJ13" i="435"/>
  <c r="BJ12" i="435"/>
  <c r="BJ5" i="435"/>
  <c r="BJ11" i="435"/>
  <c r="BJ6" i="435"/>
  <c r="BJ8" i="435"/>
  <c r="H23" i="435"/>
  <c r="BJ4" i="435"/>
  <c r="BJ9" i="435"/>
  <c r="BJ10" i="435"/>
  <c r="BJ7" i="435"/>
  <c r="BR45" i="435"/>
  <c r="BR47" i="435"/>
  <c r="BR43" i="435"/>
  <c r="BR42" i="435"/>
  <c r="BJ59" i="435"/>
  <c r="BR41" i="435"/>
  <c r="BN13" i="435"/>
  <c r="BR40" i="435"/>
  <c r="BR46" i="435"/>
  <c r="BJ41" i="435"/>
  <c r="BJ55" i="435"/>
  <c r="BR27" i="435"/>
  <c r="BN11" i="435"/>
  <c r="BR26" i="435"/>
  <c r="BJ54" i="435"/>
  <c r="BR24" i="435"/>
  <c r="BR25" i="435"/>
  <c r="BJ56" i="435"/>
  <c r="BR28" i="435"/>
  <c r="BR5" i="435"/>
  <c r="BJ30" i="435"/>
  <c r="BR4" i="435"/>
  <c r="BR31" i="435"/>
  <c r="BJ26" i="435"/>
  <c r="BR39" i="435"/>
  <c r="BJ36" i="435"/>
  <c r="BJ46" i="435"/>
  <c r="BN9" i="435"/>
  <c r="BJ45" i="435"/>
  <c r="BR18" i="435"/>
  <c r="BJ48" i="435"/>
  <c r="BJ44" i="435"/>
  <c r="BR16" i="435"/>
  <c r="BR17" i="435"/>
  <c r="BR15" i="435"/>
  <c r="BJ58" i="435"/>
  <c r="BR38" i="435"/>
  <c r="BR33" i="435"/>
  <c r="BR36" i="435"/>
  <c r="BR32" i="435"/>
  <c r="BR34" i="435"/>
  <c r="BN8" i="435"/>
  <c r="BJ43" i="435"/>
  <c r="AA40" i="285"/>
  <c r="L28" i="285"/>
  <c r="S21" i="285"/>
  <c r="L25" i="285" s="1"/>
  <c r="L23" i="285" s="1"/>
  <c r="AF21" i="285"/>
  <c r="AA25" i="285"/>
  <c r="AA23" i="285" s="1"/>
  <c r="AA37" i="285"/>
  <c r="AI41" i="285"/>
  <c r="AI44" i="285"/>
  <c r="AI40" i="285"/>
  <c r="AI39" i="285"/>
  <c r="AI43" i="285"/>
  <c r="AI42" i="285"/>
  <c r="AE28" i="285"/>
  <c r="AE26" i="285"/>
  <c r="AE27" i="285"/>
  <c r="AE25" i="285"/>
  <c r="AI26" i="285"/>
  <c r="AI27" i="285"/>
  <c r="AI25" i="285"/>
  <c r="AI30" i="285"/>
  <c r="AI29" i="285"/>
  <c r="AI28" i="285"/>
  <c r="Y25" i="285"/>
  <c r="V23" i="285"/>
  <c r="V35" i="285" s="1"/>
  <c r="V22" i="285" s="1"/>
  <c r="AC39" i="285"/>
  <c r="AC40" i="285"/>
  <c r="AC41" i="285"/>
  <c r="AQ31" i="285"/>
  <c r="AQ27" i="285"/>
  <c r="AQ25" i="285"/>
  <c r="AQ30" i="285"/>
  <c r="AQ29" i="285"/>
  <c r="AQ26" i="285"/>
  <c r="AQ33" i="285"/>
  <c r="AQ34" i="285"/>
  <c r="AQ28" i="285"/>
  <c r="AQ32" i="285"/>
  <c r="AG42" i="285"/>
  <c r="AG39" i="285"/>
  <c r="AG43" i="285"/>
  <c r="AG41" i="285"/>
  <c r="AG40" i="285"/>
  <c r="AQ47" i="285"/>
  <c r="AQ40" i="285"/>
  <c r="AQ45" i="285"/>
  <c r="AQ42" i="285"/>
  <c r="AQ44" i="285"/>
  <c r="AQ46" i="285"/>
  <c r="AQ39" i="285"/>
  <c r="AQ43" i="285"/>
  <c r="AQ41" i="285"/>
  <c r="AQ48" i="285"/>
  <c r="AO46" i="285"/>
  <c r="AO43" i="285"/>
  <c r="AO42" i="285"/>
  <c r="AO39" i="285"/>
  <c r="AO45" i="285"/>
  <c r="AO41" i="285"/>
  <c r="AO47" i="285"/>
  <c r="AO44" i="285"/>
  <c r="AO40" i="285"/>
  <c r="V37" i="285"/>
  <c r="V49" i="285" s="1"/>
  <c r="V36" i="285" s="1"/>
  <c r="Y39" i="285"/>
  <c r="AE42" i="285"/>
  <c r="AE40" i="285"/>
  <c r="AE39" i="285"/>
  <c r="AE41" i="285"/>
  <c r="AK31" i="285"/>
  <c r="AK29" i="285"/>
  <c r="AK28" i="285"/>
  <c r="AK25" i="285"/>
  <c r="AK30" i="285"/>
  <c r="AK26" i="285"/>
  <c r="AK27" i="285"/>
  <c r="AM31" i="285"/>
  <c r="AM30" i="285"/>
  <c r="AM29" i="285"/>
  <c r="AM27" i="285"/>
  <c r="AM26" i="285"/>
  <c r="AM25" i="285"/>
  <c r="AM32" i="285"/>
  <c r="AM28" i="285"/>
  <c r="AK39" i="285"/>
  <c r="AK40" i="285"/>
  <c r="AK45" i="285"/>
  <c r="AK42" i="285"/>
  <c r="AK41" i="285"/>
  <c r="AK44" i="285"/>
  <c r="AK43" i="285"/>
  <c r="AM43" i="285"/>
  <c r="AM42" i="285"/>
  <c r="AM44" i="285"/>
  <c r="AM40" i="285"/>
  <c r="AM46" i="285"/>
  <c r="AM45" i="285"/>
  <c r="AM41" i="285"/>
  <c r="AM39" i="285"/>
  <c r="AC26" i="285"/>
  <c r="AC27" i="285"/>
  <c r="AC25" i="285"/>
  <c r="AO27" i="285"/>
  <c r="AO30" i="285"/>
  <c r="AO29" i="285"/>
  <c r="AO25" i="285"/>
  <c r="AO32" i="285"/>
  <c r="AO33" i="285"/>
  <c r="AO28" i="285"/>
  <c r="AO26" i="285"/>
  <c r="AO31" i="285"/>
  <c r="AG29" i="285"/>
  <c r="AG27" i="285"/>
  <c r="AG28" i="285"/>
  <c r="AG26" i="285"/>
  <c r="AG25" i="285"/>
  <c r="B37" i="435" l="1"/>
  <c r="B39" i="435"/>
  <c r="B38" i="435"/>
  <c r="L42" i="285"/>
  <c r="AC21" i="285"/>
  <c r="L39" i="285" s="1"/>
  <c r="L37" i="285" s="1"/>
  <c r="AK23" i="285"/>
  <c r="AK37" i="285"/>
  <c r="AG23" i="285"/>
  <c r="AE37" i="285"/>
  <c r="AG37" i="285"/>
  <c r="AE23" i="285"/>
  <c r="AO37" i="285"/>
  <c r="AM37" i="285"/>
  <c r="AQ23" i="285"/>
  <c r="AI23" i="285"/>
  <c r="AO23" i="285"/>
  <c r="AC23" i="285"/>
  <c r="AM23" i="285"/>
  <c r="AQ37" i="285"/>
  <c r="AC37" i="285"/>
  <c r="AI37" i="285"/>
  <c r="AS31" i="285"/>
  <c r="J31" i="285" s="1"/>
  <c r="AS29" i="285"/>
  <c r="J29" i="285" s="1"/>
  <c r="AS30" i="285"/>
  <c r="J30" i="285" s="1"/>
  <c r="AS25" i="285"/>
  <c r="AS35" i="285"/>
  <c r="J35" i="285" s="1"/>
  <c r="AS34" i="285"/>
  <c r="J34" i="285" s="1"/>
  <c r="AS28" i="285"/>
  <c r="J28" i="285" s="1"/>
  <c r="AS32" i="285"/>
  <c r="J32" i="285" s="1"/>
  <c r="AS33" i="285"/>
  <c r="J33" i="285" s="1"/>
  <c r="AS26" i="285"/>
  <c r="J26" i="285" s="1"/>
  <c r="AS27" i="285"/>
  <c r="J27" i="285" s="1"/>
  <c r="Y37" i="285"/>
  <c r="AS47" i="285"/>
  <c r="J47" i="285" s="1"/>
  <c r="AS39" i="285"/>
  <c r="AS45" i="285"/>
  <c r="J45" i="285" s="1"/>
  <c r="AS43" i="285"/>
  <c r="J43" i="285" s="1"/>
  <c r="AS42" i="285"/>
  <c r="J42" i="285" s="1"/>
  <c r="AS48" i="285"/>
  <c r="J48" i="285" s="1"/>
  <c r="AS44" i="285"/>
  <c r="J44" i="285" s="1"/>
  <c r="AS49" i="285"/>
  <c r="J49" i="285" s="1"/>
  <c r="AS46" i="285"/>
  <c r="J46" i="285" s="1"/>
  <c r="AS41" i="285"/>
  <c r="J41" i="285" s="1"/>
  <c r="AS40" i="285"/>
  <c r="J40" i="285" s="1"/>
  <c r="Y23" i="285"/>
  <c r="B36" i="435" l="1"/>
  <c r="AS23" i="285"/>
  <c r="AS22" i="285" s="1"/>
  <c r="AS37" i="285"/>
  <c r="AS36" i="285" s="1"/>
  <c r="H46" i="285"/>
  <c r="H32" i="285"/>
  <c r="H47" i="285"/>
  <c r="H44" i="285"/>
  <c r="H45" i="285"/>
  <c r="H48" i="285"/>
  <c r="H33" i="285"/>
  <c r="J39" i="285"/>
  <c r="H41" i="285" s="1"/>
  <c r="H43" i="285"/>
  <c r="H31" i="285"/>
  <c r="H34" i="285"/>
  <c r="H49" i="285"/>
  <c r="H29" i="285"/>
  <c r="J25" i="285"/>
  <c r="H27" i="285" s="1"/>
  <c r="H30" i="285"/>
  <c r="H35" i="285"/>
  <c r="BN11" i="285" l="1"/>
  <c r="BJ55" i="285"/>
  <c r="BJ56" i="285"/>
  <c r="BR28" i="285"/>
  <c r="BR26" i="285"/>
  <c r="BR30" i="285"/>
  <c r="BN14" i="285"/>
  <c r="BJ54" i="285"/>
  <c r="BR29" i="285"/>
  <c r="H26" i="285"/>
  <c r="BJ18" i="285" s="1"/>
  <c r="BJ30" i="285"/>
  <c r="BJ28" i="285"/>
  <c r="BJ29" i="285"/>
  <c r="BJ27" i="285"/>
  <c r="BJ26" i="285"/>
  <c r="BJ24" i="285"/>
  <c r="BJ25" i="285"/>
  <c r="BN6" i="285"/>
  <c r="BJ53" i="285"/>
  <c r="BJ51" i="285"/>
  <c r="BJ52" i="285"/>
  <c r="BJ50" i="285"/>
  <c r="BR23" i="285"/>
  <c r="BR22" i="285"/>
  <c r="BN10" i="285"/>
  <c r="BR20" i="285"/>
  <c r="BJ47" i="285"/>
  <c r="BJ46" i="285"/>
  <c r="BJ44" i="285"/>
  <c r="BJ48" i="285"/>
  <c r="BJ45" i="285"/>
  <c r="BR16" i="285"/>
  <c r="BR18" i="285"/>
  <c r="BN9" i="285"/>
  <c r="BJ41" i="285"/>
  <c r="BJ40" i="285"/>
  <c r="BJ43" i="285"/>
  <c r="BJ39" i="285"/>
  <c r="BJ38" i="285"/>
  <c r="BR12" i="285"/>
  <c r="BJ42" i="285"/>
  <c r="BN8" i="285"/>
  <c r="J23" i="285"/>
  <c r="H25" i="285"/>
  <c r="BJ57" i="285"/>
  <c r="BR38" i="285"/>
  <c r="BR33" i="285"/>
  <c r="BR37" i="285"/>
  <c r="BR36" i="285"/>
  <c r="BR35" i="285"/>
  <c r="BJ58" i="285"/>
  <c r="BN12" i="285"/>
  <c r="H28" i="285"/>
  <c r="BJ59" i="285"/>
  <c r="BR45" i="285"/>
  <c r="BR43" i="285"/>
  <c r="BR47" i="285"/>
  <c r="BR41" i="285"/>
  <c r="BN13" i="285"/>
  <c r="BR46" i="285"/>
  <c r="BR44" i="285"/>
  <c r="J37" i="285"/>
  <c r="H39" i="285"/>
  <c r="BR5" i="285" s="1"/>
  <c r="H40" i="285"/>
  <c r="BR25" i="285" s="1"/>
  <c r="H42" i="285"/>
  <c r="BR27" i="285" s="1"/>
  <c r="BJ21" i="285" l="1"/>
  <c r="BJ17" i="285"/>
  <c r="BJ22" i="285"/>
  <c r="BJ19" i="285"/>
  <c r="BJ14" i="285"/>
  <c r="BJ20" i="285"/>
  <c r="BJ16" i="285"/>
  <c r="BR31" i="285"/>
  <c r="BR39" i="285"/>
  <c r="BR40" i="285"/>
  <c r="BN5" i="285"/>
  <c r="BR11" i="285"/>
  <c r="BR34" i="285"/>
  <c r="BR4" i="285"/>
  <c r="BR13" i="285"/>
  <c r="BR14" i="285"/>
  <c r="BR21" i="285"/>
  <c r="H37" i="285"/>
  <c r="BR24" i="285"/>
  <c r="BR42" i="285"/>
  <c r="BR32" i="285"/>
  <c r="BJ15" i="285"/>
  <c r="BR19" i="285"/>
  <c r="BJ49" i="285"/>
  <c r="BR6" i="285"/>
  <c r="BJ32" i="285"/>
  <c r="BJ34" i="285"/>
  <c r="BJ33" i="285"/>
  <c r="BJ37" i="285"/>
  <c r="BJ36" i="285"/>
  <c r="BJ35" i="285"/>
  <c r="BJ31" i="285"/>
  <c r="BR8" i="285"/>
  <c r="BR7" i="285"/>
  <c r="BR9" i="285"/>
  <c r="BN7" i="285"/>
  <c r="BJ12" i="285"/>
  <c r="H23" i="285"/>
  <c r="BJ10" i="285"/>
  <c r="BJ8" i="285"/>
  <c r="BJ9" i="285"/>
  <c r="BJ5" i="285"/>
  <c r="BN4" i="285"/>
  <c r="BJ11" i="285"/>
  <c r="BJ4" i="285"/>
  <c r="BJ7" i="285"/>
  <c r="BJ6" i="285"/>
  <c r="BJ13" i="285"/>
  <c r="BR10" i="285"/>
  <c r="BR17" i="285"/>
  <c r="BR15" i="285"/>
  <c r="BJ23" i="285"/>
  <c r="B38" i="285" l="1"/>
  <c r="B37" i="285"/>
  <c r="B39" i="285"/>
  <c r="B36" i="285" l="1"/>
  <c r="C16" i="273" l="1"/>
  <c r="B33" i="273"/>
  <c r="C33" i="273"/>
  <c r="B16" i="273"/>
  <c r="BF48" i="273"/>
  <c r="BF47" i="273"/>
  <c r="BF46" i="273"/>
  <c r="BH45" i="273"/>
  <c r="BH50" i="273" s="1"/>
  <c r="BE45" i="273"/>
  <c r="BF44" i="273"/>
  <c r="BE44" i="273"/>
  <c r="BF45" i="273" s="1"/>
  <c r="BD44" i="273"/>
  <c r="BE43" i="273"/>
  <c r="BD43" i="273"/>
  <c r="BC43" i="273"/>
  <c r="BE42" i="273"/>
  <c r="BF43" i="273" s="1"/>
  <c r="BD42" i="273"/>
  <c r="BC42" i="273"/>
  <c r="BF41" i="273"/>
  <c r="BE41" i="273"/>
  <c r="BF42" i="273" s="1"/>
  <c r="BD41" i="273"/>
  <c r="BC41" i="273"/>
  <c r="BF40" i="273"/>
  <c r="BE40" i="273"/>
  <c r="BD40" i="273"/>
  <c r="BC40" i="273"/>
  <c r="BH39" i="273"/>
  <c r="BH44" i="273" s="1"/>
  <c r="BL10" i="273" s="1"/>
  <c r="BP30" i="273" s="1"/>
  <c r="BP37" i="273" s="1"/>
  <c r="BP45" i="273" s="1"/>
  <c r="BC39" i="273"/>
  <c r="AS37" i="273"/>
  <c r="AR37" i="273"/>
  <c r="AQ37" i="273"/>
  <c r="AP37" i="273"/>
  <c r="AO37" i="273"/>
  <c r="AN37" i="273"/>
  <c r="AM37" i="273"/>
  <c r="AL37" i="273"/>
  <c r="AK37" i="273"/>
  <c r="AJ37" i="273"/>
  <c r="AI37" i="273"/>
  <c r="AH37" i="273"/>
  <c r="AG37" i="273"/>
  <c r="AF37" i="273"/>
  <c r="AE37" i="273"/>
  <c r="AD37" i="273"/>
  <c r="AC37" i="273"/>
  <c r="AB37" i="273"/>
  <c r="AA37" i="273"/>
  <c r="Z37" i="273"/>
  <c r="Y37" i="273"/>
  <c r="X37" i="273"/>
  <c r="W37" i="273"/>
  <c r="V37" i="273"/>
  <c r="U37" i="273"/>
  <c r="T37" i="273"/>
  <c r="S37" i="273"/>
  <c r="R37" i="273"/>
  <c r="Q37" i="273"/>
  <c r="P37" i="273"/>
  <c r="O37" i="273"/>
  <c r="N37" i="273"/>
  <c r="M37" i="273"/>
  <c r="L37" i="273"/>
  <c r="K37" i="273"/>
  <c r="J37" i="273"/>
  <c r="I37" i="273"/>
  <c r="H37" i="273"/>
  <c r="G37" i="273"/>
  <c r="BF34" i="273"/>
  <c r="BH33" i="273"/>
  <c r="BF33" i="273"/>
  <c r="C32" i="273"/>
  <c r="B32" i="273"/>
  <c r="BH31" i="273"/>
  <c r="BE31" i="273"/>
  <c r="BF32" i="273" s="1"/>
  <c r="BH30" i="273"/>
  <c r="BH37" i="273" s="1"/>
  <c r="BH43" i="273" s="1"/>
  <c r="BH48" i="273" s="1"/>
  <c r="BH53" i="273" s="1"/>
  <c r="BH56" i="273" s="1"/>
  <c r="BH58" i="273" s="1"/>
  <c r="BH59" i="273" s="1"/>
  <c r="BE30" i="273"/>
  <c r="BF31" i="273" s="1"/>
  <c r="BD30" i="273"/>
  <c r="E30" i="273"/>
  <c r="D30" i="273"/>
  <c r="BH29" i="273"/>
  <c r="BH36" i="273" s="1"/>
  <c r="BH42" i="273" s="1"/>
  <c r="BH47" i="273" s="1"/>
  <c r="BH52" i="273" s="1"/>
  <c r="BH55" i="273" s="1"/>
  <c r="BH57" i="273" s="1"/>
  <c r="BL13" i="273" s="1"/>
  <c r="BE29" i="273"/>
  <c r="BF30" i="273" s="1"/>
  <c r="BD29" i="273"/>
  <c r="BC29" i="273"/>
  <c r="C29" i="273"/>
  <c r="B29" i="273"/>
  <c r="BH28" i="273"/>
  <c r="BH35" i="273" s="1"/>
  <c r="BH41" i="273" s="1"/>
  <c r="BH46" i="273" s="1"/>
  <c r="BH51" i="273" s="1"/>
  <c r="BH54" i="273" s="1"/>
  <c r="BF28" i="273"/>
  <c r="BE28" i="273"/>
  <c r="BF29" i="273" s="1"/>
  <c r="BD28" i="273"/>
  <c r="BC28" i="273"/>
  <c r="BH27" i="273"/>
  <c r="BH34" i="273" s="1"/>
  <c r="BH40" i="273" s="1"/>
  <c r="BF27" i="273"/>
  <c r="BE27" i="273"/>
  <c r="BD27" i="273"/>
  <c r="BC27" i="273"/>
  <c r="C27" i="273"/>
  <c r="B27" i="273"/>
  <c r="BH26" i="273"/>
  <c r="BF26" i="273"/>
  <c r="BE26" i="273"/>
  <c r="BD26" i="273"/>
  <c r="BC26" i="273"/>
  <c r="E26" i="273"/>
  <c r="E27" i="273" s="1"/>
  <c r="D26" i="273"/>
  <c r="C26" i="273"/>
  <c r="B26" i="273"/>
  <c r="BH25" i="273"/>
  <c r="BH32" i="273" s="1"/>
  <c r="BH38" i="273" s="1"/>
  <c r="BC25" i="273"/>
  <c r="E25" i="273"/>
  <c r="D25" i="273"/>
  <c r="C25" i="273"/>
  <c r="B25" i="273"/>
  <c r="BH24" i="273"/>
  <c r="BH23" i="273"/>
  <c r="B22" i="273"/>
  <c r="C22" i="273" s="1"/>
  <c r="B20" i="273"/>
  <c r="B21" i="273" s="1"/>
  <c r="AA19" i="273"/>
  <c r="Z19" i="273"/>
  <c r="Y19" i="273"/>
  <c r="P19" i="273"/>
  <c r="O19" i="273"/>
  <c r="Q19" i="273" s="1"/>
  <c r="BP18" i="273"/>
  <c r="BP22" i="273" s="1"/>
  <c r="BP28" i="273" s="1"/>
  <c r="BP35" i="273" s="1"/>
  <c r="BP43" i="273" s="1"/>
  <c r="AA18" i="273"/>
  <c r="Q18" i="273"/>
  <c r="Z17" i="273"/>
  <c r="AA17" i="273" s="1"/>
  <c r="Y17" i="273"/>
  <c r="Q17" i="273"/>
  <c r="P17" i="273"/>
  <c r="O17" i="273"/>
  <c r="AA16" i="273"/>
  <c r="Y16" i="273"/>
  <c r="Q16" i="273"/>
  <c r="O16" i="273"/>
  <c r="AA15" i="273"/>
  <c r="Q15" i="273"/>
  <c r="AA14" i="273"/>
  <c r="Y14" i="273"/>
  <c r="Q14" i="273"/>
  <c r="O14" i="273"/>
  <c r="Z13" i="273"/>
  <c r="AA13" i="273" s="1"/>
  <c r="P13" i="273"/>
  <c r="Q13" i="273" s="1"/>
  <c r="BL12" i="273"/>
  <c r="BP47" i="273" s="1"/>
  <c r="AA12" i="273"/>
  <c r="Q12" i="273"/>
  <c r="BL11" i="273"/>
  <c r="BP38" i="273" s="1"/>
  <c r="BP46" i="273" s="1"/>
  <c r="AA11" i="273"/>
  <c r="Z11" i="273"/>
  <c r="Y11" i="273"/>
  <c r="P11" i="273"/>
  <c r="Q11" i="273" s="1"/>
  <c r="O11" i="273"/>
  <c r="Z10" i="273"/>
  <c r="AA10" i="273" s="1"/>
  <c r="Y10" i="273"/>
  <c r="P10" i="273"/>
  <c r="Q10" i="273" s="1"/>
  <c r="O10" i="273"/>
  <c r="BL9" i="273"/>
  <c r="BP23" i="273" s="1"/>
  <c r="BP29" i="273" s="1"/>
  <c r="BP36" i="273" s="1"/>
  <c r="BP44" i="273" s="1"/>
  <c r="Y9" i="273"/>
  <c r="AA9" i="273" s="1"/>
  <c r="Q9" i="273"/>
  <c r="O9" i="273"/>
  <c r="BL8" i="273"/>
  <c r="Z8" i="273"/>
  <c r="AA8" i="273" s="1"/>
  <c r="Y8" i="273"/>
  <c r="P8" i="273"/>
  <c r="Q8" i="273" s="1"/>
  <c r="O8" i="273"/>
  <c r="BL7" i="273"/>
  <c r="BP13" i="273" s="1"/>
  <c r="BP17" i="273" s="1"/>
  <c r="BP21" i="273" s="1"/>
  <c r="BP27" i="273" s="1"/>
  <c r="BP34" i="273" s="1"/>
  <c r="BP42" i="273" s="1"/>
  <c r="AA7" i="273"/>
  <c r="Q7" i="273"/>
  <c r="BP6" i="273"/>
  <c r="BP8" i="273" s="1"/>
  <c r="BP11" i="273" s="1"/>
  <c r="BP15" i="273" s="1"/>
  <c r="BP19" i="273" s="1"/>
  <c r="BP25" i="273" s="1"/>
  <c r="BP32" i="273" s="1"/>
  <c r="BP40" i="273" s="1"/>
  <c r="BL6" i="273"/>
  <c r="BP9" i="273" s="1"/>
  <c r="BP12" i="273" s="1"/>
  <c r="BP16" i="273" s="1"/>
  <c r="BP20" i="273" s="1"/>
  <c r="BP26" i="273" s="1"/>
  <c r="BP33" i="273" s="1"/>
  <c r="BP41" i="273" s="1"/>
  <c r="Z6" i="273"/>
  <c r="Y6" i="273"/>
  <c r="AA6" i="273" s="1"/>
  <c r="Q6" i="273"/>
  <c r="P6" i="273"/>
  <c r="O6" i="273"/>
  <c r="BP5" i="273"/>
  <c r="BP7" i="273" s="1"/>
  <c r="BP10" i="273" s="1"/>
  <c r="BP14" i="273" s="1"/>
  <c r="BH49" i="273" s="1"/>
  <c r="BP24" i="273" s="1"/>
  <c r="BP31" i="273" s="1"/>
  <c r="BP39" i="273" s="1"/>
  <c r="BL14" i="273" s="1"/>
  <c r="Z5" i="273"/>
  <c r="AA5" i="273" s="1"/>
  <c r="Y5" i="273"/>
  <c r="P5" i="273"/>
  <c r="Q5" i="273" s="1"/>
  <c r="O5" i="273"/>
  <c r="K3" i="273"/>
  <c r="G3" i="273"/>
  <c r="D3" i="273"/>
  <c r="S2" i="273"/>
  <c r="K2" i="273"/>
  <c r="G2" i="273"/>
  <c r="AF1" i="273"/>
  <c r="S1" i="273"/>
  <c r="K1" i="273"/>
  <c r="L1" i="273" s="1"/>
  <c r="M1" i="273" s="1"/>
  <c r="M2" i="273" s="1"/>
  <c r="H1" i="273"/>
  <c r="G1" i="273"/>
  <c r="E23" i="273" l="1"/>
  <c r="R19" i="273"/>
  <c r="AB16" i="273"/>
  <c r="AB14" i="273"/>
  <c r="AB19" i="273"/>
  <c r="AB18" i="273"/>
  <c r="R17" i="273"/>
  <c r="R16" i="273"/>
  <c r="R15" i="273"/>
  <c r="R14" i="273"/>
  <c r="R18" i="273"/>
  <c r="R12" i="273"/>
  <c r="R10" i="273"/>
  <c r="AB9" i="273"/>
  <c r="R8" i="273"/>
  <c r="AB7" i="273"/>
  <c r="R5" i="273"/>
  <c r="AB6" i="273"/>
  <c r="AB17" i="273"/>
  <c r="R13" i="273"/>
  <c r="R11" i="273"/>
  <c r="AB10" i="273"/>
  <c r="AB8" i="273"/>
  <c r="R7" i="273"/>
  <c r="AB5" i="273"/>
  <c r="R6" i="273"/>
  <c r="AB15" i="273"/>
  <c r="AB12" i="273"/>
  <c r="AB13" i="273"/>
  <c r="AB11" i="273"/>
  <c r="R9" i="273"/>
  <c r="C31" i="273"/>
  <c r="W38" i="273" s="1"/>
  <c r="B23" i="273"/>
  <c r="C23" i="273" s="1"/>
  <c r="D27" i="273"/>
  <c r="D23" i="273" s="1"/>
  <c r="T33" i="273" l="1"/>
  <c r="T34" i="273"/>
  <c r="B31" i="273"/>
  <c r="AC5" i="273"/>
  <c r="S10" i="273"/>
  <c r="AC12" i="273"/>
  <c r="S7" i="273"/>
  <c r="S13" i="273"/>
  <c r="AC7" i="273"/>
  <c r="S12" i="273"/>
  <c r="AC14" i="273"/>
  <c r="T47" i="273"/>
  <c r="T45" i="273"/>
  <c r="B34" i="273"/>
  <c r="B24" i="273"/>
  <c r="T43" i="273"/>
  <c r="T48" i="273"/>
  <c r="S9" i="273"/>
  <c r="AC15" i="273"/>
  <c r="AC8" i="273"/>
  <c r="AD6" i="273" s="1"/>
  <c r="AC17" i="273"/>
  <c r="S8" i="273"/>
  <c r="S18" i="273"/>
  <c r="S17" i="273"/>
  <c r="AC16" i="273"/>
  <c r="AC13" i="273"/>
  <c r="S11" i="273"/>
  <c r="S5" i="273"/>
  <c r="U10" i="273" s="1"/>
  <c r="S15" i="273"/>
  <c r="AC19" i="273"/>
  <c r="C34" i="273"/>
  <c r="T32" i="273"/>
  <c r="T30" i="273"/>
  <c r="T29" i="273"/>
  <c r="C24" i="273"/>
  <c r="T31" i="273"/>
  <c r="T27" i="273"/>
  <c r="T25" i="273"/>
  <c r="T24" i="273"/>
  <c r="T22" i="273" s="1"/>
  <c r="T26" i="273"/>
  <c r="T28" i="273"/>
  <c r="S16" i="273"/>
  <c r="AC11" i="273"/>
  <c r="S6" i="273"/>
  <c r="T5" i="273" s="1"/>
  <c r="AC10" i="273"/>
  <c r="AC6" i="273"/>
  <c r="AD5" i="273" s="1"/>
  <c r="AC9" i="273"/>
  <c r="AD13" i="273" s="1"/>
  <c r="S14" i="273"/>
  <c r="AC18" i="273"/>
  <c r="T19" i="273"/>
  <c r="S19" i="273"/>
  <c r="U14" i="273" l="1"/>
  <c r="AE6" i="273"/>
  <c r="AE10" i="273"/>
  <c r="U17" i="273"/>
  <c r="U15" i="273"/>
  <c r="AE17" i="273"/>
  <c r="U5" i="273"/>
  <c r="U7" i="273"/>
  <c r="U11" i="273"/>
  <c r="AE11" i="273"/>
  <c r="U6" i="273"/>
  <c r="AE15" i="273"/>
  <c r="AE16" i="273"/>
  <c r="U9" i="273"/>
  <c r="AE7" i="273"/>
  <c r="T16" i="273"/>
  <c r="T15" i="273"/>
  <c r="T11" i="273"/>
  <c r="AE13" i="273"/>
  <c r="AD16" i="273"/>
  <c r="T18" i="273"/>
  <c r="AD15" i="273"/>
  <c r="N27" i="273"/>
  <c r="P27" i="273" s="1"/>
  <c r="N25" i="273"/>
  <c r="N24" i="273"/>
  <c r="N28" i="273"/>
  <c r="P28" i="273" s="1"/>
  <c r="N26" i="273"/>
  <c r="P26" i="273" s="1"/>
  <c r="N29" i="273"/>
  <c r="P29" i="273" s="1"/>
  <c r="R34" i="273" s="1"/>
  <c r="AE14" i="273"/>
  <c r="T12" i="273"/>
  <c r="AE12" i="273"/>
  <c r="AC20" i="273"/>
  <c r="S20" i="273"/>
  <c r="T8" i="273"/>
  <c r="U13" i="273"/>
  <c r="T10" i="273"/>
  <c r="AE9" i="273"/>
  <c r="AD11" i="273"/>
  <c r="AE18" i="273"/>
  <c r="T14" i="273"/>
  <c r="AD10" i="273"/>
  <c r="T6" i="273"/>
  <c r="T20" i="273" s="1"/>
  <c r="L25" i="273" s="1"/>
  <c r="AD19" i="273"/>
  <c r="U8" i="273"/>
  <c r="U20" i="273" s="1"/>
  <c r="L26" i="273" s="1"/>
  <c r="AE8" i="273"/>
  <c r="T9" i="273"/>
  <c r="U12" i="273"/>
  <c r="T13" i="273"/>
  <c r="T7" i="273"/>
  <c r="AD12" i="273"/>
  <c r="W24" i="273"/>
  <c r="T46" i="273"/>
  <c r="T40" i="273"/>
  <c r="T44" i="273"/>
  <c r="T39" i="273"/>
  <c r="T41" i="273"/>
  <c r="T42" i="273"/>
  <c r="T38" i="273"/>
  <c r="T36" i="273" s="1"/>
  <c r="N42" i="273"/>
  <c r="P42" i="273" s="1"/>
  <c r="N40" i="273"/>
  <c r="P40" i="273" s="1"/>
  <c r="N38" i="273"/>
  <c r="N43" i="273"/>
  <c r="P43" i="273" s="1"/>
  <c r="N41" i="273"/>
  <c r="P41" i="273" s="1"/>
  <c r="N39" i="273"/>
  <c r="P39" i="273" s="1"/>
  <c r="T17" i="273"/>
  <c r="AE5" i="273"/>
  <c r="AE20" i="273" s="1"/>
  <c r="L40" i="273" s="1"/>
  <c r="AD18" i="273"/>
  <c r="AD9" i="273"/>
  <c r="U16" i="273"/>
  <c r="U18" i="273"/>
  <c r="AD17" i="273"/>
  <c r="AD8" i="273"/>
  <c r="AD14" i="273"/>
  <c r="AD7" i="273"/>
  <c r="AD20" i="273" s="1"/>
  <c r="L39" i="273" s="1"/>
  <c r="R33" i="273" l="1"/>
  <c r="R48" i="273"/>
  <c r="R47" i="273"/>
  <c r="R45" i="273"/>
  <c r="R46" i="273"/>
  <c r="R44" i="273"/>
  <c r="V20" i="273"/>
  <c r="L27" i="273" s="1"/>
  <c r="L24" i="273"/>
  <c r="N36" i="273"/>
  <c r="P38" i="273"/>
  <c r="R43" i="273" s="1"/>
  <c r="L38" i="273"/>
  <c r="AF20" i="273"/>
  <c r="L41" i="273" s="1"/>
  <c r="P25" i="273"/>
  <c r="R30" i="273" s="1"/>
  <c r="P24" i="273"/>
  <c r="N22" i="273"/>
  <c r="R39" i="273"/>
  <c r="R40" i="273"/>
  <c r="R31" i="273"/>
  <c r="R32" i="273"/>
  <c r="R41" i="273"/>
  <c r="R42" i="273"/>
  <c r="R25" i="273" l="1"/>
  <c r="L22" i="273"/>
  <c r="R38" i="273"/>
  <c r="P36" i="273"/>
  <c r="L36" i="273"/>
  <c r="R28" i="273"/>
  <c r="R26" i="273"/>
  <c r="P22" i="273"/>
  <c r="R29" i="273"/>
  <c r="R24" i="273"/>
  <c r="R27" i="273"/>
  <c r="V27" i="273" s="1"/>
  <c r="V26" i="273" l="1"/>
  <c r="AE25" i="273"/>
  <c r="AE26" i="273"/>
  <c r="AE24" i="273"/>
  <c r="AE22" i="273" s="1"/>
  <c r="AE27" i="273"/>
  <c r="V38" i="273"/>
  <c r="R36" i="273"/>
  <c r="V47" i="273"/>
  <c r="V43" i="273"/>
  <c r="V45" i="273"/>
  <c r="V46" i="273"/>
  <c r="V44" i="273"/>
  <c r="V42" i="273"/>
  <c r="V24" i="273"/>
  <c r="R22" i="273"/>
  <c r="V33" i="273"/>
  <c r="V32" i="273"/>
  <c r="V29" i="273"/>
  <c r="V28" i="273"/>
  <c r="V30" i="273"/>
  <c r="V31" i="273"/>
  <c r="V40" i="273"/>
  <c r="AC24" i="273"/>
  <c r="AC22" i="273" s="1"/>
  <c r="AC25" i="273"/>
  <c r="AC26" i="273"/>
  <c r="V41" i="273"/>
  <c r="V25" i="273"/>
  <c r="V39" i="273"/>
  <c r="AA25" i="273" l="1"/>
  <c r="AA24" i="273"/>
  <c r="AA22" i="273" s="1"/>
  <c r="AG27" i="273"/>
  <c r="AG24" i="273"/>
  <c r="AG22" i="273" s="1"/>
  <c r="AG25" i="273"/>
  <c r="AG26" i="273"/>
  <c r="AG28" i="273"/>
  <c r="AE41" i="273"/>
  <c r="AE39" i="273"/>
  <c r="AE38" i="273"/>
  <c r="AE36" i="273" s="1"/>
  <c r="AE40" i="273"/>
  <c r="AC38" i="273"/>
  <c r="AC36" i="273" s="1"/>
  <c r="AC39" i="273"/>
  <c r="AC40" i="273"/>
  <c r="AI29" i="273"/>
  <c r="AI28" i="273"/>
  <c r="AI26" i="273"/>
  <c r="AI24" i="273"/>
  <c r="AI22" i="273" s="1"/>
  <c r="AI25" i="273"/>
  <c r="AI27" i="273"/>
  <c r="AO44" i="273"/>
  <c r="AO40" i="273"/>
  <c r="AO46" i="273"/>
  <c r="AO43" i="273"/>
  <c r="AO45" i="273"/>
  <c r="AO39" i="273"/>
  <c r="AO38" i="273"/>
  <c r="AO36" i="273" s="1"/>
  <c r="AO41" i="273"/>
  <c r="AO42" i="273"/>
  <c r="AQ41" i="273"/>
  <c r="AQ39" i="273"/>
  <c r="AQ38" i="273"/>
  <c r="AQ36" i="273" s="1"/>
  <c r="AQ42" i="273"/>
  <c r="AQ45" i="273"/>
  <c r="AQ44" i="273"/>
  <c r="AQ40" i="273"/>
  <c r="AQ47" i="273"/>
  <c r="AQ43" i="273"/>
  <c r="AQ46" i="273"/>
  <c r="AQ33" i="273"/>
  <c r="AQ28" i="273"/>
  <c r="AQ26" i="273"/>
  <c r="AQ24" i="273"/>
  <c r="AQ22" i="273" s="1"/>
  <c r="AQ31" i="273"/>
  <c r="AQ29" i="273"/>
  <c r="AQ32" i="273"/>
  <c r="AQ30" i="273"/>
  <c r="AQ25" i="273"/>
  <c r="AQ27" i="273"/>
  <c r="AM26" i="273"/>
  <c r="AM29" i="273"/>
  <c r="AM31" i="273"/>
  <c r="AM24" i="273"/>
  <c r="AM22" i="273" s="1"/>
  <c r="AM28" i="273"/>
  <c r="AM27" i="273"/>
  <c r="AM25" i="273"/>
  <c r="AM30" i="273"/>
  <c r="AO29" i="273"/>
  <c r="AO25" i="273"/>
  <c r="AO30" i="273"/>
  <c r="AO26" i="273"/>
  <c r="AO31" i="273"/>
  <c r="AO28" i="273"/>
  <c r="AO24" i="273"/>
  <c r="AO22" i="273" s="1"/>
  <c r="AO32" i="273"/>
  <c r="AO27" i="273"/>
  <c r="V22" i="273"/>
  <c r="V34" i="273" s="1"/>
  <c r="Y24" i="273"/>
  <c r="V21" i="273"/>
  <c r="AM39" i="273"/>
  <c r="AM45" i="273"/>
  <c r="AM43" i="273"/>
  <c r="AM44" i="273"/>
  <c r="AM40" i="273"/>
  <c r="AM38" i="273"/>
  <c r="AM36" i="273" s="1"/>
  <c r="AM42" i="273"/>
  <c r="AM41" i="273"/>
  <c r="AK41" i="273"/>
  <c r="AK40" i="273"/>
  <c r="AK39" i="273"/>
  <c r="AK42" i="273"/>
  <c r="AK38" i="273"/>
  <c r="AK36" i="273" s="1"/>
  <c r="AK44" i="273"/>
  <c r="AK43" i="273"/>
  <c r="AA39" i="273"/>
  <c r="AA38" i="273"/>
  <c r="AA36" i="273" s="1"/>
  <c r="AK27" i="273"/>
  <c r="AK25" i="273"/>
  <c r="AK24" i="273"/>
  <c r="AK22" i="273" s="1"/>
  <c r="AK29" i="273"/>
  <c r="AK26" i="273"/>
  <c r="AK28" i="273"/>
  <c r="AK30" i="273"/>
  <c r="AG42" i="273"/>
  <c r="AG40" i="273"/>
  <c r="AG41" i="273"/>
  <c r="AG38" i="273"/>
  <c r="AG36" i="273" s="1"/>
  <c r="AG39" i="273"/>
  <c r="AI39" i="273"/>
  <c r="AI38" i="273"/>
  <c r="AI36" i="273" s="1"/>
  <c r="AI42" i="273"/>
  <c r="AI40" i="273"/>
  <c r="AI43" i="273"/>
  <c r="AI41" i="273"/>
  <c r="V36" i="273"/>
  <c r="V48" i="273" s="1"/>
  <c r="Y38" i="273"/>
  <c r="V35" i="273"/>
  <c r="Y36" i="273" l="1"/>
  <c r="AS42" i="273"/>
  <c r="J42" i="273" s="1"/>
  <c r="AS41" i="273"/>
  <c r="J41" i="273" s="1"/>
  <c r="AS47" i="273"/>
  <c r="J47" i="273" s="1"/>
  <c r="AS43" i="273"/>
  <c r="AS48" i="273"/>
  <c r="J48" i="273" s="1"/>
  <c r="AS45" i="273"/>
  <c r="J45" i="273" s="1"/>
  <c r="AS40" i="273"/>
  <c r="J40" i="273" s="1"/>
  <c r="AS39" i="273"/>
  <c r="AS46" i="273"/>
  <c r="J46" i="273" s="1"/>
  <c r="AS38" i="273"/>
  <c r="AS36" i="273" s="1"/>
  <c r="AS44" i="273"/>
  <c r="J44" i="273" s="1"/>
  <c r="J39" i="273"/>
  <c r="Y22" i="273"/>
  <c r="J43" i="273"/>
  <c r="AS28" i="273"/>
  <c r="J28" i="273" s="1"/>
  <c r="AS29" i="273"/>
  <c r="J29" i="273" s="1"/>
  <c r="AS34" i="273"/>
  <c r="J34" i="273" s="1"/>
  <c r="AS26" i="273"/>
  <c r="J26" i="273" s="1"/>
  <c r="AS32" i="273"/>
  <c r="J32" i="273" s="1"/>
  <c r="AS27" i="273"/>
  <c r="J27" i="273" s="1"/>
  <c r="AS30" i="273"/>
  <c r="J30" i="273" s="1"/>
  <c r="AS24" i="273"/>
  <c r="AS22" i="273" s="1"/>
  <c r="AS31" i="273"/>
  <c r="J31" i="273" s="1"/>
  <c r="AS33" i="273"/>
  <c r="J33" i="273" s="1"/>
  <c r="AS25" i="273"/>
  <c r="J25" i="273" s="1"/>
  <c r="H44" i="273" l="1"/>
  <c r="H43" i="273"/>
  <c r="AS35" i="273"/>
  <c r="H33" i="273"/>
  <c r="BR45" i="273" s="1"/>
  <c r="H31" i="273"/>
  <c r="BR30" i="273" s="1"/>
  <c r="J24" i="273"/>
  <c r="H25" i="273" s="1"/>
  <c r="H47" i="273"/>
  <c r="H30" i="273"/>
  <c r="H29" i="273"/>
  <c r="BR29" i="273"/>
  <c r="H32" i="273"/>
  <c r="H28" i="273"/>
  <c r="H42" i="273"/>
  <c r="AS21" i="273"/>
  <c r="J38" i="273"/>
  <c r="H45" i="273"/>
  <c r="H46" i="273"/>
  <c r="H48" i="273"/>
  <c r="H34" i="273"/>
  <c r="H24" i="273" l="1"/>
  <c r="J22" i="273"/>
  <c r="BR43" i="273"/>
  <c r="H27" i="273"/>
  <c r="BJ37" i="273" s="1"/>
  <c r="BN13" i="273"/>
  <c r="BR44" i="273"/>
  <c r="H26" i="273"/>
  <c r="BJ26" i="273" s="1"/>
  <c r="BR47" i="273"/>
  <c r="BJ18" i="273"/>
  <c r="BJ19" i="273"/>
  <c r="BJ17" i="273"/>
  <c r="BJ16" i="273"/>
  <c r="BJ21" i="273"/>
  <c r="BJ54" i="273"/>
  <c r="BJ55" i="273"/>
  <c r="BN11" i="273"/>
  <c r="J36" i="273"/>
  <c r="H38" i="273"/>
  <c r="H39" i="273"/>
  <c r="BR32" i="273" s="1"/>
  <c r="BJ41" i="273"/>
  <c r="BJ40" i="273"/>
  <c r="BJ43" i="273"/>
  <c r="BJ39" i="273"/>
  <c r="BJ38" i="273"/>
  <c r="BJ42" i="273"/>
  <c r="BN8" i="273"/>
  <c r="BR28" i="273"/>
  <c r="BJ47" i="273"/>
  <c r="BJ46" i="273"/>
  <c r="BJ44" i="273"/>
  <c r="BJ48" i="273"/>
  <c r="BJ45" i="273"/>
  <c r="BR18" i="273"/>
  <c r="BN9" i="273"/>
  <c r="BR46" i="273"/>
  <c r="BJ59" i="273"/>
  <c r="H22" i="273"/>
  <c r="BJ12" i="273"/>
  <c r="BJ13" i="273"/>
  <c r="BJ9" i="273"/>
  <c r="BJ7" i="273"/>
  <c r="BJ10" i="273"/>
  <c r="BJ8" i="273"/>
  <c r="BJ11" i="273"/>
  <c r="BN14" i="273"/>
  <c r="BJ22" i="273"/>
  <c r="BJ57" i="273"/>
  <c r="BR38" i="273"/>
  <c r="BR37" i="273"/>
  <c r="BR36" i="273"/>
  <c r="BR35" i="273"/>
  <c r="BJ58" i="273"/>
  <c r="BN12" i="273"/>
  <c r="BJ53" i="273"/>
  <c r="BJ51" i="273"/>
  <c r="BJ52" i="273"/>
  <c r="BJ50" i="273"/>
  <c r="BR22" i="273"/>
  <c r="BR23" i="273"/>
  <c r="BN10" i="273"/>
  <c r="BJ56" i="273"/>
  <c r="H40" i="273"/>
  <c r="BR20" i="273" s="1"/>
  <c r="H41" i="273"/>
  <c r="BJ6" i="273" s="1"/>
  <c r="BJ20" i="273"/>
  <c r="BJ31" i="273" l="1"/>
  <c r="BJ33" i="273"/>
  <c r="BJ35" i="273"/>
  <c r="BJ34" i="273"/>
  <c r="BJ36" i="273"/>
  <c r="BJ32" i="273"/>
  <c r="BR7" i="273"/>
  <c r="BJ27" i="273"/>
  <c r="BJ28" i="273"/>
  <c r="BJ24" i="273"/>
  <c r="BJ29" i="273"/>
  <c r="BJ25" i="273"/>
  <c r="BJ30" i="273"/>
  <c r="BR15" i="273"/>
  <c r="BR11" i="273"/>
  <c r="BR8" i="273"/>
  <c r="BJ4" i="273"/>
  <c r="B38" i="273" s="1"/>
  <c r="BR19" i="273"/>
  <c r="BR31" i="273"/>
  <c r="BN4" i="273"/>
  <c r="B37" i="273" s="1"/>
  <c r="B36" i="273" s="1"/>
  <c r="BR14" i="273"/>
  <c r="BR10" i="273"/>
  <c r="BJ49" i="273"/>
  <c r="BR41" i="273"/>
  <c r="BJ14" i="273"/>
  <c r="BR26" i="273"/>
  <c r="BN6" i="273"/>
  <c r="BR21" i="273"/>
  <c r="BR9" i="273"/>
  <c r="BR16" i="273"/>
  <c r="BR6" i="273"/>
  <c r="BN5" i="273"/>
  <c r="BR25" i="273"/>
  <c r="BR40" i="273"/>
  <c r="BR12" i="273"/>
  <c r="H36" i="273"/>
  <c r="BR5" i="273"/>
  <c r="BR39" i="273"/>
  <c r="BR4" i="273"/>
  <c r="B39" i="273" s="1"/>
  <c r="BR24" i="273"/>
  <c r="BR27" i="273"/>
  <c r="BJ15" i="273"/>
  <c r="BR42" i="273"/>
  <c r="BJ23" i="273"/>
  <c r="BN7" i="273"/>
  <c r="BR34" i="273"/>
  <c r="BR33" i="273"/>
  <c r="BJ5" i="273"/>
  <c r="BR17" i="273"/>
  <c r="BR13" i="273"/>
</calcChain>
</file>

<file path=xl/comments1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9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W5" authorId="0" shapeId="0">
      <text>
        <r>
          <rPr>
            <sz val="8"/>
            <color indexed="81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>
      <text>
        <r>
          <rPr>
            <b/>
            <sz val="8"/>
            <color indexed="81"/>
            <rFont val="Tahoma"/>
            <family val="2"/>
          </rPr>
          <t xml:space="preserve">0,028
</t>
        </r>
        <r>
          <rPr>
            <sz val="8"/>
            <color indexed="81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distribución normal de un partdo, no evento</t>
        </r>
      </text>
    </comment>
    <comment ref="W7" authorId="0" shapeId="0">
      <text>
        <r>
          <rPr>
            <b/>
            <sz val="8"/>
            <color indexed="81"/>
            <rFont val="Tahoma"/>
            <family val="2"/>
          </rPr>
          <t xml:space="preserve">0,04 (no es conocido)
</t>
        </r>
        <r>
          <rPr>
            <sz val="8"/>
            <color indexed="81"/>
            <rFont val="Tahoma"/>
            <family val="2"/>
          </rPr>
          <t>Solamente si hay jugadores con ANOTACION+BP
Qualquier jugador de campo</t>
        </r>
      </text>
    </comment>
    <comment ref="Y7" authorId="0" shape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Como distribucion normal de un partido, no evento</t>
        </r>
      </text>
    </comment>
    <comment ref="W8" authorId="0" shapeId="0">
      <text>
        <r>
          <rPr>
            <b/>
            <sz val="8"/>
            <color indexed="81"/>
            <rFont val="Tahoma"/>
            <family val="2"/>
          </rPr>
          <t xml:space="preserve">0,018
</t>
        </r>
        <r>
          <rPr>
            <sz val="8"/>
            <color indexed="81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>
      <text>
        <r>
          <rPr>
            <b/>
            <sz val="8"/>
            <color indexed="81"/>
            <rFont val="Tahoma"/>
            <family val="2"/>
          </rPr>
          <t xml:space="preserve">Según nivel de defensa del IMP
</t>
        </r>
        <r>
          <rPr>
            <sz val="8"/>
            <color indexed="81"/>
            <rFont val="Tahoma"/>
            <family val="2"/>
          </rPr>
          <t>0,045 Medios
0,015 Defensas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  <family val="2"/>
          </rPr>
          <t xml:space="preserve">0,075 lineal
</t>
        </r>
        <r>
          <rPr>
            <sz val="8"/>
            <color indexed="81"/>
            <rFont val="Tahoma"/>
            <family val="2"/>
          </rPr>
          <t>Se genera por ser RAP
Conversión según anotación RAP y Defensa DEF</t>
        </r>
      </text>
    </comment>
    <comment ref="W11" authorId="0" shapeId="0">
      <text>
        <r>
          <rPr>
            <b/>
            <sz val="8"/>
            <color indexed="81"/>
            <rFont val="Tahoma"/>
            <family val="2"/>
          </rPr>
          <t xml:space="preserve">0,075 lineal por ser RAP (puede de PASES pero no se sabe)
</t>
        </r>
        <r>
          <rPr>
            <sz val="8"/>
            <color indexed="81"/>
            <rFont val="Tahoma"/>
            <family val="2"/>
          </rPr>
          <t>Remata siempre un delantero y no depende del rival</t>
        </r>
      </text>
    </comment>
    <comment ref="W12" authorId="0" shapeId="0">
      <text>
        <r>
          <rPr>
            <sz val="8"/>
            <color indexed="81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>
      <text>
        <r>
          <rPr>
            <b/>
            <sz val="8"/>
            <color indexed="81"/>
            <rFont val="Tahoma"/>
            <family val="2"/>
          </rPr>
          <t xml:space="preserve">0,133
</t>
        </r>
        <r>
          <rPr>
            <sz val="8"/>
            <color indexed="81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>
      <text>
        <r>
          <rPr>
            <b/>
            <sz val="8"/>
            <color indexed="81"/>
            <rFont val="Tahoma"/>
            <family val="2"/>
          </rPr>
          <t xml:space="preserve">0,08 lineal
</t>
        </r>
        <r>
          <rPr>
            <sz val="8"/>
            <color indexed="81"/>
            <rFont val="Tahoma"/>
            <family val="2"/>
          </rPr>
          <t>Gran efectividad 90% según cabezones del rival, pero no baja hasta grandes diferencias</t>
        </r>
      </text>
    </comment>
    <comment ref="W15" authorId="0" shapeId="0">
      <text>
        <r>
          <rPr>
            <b/>
            <sz val="8"/>
            <color indexed="81"/>
            <rFont val="Tahoma"/>
            <family val="2"/>
          </rPr>
          <t>0,03 (depende del XP de los jugadores)</t>
        </r>
        <r>
          <rPr>
            <sz val="8"/>
            <color indexed="81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W16" authorId="0" shapeId="0">
      <text>
        <r>
          <rPr>
            <b/>
            <sz val="8"/>
            <color indexed="81"/>
            <rFont val="Tahoma"/>
            <family val="2"/>
          </rPr>
          <t>0,3 (muy común si es posible)</t>
        </r>
        <r>
          <rPr>
            <sz val="8"/>
            <color indexed="81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>
      <text>
        <r>
          <rPr>
            <b/>
            <sz val="8"/>
            <color indexed="81"/>
            <rFont val="Tahoma"/>
            <family val="2"/>
          </rPr>
          <t>"Pres" "normal" "AOW" "AIM"</t>
        </r>
      </text>
    </comment>
    <comment ref="W17" authorId="0" shapeId="0">
      <text>
        <r>
          <rPr>
            <b/>
            <sz val="8"/>
            <color indexed="81"/>
            <rFont val="Tahoma"/>
            <family val="2"/>
          </rPr>
          <t xml:space="preserve">0,04
</t>
        </r>
        <r>
          <rPr>
            <sz val="8"/>
            <color indexed="81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>
      <text>
        <r>
          <rPr>
            <b/>
            <sz val="8"/>
            <color indexed="81"/>
            <rFont val="Tahoma"/>
            <family val="2"/>
          </rPr>
          <t>Incluyo en el 19</t>
        </r>
      </text>
    </comment>
    <comment ref="W19" authorId="0" shapeId="0">
      <text>
        <r>
          <rPr>
            <b/>
            <sz val="8"/>
            <color indexed="81"/>
            <rFont val="Tahoma"/>
            <family val="2"/>
          </rPr>
          <t>0,045 lineal por TEC (extremos y delanteros)</t>
        </r>
        <r>
          <rPr>
            <sz val="8"/>
            <color indexed="81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>
      <text>
        <r>
          <rPr>
            <b/>
            <sz val="8"/>
            <color indexed="81"/>
            <rFont val="Tahoma"/>
            <family val="2"/>
          </rPr>
          <t>Si Pression me cargo 2 ocaciones</t>
        </r>
      </text>
    </comment>
    <comment ref="A21" authorId="0" shapeId="0">
      <text>
        <r>
          <rPr>
            <b/>
            <sz val="8"/>
            <color indexed="81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  <comment ref="U48" authorId="0" shape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<sst xmlns="http://schemas.openxmlformats.org/spreadsheetml/2006/main" count="1112" uniqueCount="154">
  <si>
    <t>LOCAL</t>
  </si>
  <si>
    <t>Mediocampo</t>
  </si>
  <si>
    <t>Defensa derecha</t>
  </si>
  <si>
    <t>Defensa central</t>
  </si>
  <si>
    <t>Defensa izquierda</t>
  </si>
  <si>
    <t>Ataque derecho</t>
  </si>
  <si>
    <t>Ataque central</t>
  </si>
  <si>
    <t>Ataque izquierdo</t>
  </si>
  <si>
    <t>Faltas indirectas Def</t>
  </si>
  <si>
    <t>Faltas indirectas At</t>
  </si>
  <si>
    <t>Tactica</t>
  </si>
  <si>
    <t>Normal</t>
  </si>
  <si>
    <t>Nivel Tactica</t>
  </si>
  <si>
    <t>Loc</t>
  </si>
  <si>
    <t>Vis</t>
  </si>
  <si>
    <t>POR</t>
  </si>
  <si>
    <t>no</t>
  </si>
  <si>
    <t>LAT</t>
  </si>
  <si>
    <t>DC</t>
  </si>
  <si>
    <t>MD</t>
  </si>
  <si>
    <t>EXT</t>
  </si>
  <si>
    <t>TEC</t>
  </si>
  <si>
    <t>DV</t>
  </si>
  <si>
    <t>Tiempo</t>
  </si>
  <si>
    <t>at-derecha</t>
  </si>
  <si>
    <t>at-izquierda</t>
  </si>
  <si>
    <t>at-bp-d</t>
  </si>
  <si>
    <t>at-bp-i</t>
  </si>
  <si>
    <t>Pcrear</t>
  </si>
  <si>
    <t>Pconv</t>
  </si>
  <si>
    <t>pLocal50</t>
  </si>
  <si>
    <t>p(0)</t>
  </si>
  <si>
    <t>p(1)</t>
  </si>
  <si>
    <t>p(2)</t>
  </si>
  <si>
    <t>pVis50</t>
  </si>
  <si>
    <t>pVis</t>
  </si>
  <si>
    <t>Pase largo de imprevisible</t>
  </si>
  <si>
    <t>05</t>
  </si>
  <si>
    <t>Imprevisible recupera balón</t>
  </si>
  <si>
    <t>06</t>
  </si>
  <si>
    <t>Tiro lejano</t>
  </si>
  <si>
    <t>07</t>
  </si>
  <si>
    <t>Imprevisible crea ocasión</t>
  </si>
  <si>
    <t>08</t>
  </si>
  <si>
    <t>Pérdida de balón Imprev.</t>
  </si>
  <si>
    <t>09</t>
  </si>
  <si>
    <t>Rápido dispara a gol</t>
  </si>
  <si>
    <t>15</t>
  </si>
  <si>
    <t>Pase de un jugador rápido</t>
  </si>
  <si>
    <t>16</t>
  </si>
  <si>
    <t>Cansancio</t>
  </si>
  <si>
    <t>17</t>
  </si>
  <si>
    <t>Córner</t>
  </si>
  <si>
    <t>18</t>
  </si>
  <si>
    <t>Córner + cabeceador</t>
  </si>
  <si>
    <t>19</t>
  </si>
  <si>
    <t>Experiencia</t>
  </si>
  <si>
    <t>35</t>
  </si>
  <si>
    <t>Inexperiencia</t>
  </si>
  <si>
    <t>36</t>
  </si>
  <si>
    <t>Extremo + anotación</t>
  </si>
  <si>
    <t>37</t>
  </si>
  <si>
    <t>Extremo + cabeceador</t>
  </si>
  <si>
    <t>38</t>
  </si>
  <si>
    <t>Técnivo vs. Cabeceador</t>
  </si>
  <si>
    <t>39</t>
  </si>
  <si>
    <t>3 o más</t>
  </si>
  <si>
    <t>Ocasiones Gol</t>
  </si>
  <si>
    <t>Efectividad</t>
  </si>
  <si>
    <t>at-central</t>
  </si>
  <si>
    <t>pLoc</t>
  </si>
  <si>
    <t>Experiencia Equipo</t>
  </si>
  <si>
    <t>Ev</t>
  </si>
  <si>
    <t>E(x)</t>
  </si>
  <si>
    <t>P</t>
  </si>
  <si>
    <t>p</t>
  </si>
  <si>
    <t>Posesión Real</t>
  </si>
  <si>
    <t>Posesión HT</t>
  </si>
  <si>
    <t>Ocasiones Compartidas</t>
  </si>
  <si>
    <t>Local</t>
  </si>
  <si>
    <t>Visitante</t>
  </si>
  <si>
    <t>Oca Destruidas Pression</t>
  </si>
  <si>
    <t xml:space="preserve">Nivel medio HabPri </t>
  </si>
  <si>
    <t>OcaCA</t>
  </si>
  <si>
    <t>Probabilidad de CA</t>
  </si>
  <si>
    <t>Total</t>
  </si>
  <si>
    <t>Ocasiones Total Gol</t>
  </si>
  <si>
    <t>TotalN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</si>
  <si>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</si>
  <si>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</si>
  <si>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</si>
  <si>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</si>
  <si>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</si>
  <si>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</si>
  <si>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</si>
  <si>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</si>
  <si>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</si>
  <si>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</si>
  <si>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</si>
  <si>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OcaS</t>
  </si>
  <si>
    <t>GT</t>
  </si>
  <si>
    <t>p(x)</t>
  </si>
  <si>
    <t>EE(x)</t>
  </si>
  <si>
    <t>G</t>
  </si>
  <si>
    <t>EMPATE</t>
  </si>
  <si>
    <t>VISITANT</t>
  </si>
  <si>
    <t>LOC</t>
  </si>
  <si>
    <t>VIS</t>
  </si>
  <si>
    <t>Clima</t>
  </si>
  <si>
    <t>Esp</t>
  </si>
  <si>
    <t>+/-</t>
  </si>
  <si>
    <t>Hab</t>
  </si>
  <si>
    <t>Lluvia</t>
  </si>
  <si>
    <t>-</t>
  </si>
  <si>
    <t>-JUG-ANO</t>
  </si>
  <si>
    <t>1º+2º</t>
  </si>
  <si>
    <t>Sol</t>
  </si>
  <si>
    <t>+</t>
  </si>
  <si>
    <t>+JUG+ANO</t>
  </si>
  <si>
    <t xml:space="preserve">POT </t>
  </si>
  <si>
    <t>+DF+JG+AN</t>
  </si>
  <si>
    <t>-ANO-RES</t>
  </si>
  <si>
    <t>2º</t>
  </si>
  <si>
    <t>RAP</t>
  </si>
  <si>
    <t>-DEF-ANO</t>
  </si>
  <si>
    <t>-DEF</t>
  </si>
  <si>
    <t>O_CA</t>
  </si>
  <si>
    <t>Exp</t>
  </si>
  <si>
    <t>HPrin</t>
  </si>
  <si>
    <t>An</t>
  </si>
  <si>
    <t>Nublado</t>
  </si>
  <si>
    <t>POT</t>
  </si>
  <si>
    <t>Ext+Del</t>
  </si>
  <si>
    <t>Del</t>
  </si>
  <si>
    <t>Ev.Clima</t>
  </si>
  <si>
    <t>Constantes Clima</t>
  </si>
  <si>
    <t>Tiro Lejano</t>
  </si>
  <si>
    <t>Probabilidad de TL</t>
  </si>
  <si>
    <t>0,6</t>
  </si>
  <si>
    <t>0,72</t>
  </si>
  <si>
    <t>FORM</t>
  </si>
  <si>
    <t>&lt;debil</t>
  </si>
  <si>
    <t>Vader</t>
  </si>
  <si>
    <t>Obiwan</t>
  </si>
  <si>
    <t>CAB</t>
  </si>
  <si>
    <t>JC</t>
  </si>
  <si>
    <t>NEU</t>
  </si>
  <si>
    <t>IMP</t>
  </si>
  <si>
    <t>All</t>
  </si>
  <si>
    <t>0,4</t>
  </si>
  <si>
    <t>Pueblica</t>
  </si>
  <si>
    <t>CA</t>
  </si>
  <si>
    <t>Mentowork</t>
  </si>
  <si>
    <t>AOW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</si>
</sst>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0.0%"/>
    <numFmt numFmtId="165" formatCode="0.0000"/>
    <numFmt numFmtId="166" formatCode="_-* #,##0.000\ _€_-;\-* #,##0.000\ _€_-;_-* &quot;-&quot;??\ _€_-;_-@_-"/>
    <numFmt numFmtId="167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000000"/>
      <name val="Verdana"/>
      <family val="2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0" fillId="0" borderId="0" xfId="0" applyAlignment="1">
      <alignment horizontal="right"/>
    </xf>
    <xf numFmtId="0" fontId="6" fillId="4" borderId="1" xfId="0" applyFont="1" applyFill="1" applyBorder="1" applyAlignment="1">
      <alignment horizontal="right"/>
    </xf>
    <xf numFmtId="2" fontId="4" fillId="0" borderId="1" xfId="0" applyNumberFormat="1" applyFont="1" applyFill="1" applyBorder="1"/>
    <xf numFmtId="2" fontId="5" fillId="0" borderId="1" xfId="0" applyNumberFormat="1" applyFont="1" applyFill="1" applyBorder="1"/>
    <xf numFmtId="0" fontId="6" fillId="5" borderId="1" xfId="0" applyFont="1" applyFill="1" applyBorder="1" applyAlignment="1">
      <alignment horizontal="right"/>
    </xf>
    <xf numFmtId="0" fontId="6" fillId="6" borderId="1" xfId="0" applyFont="1" applyFill="1" applyBorder="1" applyAlignment="1">
      <alignment horizontal="right"/>
    </xf>
    <xf numFmtId="0" fontId="6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49" fontId="0" fillId="0" borderId="1" xfId="0" applyNumberFormat="1" applyFont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0" fontId="0" fillId="0" borderId="0" xfId="0" applyFont="1"/>
    <xf numFmtId="49" fontId="5" fillId="0" borderId="1" xfId="0" applyNumberFormat="1" applyFont="1" applyFill="1" applyBorder="1" applyAlignment="1">
      <alignment horizontal="center"/>
    </xf>
    <xf numFmtId="49" fontId="5" fillId="7" borderId="1" xfId="0" applyNumberFormat="1" applyFont="1" applyFill="1" applyBorder="1" applyAlignment="1">
      <alignment horizontal="center"/>
    </xf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3" fillId="7" borderId="1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 wrapText="1"/>
    </xf>
    <xf numFmtId="0" fontId="3" fillId="2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" fontId="3" fillId="0" borderId="0" xfId="0" applyNumberFormat="1" applyFont="1"/>
    <xf numFmtId="0" fontId="3" fillId="6" borderId="1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2" applyNumberFormat="1" applyFont="1" applyFill="1" applyBorder="1"/>
    <xf numFmtId="0" fontId="3" fillId="0" borderId="0" xfId="0" applyFont="1" applyFill="1" applyBorder="1" applyAlignment="1">
      <alignment horizontal="center"/>
    </xf>
    <xf numFmtId="9" fontId="0" fillId="0" borderId="0" xfId="0" applyNumberFormat="1"/>
    <xf numFmtId="2" fontId="0" fillId="0" borderId="0" xfId="0" applyNumberFormat="1"/>
    <xf numFmtId="43" fontId="0" fillId="0" borderId="0" xfId="1" applyFont="1"/>
    <xf numFmtId="164" fontId="0" fillId="0" borderId="1" xfId="2" applyNumberFormat="1" applyFont="1" applyFill="1" applyBorder="1" applyAlignment="1">
      <alignment horizontal="center"/>
    </xf>
    <xf numFmtId="0" fontId="3" fillId="7" borderId="3" xfId="0" applyFont="1" applyFill="1" applyBorder="1" applyAlignment="1">
      <alignment horizontal="right"/>
    </xf>
    <xf numFmtId="0" fontId="7" fillId="7" borderId="3" xfId="0" applyFont="1" applyFill="1" applyBorder="1" applyAlignment="1">
      <alignment horizontal="right"/>
    </xf>
    <xf numFmtId="0" fontId="3" fillId="0" borderId="1" xfId="0" applyFont="1" applyFill="1" applyBorder="1" applyAlignment="1">
      <alignment horizontal="right"/>
    </xf>
    <xf numFmtId="165" fontId="0" fillId="7" borderId="1" xfId="0" applyNumberFormat="1" applyFill="1" applyBorder="1"/>
    <xf numFmtId="165" fontId="0" fillId="7" borderId="1" xfId="0" applyNumberFormat="1" applyFont="1" applyFill="1" applyBorder="1"/>
    <xf numFmtId="165" fontId="0" fillId="7" borderId="3" xfId="0" applyNumberFormat="1" applyFill="1" applyBorder="1"/>
    <xf numFmtId="165" fontId="0" fillId="7" borderId="3" xfId="0" applyNumberFormat="1" applyFont="1" applyFill="1" applyBorder="1"/>
    <xf numFmtId="164" fontId="4" fillId="7" borderId="1" xfId="2" applyNumberFormat="1" applyFont="1" applyFill="1" applyBorder="1"/>
    <xf numFmtId="164" fontId="3" fillId="7" borderId="1" xfId="2" applyNumberFormat="1" applyFont="1" applyFill="1" applyBorder="1"/>
    <xf numFmtId="164" fontId="5" fillId="7" borderId="1" xfId="2" applyNumberFormat="1" applyFont="1" applyFill="1" applyBorder="1"/>
    <xf numFmtId="0" fontId="13" fillId="7" borderId="1" xfId="0" applyFont="1" applyFill="1" applyBorder="1"/>
    <xf numFmtId="0" fontId="14" fillId="7" borderId="1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right" wrapText="1"/>
    </xf>
    <xf numFmtId="2" fontId="4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wrapText="1"/>
    </xf>
    <xf numFmtId="0" fontId="12" fillId="0" borderId="1" xfId="0" applyFont="1" applyFill="1" applyBorder="1" applyAlignment="1">
      <alignment horizontal="right"/>
    </xf>
    <xf numFmtId="167" fontId="11" fillId="2" borderId="1" xfId="0" applyNumberFormat="1" applyFont="1" applyFill="1" applyBorder="1"/>
    <xf numFmtId="167" fontId="11" fillId="3" borderId="1" xfId="0" applyNumberFormat="1" applyFont="1" applyFill="1" applyBorder="1"/>
    <xf numFmtId="166" fontId="0" fillId="3" borderId="1" xfId="1" applyNumberFormat="1" applyFont="1" applyFill="1" applyBorder="1"/>
    <xf numFmtId="166" fontId="0" fillId="0" borderId="0" xfId="1" applyNumberFormat="1" applyFont="1"/>
    <xf numFmtId="164" fontId="3" fillId="2" borderId="1" xfId="2" applyNumberFormat="1" applyFont="1" applyFill="1" applyBorder="1"/>
    <xf numFmtId="164" fontId="3" fillId="3" borderId="1" xfId="2" applyNumberFormat="1" applyFont="1" applyFill="1" applyBorder="1"/>
    <xf numFmtId="9" fontId="1" fillId="2" borderId="1" xfId="2" applyFont="1" applyFill="1" applyBorder="1"/>
    <xf numFmtId="9" fontId="1" fillId="3" borderId="1" xfId="2" applyFont="1" applyFill="1" applyBorder="1"/>
    <xf numFmtId="9" fontId="11" fillId="2" borderId="1" xfId="2" applyFont="1" applyFill="1" applyBorder="1"/>
    <xf numFmtId="9" fontId="11" fillId="3" borderId="3" xfId="2" applyFont="1" applyFill="1" applyBorder="1"/>
    <xf numFmtId="167" fontId="4" fillId="7" borderId="1" xfId="0" applyNumberFormat="1" applyFont="1" applyFill="1" applyBorder="1" applyAlignment="1">
      <alignment horizontal="center"/>
    </xf>
    <xf numFmtId="167" fontId="4" fillId="0" borderId="1" xfId="0" applyNumberFormat="1" applyFont="1" applyFill="1" applyBorder="1" applyAlignment="1">
      <alignment horizontal="center"/>
    </xf>
    <xf numFmtId="167" fontId="5" fillId="7" borderId="1" xfId="0" applyNumberFormat="1" applyFont="1" applyFill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2" borderId="1" xfId="1" applyNumberFormat="1" applyFont="1" applyFill="1" applyBorder="1"/>
    <xf numFmtId="164" fontId="0" fillId="0" borderId="0" xfId="2" applyNumberFormat="1" applyFont="1" applyFill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1" applyNumberFormat="1" applyFont="1" applyBorder="1" applyAlignment="1">
      <alignment horizontal="center"/>
    </xf>
    <xf numFmtId="43" fontId="0" fillId="0" borderId="0" xfId="1" applyNumberFormat="1" applyFont="1"/>
    <xf numFmtId="43" fontId="0" fillId="0" borderId="0" xfId="0" applyNumberFormat="1"/>
    <xf numFmtId="166" fontId="0" fillId="0" borderId="0" xfId="0" applyNumberFormat="1"/>
    <xf numFmtId="0" fontId="3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164" fontId="3" fillId="0" borderId="6" xfId="2" applyNumberFormat="1" applyFont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164" fontId="3" fillId="0" borderId="8" xfId="2" applyNumberFormat="1" applyFont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164" fontId="3" fillId="0" borderId="12" xfId="2" applyNumberFormat="1" applyFont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3" fillId="6" borderId="17" xfId="0" applyFont="1" applyFill="1" applyBorder="1" applyAlignment="1">
      <alignment horizontal="center"/>
    </xf>
    <xf numFmtId="164" fontId="0" fillId="0" borderId="0" xfId="0" applyNumberFormat="1"/>
    <xf numFmtId="164" fontId="15" fillId="10" borderId="0" xfId="0" applyNumberFormat="1" applyFont="1" applyFill="1"/>
    <xf numFmtId="0" fontId="0" fillId="9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2" borderId="0" xfId="0" applyFill="1" applyAlignment="1">
      <alignment horizontal="right"/>
    </xf>
    <xf numFmtId="0" fontId="16" fillId="11" borderId="18" xfId="0" applyFont="1" applyFill="1" applyBorder="1" applyAlignment="1">
      <alignment horizontal="left" vertical="top" wrapText="1"/>
    </xf>
    <xf numFmtId="0" fontId="16" fillId="5" borderId="18" xfId="0" applyFont="1" applyFill="1" applyBorder="1" applyAlignment="1">
      <alignment horizontal="left" vertical="top" wrapText="1"/>
    </xf>
    <xf numFmtId="0" fontId="16" fillId="12" borderId="18" xfId="0" applyFont="1" applyFill="1" applyBorder="1" applyAlignment="1">
      <alignment horizontal="left" vertical="top" wrapText="1"/>
    </xf>
    <xf numFmtId="49" fontId="16" fillId="12" borderId="18" xfId="0" applyNumberFormat="1" applyFont="1" applyFill="1" applyBorder="1" applyAlignment="1">
      <alignment horizontal="left" vertical="top" wrapText="1"/>
    </xf>
    <xf numFmtId="0" fontId="16" fillId="13" borderId="18" xfId="0" applyFont="1" applyFill="1" applyBorder="1" applyAlignment="1">
      <alignment horizontal="left" vertical="top" wrapText="1"/>
    </xf>
    <xf numFmtId="9" fontId="0" fillId="2" borderId="3" xfId="2" applyNumberFormat="1" applyFont="1" applyFill="1" applyBorder="1"/>
    <xf numFmtId="9" fontId="0" fillId="3" borderId="1" xfId="2" applyNumberFormat="1" applyFont="1" applyFill="1" applyBorder="1"/>
    <xf numFmtId="9" fontId="7" fillId="2" borderId="1" xfId="2" applyNumberFormat="1" applyFont="1" applyFill="1" applyBorder="1"/>
    <xf numFmtId="9" fontId="7" fillId="3" borderId="1" xfId="2" applyNumberFormat="1" applyFont="1" applyFill="1" applyBorder="1"/>
    <xf numFmtId="9" fontId="4" fillId="0" borderId="1" xfId="2" applyNumberFormat="1" applyFont="1" applyFill="1" applyBorder="1"/>
    <xf numFmtId="9" fontId="5" fillId="0" borderId="1" xfId="2" applyNumberFormat="1" applyFont="1" applyFill="1" applyBorder="1"/>
    <xf numFmtId="9" fontId="0" fillId="2" borderId="1" xfId="2" applyNumberFormat="1" applyFont="1" applyFill="1" applyBorder="1"/>
    <xf numFmtId="0" fontId="17" fillId="0" borderId="2" xfId="0" applyFont="1" applyBorder="1" applyAlignment="1">
      <alignment horizontal="right"/>
    </xf>
    <xf numFmtId="0" fontId="0" fillId="0" borderId="0" xfId="0" applyBorder="1" applyAlignment="1">
      <alignment horizontal="center"/>
    </xf>
    <xf numFmtId="0" fontId="4" fillId="0" borderId="19" xfId="0" applyFont="1" applyBorder="1" applyAlignment="1">
      <alignment horizontal="center"/>
    </xf>
    <xf numFmtId="164" fontId="4" fillId="0" borderId="20" xfId="2" applyNumberFormat="1" applyFont="1" applyBorder="1" applyAlignment="1">
      <alignment horizontal="center"/>
    </xf>
    <xf numFmtId="164" fontId="4" fillId="0" borderId="6" xfId="2" applyNumberFormat="1" applyFont="1" applyBorder="1" applyAlignment="1">
      <alignment horizontal="center"/>
    </xf>
    <xf numFmtId="164" fontId="4" fillId="0" borderId="8" xfId="2" applyNumberFormat="1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164" fontId="5" fillId="0" borderId="20" xfId="2" applyNumberFormat="1" applyFont="1" applyBorder="1" applyAlignment="1">
      <alignment horizontal="center"/>
    </xf>
    <xf numFmtId="164" fontId="5" fillId="0" borderId="6" xfId="2" applyNumberFormat="1" applyFont="1" applyBorder="1" applyAlignment="1">
      <alignment horizontal="center"/>
    </xf>
    <xf numFmtId="164" fontId="5" fillId="0" borderId="8" xfId="2" applyNumberFormat="1" applyFont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166" fontId="0" fillId="0" borderId="9" xfId="1" applyNumberFormat="1" applyFont="1" applyBorder="1" applyAlignment="1">
      <alignment horizontal="center"/>
    </xf>
    <xf numFmtId="164" fontId="3" fillId="9" borderId="4" xfId="2" applyNumberFormat="1" applyFont="1" applyFill="1" applyBorder="1" applyAlignment="1">
      <alignment horizontal="center"/>
    </xf>
    <xf numFmtId="164" fontId="0" fillId="0" borderId="4" xfId="2" applyNumberFormat="1" applyFont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9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/>
    </xf>
    <xf numFmtId="0" fontId="4" fillId="7" borderId="1" xfId="0" applyNumberFormat="1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0" fontId="5" fillId="7" borderId="1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right"/>
    </xf>
    <xf numFmtId="0" fontId="0" fillId="9" borderId="0" xfId="0" applyFill="1" applyAlignment="1">
      <alignment horizontal="center"/>
    </xf>
    <xf numFmtId="0" fontId="0" fillId="0" borderId="1" xfId="0" applyBorder="1"/>
    <xf numFmtId="166" fontId="0" fillId="0" borderId="0" xfId="0" applyNumberFormat="1" applyAlignment="1">
      <alignment horizontal="right"/>
    </xf>
    <xf numFmtId="10" fontId="0" fillId="8" borderId="0" xfId="2" applyNumberFormat="1" applyFont="1" applyFill="1"/>
    <xf numFmtId="164" fontId="0" fillId="0" borderId="0" xfId="2" applyNumberFormat="1" applyFont="1"/>
    <xf numFmtId="0" fontId="4" fillId="7" borderId="2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164" fontId="0" fillId="8" borderId="1" xfId="2" applyNumberFormat="1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0" xfId="0" applyFont="1" applyAlignment="1">
      <alignment horizontal="right"/>
    </xf>
    <xf numFmtId="0" fontId="10" fillId="0" borderId="1" xfId="0" applyFont="1" applyBorder="1" applyAlignment="1">
      <alignment horizontal="center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49" fontId="5" fillId="14" borderId="1" xfId="0" applyNumberFormat="1" applyFont="1" applyFill="1" applyBorder="1" applyAlignment="1">
      <alignment horizontal="center"/>
    </xf>
    <xf numFmtId="49" fontId="4" fillId="14" borderId="1" xfId="0" applyNumberFormat="1" applyFont="1" applyFill="1" applyBorder="1" applyAlignment="1">
      <alignment horizontal="center"/>
    </xf>
    <xf numFmtId="0" fontId="5" fillId="14" borderId="2" xfId="0" applyFont="1" applyFill="1" applyBorder="1" applyAlignment="1">
      <alignment horizontal="center"/>
    </xf>
    <xf numFmtId="0" fontId="4" fillId="14" borderId="2" xfId="0" applyFont="1" applyFill="1" applyBorder="1" applyAlignment="1">
      <alignment horizontal="center"/>
    </xf>
    <xf numFmtId="2" fontId="4" fillId="14" borderId="1" xfId="0" applyNumberFormat="1" applyFont="1" applyFill="1" applyBorder="1"/>
    <xf numFmtId="2" fontId="5" fillId="14" borderId="1" xfId="0" applyNumberFormat="1" applyFont="1" applyFill="1" applyBorder="1"/>
    <xf numFmtId="2" fontId="4" fillId="14" borderId="1" xfId="0" applyNumberFormat="1" applyFont="1" applyFill="1" applyBorder="1" applyAlignment="1">
      <alignment wrapText="1"/>
    </xf>
    <xf numFmtId="2" fontId="5" fillId="14" borderId="1" xfId="0" applyNumberFormat="1" applyFont="1" applyFill="1" applyBorder="1" applyAlignment="1">
      <alignment wrapText="1"/>
    </xf>
    <xf numFmtId="0" fontId="2" fillId="14" borderId="1" xfId="0" applyFont="1" applyFill="1" applyBorder="1" applyAlignment="1">
      <alignment horizontal="right"/>
    </xf>
    <xf numFmtId="0" fontId="12" fillId="14" borderId="1" xfId="0" applyFont="1" applyFill="1" applyBorder="1" applyAlignment="1">
      <alignment horizontal="right"/>
    </xf>
    <xf numFmtId="9" fontId="4" fillId="14" borderId="1" xfId="2" applyNumberFormat="1" applyFont="1" applyFill="1" applyBorder="1"/>
    <xf numFmtId="9" fontId="5" fillId="14" borderId="1" xfId="2" applyNumberFormat="1" applyFont="1" applyFill="1" applyBorder="1"/>
    <xf numFmtId="165" fontId="0" fillId="0" borderId="1" xfId="0" applyNumberFormat="1" applyFill="1" applyBorder="1"/>
    <xf numFmtId="165" fontId="0" fillId="0" borderId="1" xfId="0" applyNumberFormat="1" applyFont="1" applyFill="1" applyBorder="1"/>
    <xf numFmtId="165" fontId="0" fillId="0" borderId="3" xfId="0" applyNumberFormat="1" applyFill="1" applyBorder="1"/>
    <xf numFmtId="165" fontId="0" fillId="0" borderId="3" xfId="0" applyNumberFormat="1" applyFont="1" applyFill="1" applyBorder="1"/>
    <xf numFmtId="164" fontId="4" fillId="0" borderId="1" xfId="2" applyNumberFormat="1" applyFont="1" applyFill="1" applyBorder="1"/>
    <xf numFmtId="164" fontId="3" fillId="0" borderId="1" xfId="2" applyNumberFormat="1" applyFont="1" applyFill="1" applyBorder="1"/>
    <xf numFmtId="164" fontId="4" fillId="0" borderId="0" xfId="2" applyNumberFormat="1" applyFont="1" applyFill="1" applyBorder="1"/>
    <xf numFmtId="164" fontId="3" fillId="0" borderId="0" xfId="2" applyNumberFormat="1" applyFont="1" applyFill="1" applyBorder="1"/>
    <xf numFmtId="164" fontId="5" fillId="0" borderId="1" xfId="2" applyNumberFormat="1" applyFont="1" applyFill="1" applyBorder="1"/>
    <xf numFmtId="164" fontId="5" fillId="0" borderId="0" xfId="2" applyNumberFormat="1" applyFont="1" applyFill="1" applyBorder="1"/>
    <xf numFmtId="0" fontId="13" fillId="8" borderId="1" xfId="0" applyFont="1" applyFill="1" applyBorder="1"/>
    <xf numFmtId="0" fontId="14" fillId="8" borderId="1" xfId="0" applyFont="1" applyFill="1" applyBorder="1"/>
    <xf numFmtId="0" fontId="3" fillId="8" borderId="1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right" wrapText="1"/>
    </xf>
    <xf numFmtId="0" fontId="3" fillId="8" borderId="3" xfId="0" applyFont="1" applyFill="1" applyBorder="1" applyAlignment="1">
      <alignment horizontal="right"/>
    </xf>
    <xf numFmtId="0" fontId="7" fillId="8" borderId="3" xfId="0" applyFont="1" applyFill="1" applyBorder="1" applyAlignment="1">
      <alignment horizontal="right"/>
    </xf>
    <xf numFmtId="0" fontId="3" fillId="8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9" borderId="21" xfId="0" applyFill="1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7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'Pueblica-VADER'!$G$25:$G$35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'Pueblica-VADER'!$H$25:$H$35</c:f>
              <c:numCache>
                <c:formatCode>0.0%</c:formatCode>
                <c:ptCount val="11"/>
                <c:pt idx="0">
                  <c:v>1.474620401114929E-2</c:v>
                </c:pt>
                <c:pt idx="1">
                  <c:v>7.5113037815444539E-2</c:v>
                </c:pt>
                <c:pt idx="2">
                  <c:v>0.17433499908438813</c:v>
                </c:pt>
                <c:pt idx="3">
                  <c:v>0.24397458610432188</c:v>
                </c:pt>
                <c:pt idx="4">
                  <c:v>0.22948664801807839</c:v>
                </c:pt>
                <c:pt idx="5">
                  <c:v>0.15302358462547871</c:v>
                </c:pt>
                <c:pt idx="6">
                  <c:v>7.4300928392845023E-2</c:v>
                </c:pt>
                <c:pt idx="7">
                  <c:v>2.6546007355900781E-2</c:v>
                </c:pt>
                <c:pt idx="8">
                  <c:v>6.9620278757846757E-3</c:v>
                </c:pt>
                <c:pt idx="9">
                  <c:v>1.3201942659165811E-3</c:v>
                </c:pt>
                <c:pt idx="10">
                  <c:v>1.7548613753592935E-4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'Pueblica-VADER'!$H$39:$H$49</c:f>
              <c:numCache>
                <c:formatCode>0.0%</c:formatCode>
                <c:ptCount val="11"/>
                <c:pt idx="0">
                  <c:v>9.7970029794146582E-2</c:v>
                </c:pt>
                <c:pt idx="1">
                  <c:v>0.25749765809264791</c:v>
                </c:pt>
                <c:pt idx="2">
                  <c:v>0.30212183160560607</c:v>
                </c:pt>
                <c:pt idx="3">
                  <c:v>0.20908734937817278</c:v>
                </c:pt>
                <c:pt idx="4">
                  <c:v>9.5126776002281921E-2</c:v>
                </c:pt>
                <c:pt idx="5">
                  <c:v>3.0074504112720023E-2</c:v>
                </c:pt>
                <c:pt idx="6">
                  <c:v>6.8279641911423265E-3</c:v>
                </c:pt>
                <c:pt idx="7">
                  <c:v>1.1380949433990194E-3</c:v>
                </c:pt>
                <c:pt idx="8">
                  <c:v>1.4153960008927595E-4</c:v>
                </c:pt>
                <c:pt idx="9">
                  <c:v>1.3266618080457971E-5</c:v>
                </c:pt>
                <c:pt idx="10">
                  <c:v>9.3565295566843035E-7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52080"/>
        <c:axId val="250553648"/>
      </c:lineChart>
      <c:catAx>
        <c:axId val="25055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553648"/>
        <c:crosses val="autoZero"/>
        <c:auto val="1"/>
        <c:lblAlgn val="ctr"/>
        <c:lblOffset val="100"/>
        <c:noMultiLvlLbl val="0"/>
      </c:catAx>
      <c:valAx>
        <c:axId val="250553648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0552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'Pueblica-VADER'!$B$37:$B$39</c:f>
              <c:numCache>
                <c:formatCode>0.0%</c:formatCode>
                <c:ptCount val="3"/>
                <c:pt idx="0">
                  <c:v>0.15143949855976591</c:v>
                </c:pt>
                <c:pt idx="1">
                  <c:v>0.17132386003957217</c:v>
                </c:pt>
                <c:pt idx="2">
                  <c:v>0.67704480911499687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'Men-OBIWAN'!$G$25:$G$35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'Men-OBIWAN'!$H$25:$H$35</c:f>
              <c:numCache>
                <c:formatCode>0.0%</c:formatCode>
                <c:ptCount val="11"/>
                <c:pt idx="0">
                  <c:v>0.20090528824699883</c:v>
                </c:pt>
                <c:pt idx="1">
                  <c:v>0.34237461248935708</c:v>
                </c:pt>
                <c:pt idx="2">
                  <c:v>0.27001637746472407</c:v>
                </c:pt>
                <c:pt idx="3">
                  <c:v>0.13068681739958132</c:v>
                </c:pt>
                <c:pt idx="4">
                  <c:v>4.338743945932292E-2</c:v>
                </c:pt>
                <c:pt idx="5">
                  <c:v>1.0455798141955203E-2</c:v>
                </c:pt>
                <c:pt idx="6">
                  <c:v>1.8860059258158975E-3</c:v>
                </c:pt>
                <c:pt idx="7">
                  <c:v>2.5844249933911715E-4</c:v>
                </c:pt>
                <c:pt idx="8">
                  <c:v>2.6969101878791514E-5</c:v>
                </c:pt>
                <c:pt idx="9">
                  <c:v>2.1216196230881506E-6</c:v>
                </c:pt>
                <c:pt idx="10">
                  <c:v>1.2258527140107062E-7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'Men-OBIWAN'!$H$39:$H$49</c:f>
              <c:numCache>
                <c:formatCode>0.0%</c:formatCode>
                <c:ptCount val="11"/>
                <c:pt idx="0">
                  <c:v>3.7216038311632896E-3</c:v>
                </c:pt>
                <c:pt idx="1">
                  <c:v>2.6665740002266364E-2</c:v>
                </c:pt>
                <c:pt idx="2">
                  <c:v>8.725453310402248E-2</c:v>
                </c:pt>
                <c:pt idx="3">
                  <c:v>0.1724570212448403</c:v>
                </c:pt>
                <c:pt idx="4">
                  <c:v>0.22944858259636547</c:v>
                </c:pt>
                <c:pt idx="5">
                  <c:v>0.21675349257295543</c:v>
                </c:pt>
                <c:pt idx="6">
                  <c:v>0.14942097864352746</c:v>
                </c:pt>
                <c:pt idx="7">
                  <c:v>7.6057544208246716E-2</c:v>
                </c:pt>
                <c:pt idx="8">
                  <c:v>2.8594050417106196E-2</c:v>
                </c:pt>
                <c:pt idx="9">
                  <c:v>7.8582198009064606E-3</c:v>
                </c:pt>
                <c:pt idx="10">
                  <c:v>1.5428518697979923E-3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54040"/>
        <c:axId val="250546984"/>
      </c:lineChart>
      <c:catAx>
        <c:axId val="250554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546984"/>
        <c:crosses val="autoZero"/>
        <c:auto val="1"/>
        <c:lblAlgn val="ctr"/>
        <c:lblOffset val="100"/>
        <c:noMultiLvlLbl val="0"/>
      </c:catAx>
      <c:valAx>
        <c:axId val="2505469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055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'Men-OBIWAN'!$B$37:$B$39</c:f>
              <c:numCache>
                <c:formatCode>0.0%</c:formatCode>
                <c:ptCount val="3"/>
                <c:pt idx="0">
                  <c:v>6.8499145102741674E-2</c:v>
                </c:pt>
                <c:pt idx="1">
                  <c:v>0.88676431137438261</c:v>
                </c:pt>
                <c:pt idx="2">
                  <c:v>4.4511034380571399E-2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SIMULADOR!$H$25:$H$35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SIMULADOR!$H$39:$H$49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43456"/>
        <c:axId val="250544240"/>
      </c:lineChart>
      <c:catAx>
        <c:axId val="25054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544240"/>
        <c:crosses val="autoZero"/>
        <c:auto val="1"/>
        <c:lblAlgn val="ctr"/>
        <c:lblOffset val="100"/>
        <c:noMultiLvlLbl val="0"/>
      </c:catAx>
      <c:valAx>
        <c:axId val="250544240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0543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SIMULADOR!$B$37:$B$39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'SIMULADOR&gt;22-12-17'!$G$25:$G$35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'SIMULADOR&gt;22-12-17'!$H$25:$H$35</c:f>
              <c:numCache>
                <c:formatCode>0.0%</c:formatCode>
                <c:ptCount val="11"/>
                <c:pt idx="0">
                  <c:v>0.14738075169875151</c:v>
                </c:pt>
                <c:pt idx="1">
                  <c:v>0.30607459614351773</c:v>
                </c:pt>
                <c:pt idx="2">
                  <c:v>0.29103044227892333</c:v>
                </c:pt>
                <c:pt idx="3">
                  <c:v>0.16769440117062107</c:v>
                </c:pt>
                <c:pt idx="4">
                  <c:v>6.531517512113745E-2</c:v>
                </c:pt>
                <c:pt idx="5">
                  <c:v>1.8159817087638242E-2</c:v>
                </c:pt>
                <c:pt idx="6">
                  <c:v>3.7101066798310152E-3</c:v>
                </c:pt>
                <c:pt idx="7">
                  <c:v>5.6473172578951742E-4</c:v>
                </c:pt>
                <c:pt idx="8">
                  <c:v>6.4218993790413949E-5</c:v>
                </c:pt>
                <c:pt idx="9">
                  <c:v>5.4134780884159974E-6</c:v>
                </c:pt>
                <c:pt idx="10">
                  <c:v>3.3117416353307858E-7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'SIMULADOR&gt;22-12-17'!$H$39:$H$49</c:f>
              <c:numCache>
                <c:formatCode>0.0%</c:formatCode>
                <c:ptCount val="11"/>
                <c:pt idx="0">
                  <c:v>5.9501909237606246E-2</c:v>
                </c:pt>
                <c:pt idx="1">
                  <c:v>0.18913667156449956</c:v>
                </c:pt>
                <c:pt idx="2">
                  <c:v>0.27544784496860492</c:v>
                </c:pt>
                <c:pt idx="3">
                  <c:v>0.24330030848488476</c:v>
                </c:pt>
                <c:pt idx="4">
                  <c:v>0.1454230726245091</c:v>
                </c:pt>
                <c:pt idx="5">
                  <c:v>6.2134159523416999E-2</c:v>
                </c:pt>
                <c:pt idx="6">
                  <c:v>1.9542410342318937E-2</c:v>
                </c:pt>
                <c:pt idx="7">
                  <c:v>4.5896778609825772E-3</c:v>
                </c:pt>
                <c:pt idx="8">
                  <c:v>8.0751430873681157E-4</c:v>
                </c:pt>
                <c:pt idx="9">
                  <c:v>1.0566333059538167E-4</c:v>
                </c:pt>
                <c:pt idx="10">
                  <c:v>1.0070407983549551E-5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57568"/>
        <c:axId val="250556784"/>
      </c:lineChart>
      <c:catAx>
        <c:axId val="25055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0556784"/>
        <c:crosses val="autoZero"/>
        <c:auto val="1"/>
        <c:lblAlgn val="ctr"/>
        <c:lblOffset val="100"/>
        <c:noMultiLvlLbl val="0"/>
      </c:catAx>
      <c:valAx>
        <c:axId val="25055678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055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</c:dPt>
          <c:dPt>
            <c:idx val="1"/>
            <c:bubble3D val="0"/>
            <c:spPr>
              <a:solidFill>
                <a:srgbClr val="00B050"/>
              </a:solidFill>
            </c:spPr>
          </c:dPt>
          <c:dPt>
            <c:idx val="2"/>
            <c:bubble3D val="0"/>
            <c:spPr>
              <a:solidFill>
                <a:srgbClr val="FF0000"/>
              </a:solidFill>
            </c:spPr>
          </c:dPt>
          <c:val>
            <c:numRef>
              <c:f>'SIMULADOR&gt;22-12-17'!$B$37:$B$39</c:f>
              <c:numCache>
                <c:formatCode>0.0%</c:formatCode>
                <c:ptCount val="3"/>
                <c:pt idx="0">
                  <c:v>0.19832500138188314</c:v>
                </c:pt>
                <c:pt idx="1">
                  <c:v>0.55248814107641242</c:v>
                </c:pt>
                <c:pt idx="2">
                  <c:v>0.24918581457750841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ln>
                <a:solidFill>
                  <a:srgbClr val="FF0000"/>
                </a:solidFill>
              </a:ln>
              <a:effectLst>
                <a:outerShdw blurRad="50800" dist="50800" dir="5400000" algn="ctr" rotWithShape="0">
                  <a:srgbClr val="FF0000"/>
                </a:outerShdw>
              </a:effectLst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spPr>
            <a:ln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marker>
            <c:spPr>
              <a:effectLst>
                <a:outerShdw blurRad="50800" dist="50800" dir="5400000" algn="ctr" rotWithShape="0">
                  <a:srgbClr val="00B050"/>
                </a:outerShdw>
              </a:effectLst>
            </c:spPr>
          </c:marke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556392"/>
        <c:axId val="417327264"/>
      </c:lineChart>
      <c:catAx>
        <c:axId val="250556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17327264"/>
        <c:crosses val="autoZero"/>
        <c:auto val="1"/>
        <c:lblAlgn val="ctr"/>
        <c:lblOffset val="100"/>
        <c:noMultiLvlLbl val="0"/>
      </c:catAx>
      <c:valAx>
        <c:axId val="417327264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250556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1388" l="0.70000000000000062" r="0.70000000000000062" t="0.7500000000000138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22</xdr:row>
      <xdr:rowOff>23813</xdr:rowOff>
    </xdr:from>
    <xdr:to>
      <xdr:col>31</xdr:col>
      <xdr:colOff>535782</xdr:colOff>
      <xdr:row>48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23813</xdr:colOff>
      <xdr:row>21</xdr:row>
      <xdr:rowOff>23813</xdr:rowOff>
    </xdr:from>
    <xdr:to>
      <xdr:col>31</xdr:col>
      <xdr:colOff>535782</xdr:colOff>
      <xdr:row>47</xdr:row>
      <xdr:rowOff>78241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163286</xdr:colOff>
      <xdr:row>34</xdr:row>
      <xdr:rowOff>176894</xdr:rowOff>
    </xdr:from>
    <xdr:to>
      <xdr:col>5</xdr:col>
      <xdr:colOff>299357</xdr:colOff>
      <xdr:row>43</xdr:row>
      <xdr:rowOff>13607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BR59"/>
  <sheetViews>
    <sheetView tabSelected="1" zoomScale="80" zoomScaleNormal="80" workbookViewId="0">
      <selection activeCell="K20" sqref="K20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5" t="s">
        <v>150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5" t="s">
        <v>142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3.7971129986273532E-3</v>
      </c>
      <c r="BL4">
        <v>0</v>
      </c>
      <c r="BM4">
        <v>0</v>
      </c>
      <c r="BN4" s="107">
        <f>H25*H39</f>
        <v>1.4446860463228598E-3</v>
      </c>
      <c r="BP4">
        <v>1</v>
      </c>
      <c r="BQ4">
        <v>0</v>
      </c>
      <c r="BR4" s="107">
        <f>$H$26*H39</f>
        <v>7.3588265527079607E-3</v>
      </c>
    </row>
    <row r="5" spans="1:70" x14ac:dyDescent="0.25">
      <c r="A5" s="188" t="s">
        <v>140</v>
      </c>
      <c r="B5" s="161">
        <v>352</v>
      </c>
      <c r="C5" s="161">
        <v>532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>
        <f>IF($M$2="SI",Q5*$B$22/0.5*$S$1,Q5*$B$22/0.5*$S$2)</f>
        <v>0</v>
      </c>
      <c r="S5" s="176">
        <f>(1-R5)</f>
        <v>1</v>
      </c>
      <c r="T5" s="177">
        <f>R5*PRODUCT(S6:S19)</f>
        <v>0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0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>
        <f>IF($M$2="SI",AA5*$C$22/0.5*$S$1,AA5*$C$22/0.5*$S$2)</f>
        <v>0</v>
      </c>
      <c r="AC5" s="176">
        <f>(1-AB5)</f>
        <v>1</v>
      </c>
      <c r="AD5" s="177">
        <f>AB5*PRODUCT(AC6:AC19)</f>
        <v>0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0</v>
      </c>
      <c r="AF5" s="18"/>
      <c r="BH5">
        <v>0</v>
      </c>
      <c r="BI5">
        <v>2</v>
      </c>
      <c r="BJ5" s="107">
        <f t="shared" si="0"/>
        <v>4.4551501650783587E-3</v>
      </c>
      <c r="BL5">
        <v>1</v>
      </c>
      <c r="BM5">
        <v>1</v>
      </c>
      <c r="BN5" s="107">
        <f>$H$26*H40</f>
        <v>1.934143132970147E-2</v>
      </c>
      <c r="BP5">
        <f>BP4+1</f>
        <v>2</v>
      </c>
      <c r="BQ5">
        <v>0</v>
      </c>
      <c r="BR5" s="107">
        <f>$H$27*H39</f>
        <v>1.7079605054460021E-2</v>
      </c>
    </row>
    <row r="6" spans="1:70" x14ac:dyDescent="0.25">
      <c r="A6" s="2" t="s">
        <v>1</v>
      </c>
      <c r="B6" s="168">
        <v>14.5</v>
      </c>
      <c r="C6" s="169">
        <v>5.25</v>
      </c>
      <c r="E6" s="192" t="s">
        <v>17</v>
      </c>
      <c r="F6" s="167" t="s">
        <v>144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>
        <f t="shared" ref="AB6:AB19" si="4">IF($M$2="SI",AA6*$C$22/0.5*$S$1,AA6*$C$22/0.5*$S$2)</f>
        <v>0</v>
      </c>
      <c r="AC6" s="176">
        <f t="shared" ref="AC6:AC19" si="5">(1-AB6)</f>
        <v>1</v>
      </c>
      <c r="AD6" s="177">
        <f>AB6*AC5*PRODUCT(AC7:AC19)</f>
        <v>0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0</v>
      </c>
      <c r="AF6" s="18"/>
      <c r="BH6">
        <v>0</v>
      </c>
      <c r="BI6">
        <v>3</v>
      </c>
      <c r="BJ6" s="107">
        <f t="shared" si="0"/>
        <v>3.0832447100809846E-3</v>
      </c>
      <c r="BL6">
        <f>BH14+1</f>
        <v>2</v>
      </c>
      <c r="BM6">
        <v>2</v>
      </c>
      <c r="BN6" s="107">
        <f>$H$27*H41</f>
        <v>5.2670409236337E-2</v>
      </c>
      <c r="BP6">
        <f>BL5+1</f>
        <v>2</v>
      </c>
      <c r="BQ6">
        <v>1</v>
      </c>
      <c r="BR6" s="107">
        <f>$H$27*H40</f>
        <v>4.489085398781386E-2</v>
      </c>
    </row>
    <row r="7" spans="1:70" x14ac:dyDescent="0.25">
      <c r="A7" s="5" t="s">
        <v>2</v>
      </c>
      <c r="B7" s="168">
        <v>12</v>
      </c>
      <c r="C7" s="169">
        <v>17.25</v>
      </c>
      <c r="E7" s="192" t="s">
        <v>18</v>
      </c>
      <c r="F7" s="167"/>
      <c r="G7" s="167"/>
      <c r="H7" s="10"/>
      <c r="I7" s="10"/>
      <c r="J7" s="166" t="s">
        <v>16</v>
      </c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1.4027588458525497E-3</v>
      </c>
      <c r="BL7">
        <f>BH23+1</f>
        <v>3</v>
      </c>
      <c r="BM7">
        <v>3</v>
      </c>
      <c r="BN7" s="107">
        <f>$H$28*H42</f>
        <v>5.1011999524189444E-2</v>
      </c>
      <c r="BP7">
        <f>BP5+1</f>
        <v>3</v>
      </c>
      <c r="BQ7">
        <v>0</v>
      </c>
      <c r="BR7" s="107">
        <f>$H$28*H39</f>
        <v>2.3902197469654995E-2</v>
      </c>
    </row>
    <row r="8" spans="1:70" x14ac:dyDescent="0.25">
      <c r="A8" s="5" t="s">
        <v>3</v>
      </c>
      <c r="B8" s="168">
        <v>11.75</v>
      </c>
      <c r="C8" s="169">
        <v>15.25</v>
      </c>
      <c r="E8" s="192" t="s">
        <v>18</v>
      </c>
      <c r="F8" s="167" t="s">
        <v>16</v>
      </c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>
        <f t="shared" si="6"/>
        <v>0</v>
      </c>
      <c r="S8" s="176">
        <f t="shared" si="2"/>
        <v>1</v>
      </c>
      <c r="T8" s="177">
        <f>R8*PRODUCT(S5:S7)*PRODUCT(S9:S19)</f>
        <v>0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0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>
        <f t="shared" si="4"/>
        <v>0</v>
      </c>
      <c r="AC8" s="176">
        <f t="shared" si="5"/>
        <v>1</v>
      </c>
      <c r="AD8" s="177">
        <f>AB8*PRODUCT(AC5:AC7)*PRODUCT(AC9:AC19)</f>
        <v>0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0</v>
      </c>
      <c r="BH8">
        <v>0</v>
      </c>
      <c r="BI8">
        <v>5</v>
      </c>
      <c r="BJ8" s="107">
        <f t="shared" si="0"/>
        <v>4.4348477318031785E-4</v>
      </c>
      <c r="BL8">
        <f>BH31+1</f>
        <v>4</v>
      </c>
      <c r="BM8">
        <v>4</v>
      </c>
      <c r="BN8" s="107">
        <f>$H$29*H43</f>
        <v>2.1830324961530256E-2</v>
      </c>
      <c r="BP8">
        <f>BP6+1</f>
        <v>3</v>
      </c>
      <c r="BQ8">
        <v>1</v>
      </c>
      <c r="BR8" s="107">
        <f>$H$28*H40</f>
        <v>6.2822884555985961E-2</v>
      </c>
    </row>
    <row r="9" spans="1:70" x14ac:dyDescent="0.25">
      <c r="A9" s="5" t="s">
        <v>4</v>
      </c>
      <c r="B9" s="168">
        <v>11.75</v>
      </c>
      <c r="C9" s="169">
        <v>17</v>
      </c>
      <c r="E9" s="192" t="s">
        <v>18</v>
      </c>
      <c r="F9" s="167"/>
      <c r="G9" s="167"/>
      <c r="H9" s="10"/>
      <c r="I9" s="10"/>
      <c r="J9" s="166" t="s">
        <v>144</v>
      </c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>
        <f t="shared" si="4"/>
        <v>0</v>
      </c>
      <c r="AC9" s="176">
        <f t="shared" si="5"/>
        <v>1</v>
      </c>
      <c r="AD9" s="177">
        <f>AB9*PRODUCT(AC5:AC8)*PRODUCT(AC10:AC19)</f>
        <v>0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0</v>
      </c>
      <c r="BH9">
        <v>0</v>
      </c>
      <c r="BI9">
        <v>6</v>
      </c>
      <c r="BJ9" s="107">
        <f t="shared" si="0"/>
        <v>1.006865529434067E-4</v>
      </c>
      <c r="BL9">
        <f>BH38+1</f>
        <v>5</v>
      </c>
      <c r="BM9">
        <v>5</v>
      </c>
      <c r="BN9" s="107">
        <f>$H$30*H44</f>
        <v>4.6021084251621196E-3</v>
      </c>
      <c r="BP9">
        <f>BL6+1</f>
        <v>3</v>
      </c>
      <c r="BQ9">
        <v>2</v>
      </c>
      <c r="BR9" s="107">
        <f>$H$28*H41</f>
        <v>7.3710048819057378E-2</v>
      </c>
    </row>
    <row r="10" spans="1:70" x14ac:dyDescent="0.25">
      <c r="A10" s="6" t="s">
        <v>5</v>
      </c>
      <c r="B10" s="168">
        <v>13</v>
      </c>
      <c r="C10" s="169">
        <v>13.75</v>
      </c>
      <c r="E10" s="192" t="s">
        <v>17</v>
      </c>
      <c r="F10" s="167" t="s">
        <v>16</v>
      </c>
      <c r="G10" s="167"/>
      <c r="H10" s="10"/>
      <c r="I10" s="10"/>
      <c r="J10" s="166" t="s">
        <v>21</v>
      </c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>
        <f t="shared" si="6"/>
        <v>0</v>
      </c>
      <c r="S10" s="176">
        <f t="shared" si="2"/>
        <v>1</v>
      </c>
      <c r="T10" s="177">
        <f>R10*PRODUCT(S5:S9)*PRODUCT(S11:S19)</f>
        <v>0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0</v>
      </c>
      <c r="W10" s="186" t="s">
        <v>46</v>
      </c>
      <c r="X10" s="15" t="s">
        <v>47</v>
      </c>
      <c r="Y10" s="69">
        <f>COUNTIF(J14:J18,"RAP")*0.085</f>
        <v>8.5000000000000006E-2</v>
      </c>
      <c r="Z10" s="146" t="str">
        <f>AB3</f>
        <v>0,72</v>
      </c>
      <c r="AA10" s="19">
        <f t="shared" si="3"/>
        <v>6.1200000000000004E-2</v>
      </c>
      <c r="AB10" s="157">
        <f t="shared" si="4"/>
        <v>3.4943115652659104E-2</v>
      </c>
      <c r="AC10" s="176">
        <f t="shared" si="5"/>
        <v>0.96505688434734094</v>
      </c>
      <c r="AD10" s="177">
        <f>AB10*PRODUCT(AC5:AC9)*PRODUCT(AC11:AC19)</f>
        <v>2.6754166021123207E-2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7.580310617153814E-3</v>
      </c>
      <c r="BH10">
        <v>0</v>
      </c>
      <c r="BI10">
        <v>7</v>
      </c>
      <c r="BJ10" s="107">
        <f t="shared" si="0"/>
        <v>1.6782580219419344E-5</v>
      </c>
      <c r="BL10">
        <f>BH44+1</f>
        <v>6</v>
      </c>
      <c r="BM10">
        <v>6</v>
      </c>
      <c r="BN10" s="107">
        <f>$H$31*H45</f>
        <v>5.0732407843497604E-4</v>
      </c>
      <c r="BP10">
        <f>BP7+1</f>
        <v>4</v>
      </c>
      <c r="BQ10">
        <v>0</v>
      </c>
      <c r="BR10" s="107">
        <f>$H$29*H39</f>
        <v>2.2482813743689968E-2</v>
      </c>
    </row>
    <row r="11" spans="1:70" x14ac:dyDescent="0.25">
      <c r="A11" s="6" t="s">
        <v>6</v>
      </c>
      <c r="B11" s="168">
        <v>12.25</v>
      </c>
      <c r="C11" s="169">
        <v>10</v>
      </c>
      <c r="E11" s="192" t="s">
        <v>19</v>
      </c>
      <c r="F11" s="167" t="s">
        <v>16</v>
      </c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>
        <f t="shared" si="6"/>
        <v>0</v>
      </c>
      <c r="S11" s="176">
        <f t="shared" si="2"/>
        <v>1</v>
      </c>
      <c r="T11" s="177">
        <f>R11*PRODUCT(S5:S10)*PRODUCT(S12:S19)</f>
        <v>0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0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3.4943115652659104E-2</v>
      </c>
      <c r="AC11" s="176">
        <f t="shared" si="5"/>
        <v>0.96505688434734094</v>
      </c>
      <c r="AD11" s="177">
        <f>AB11*PRODUCT(AC5:AC10)*PRODUCT(AC12:AC19)</f>
        <v>2.67541660211232E-2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6.6115864594076127E-3</v>
      </c>
      <c r="BH11">
        <v>0</v>
      </c>
      <c r="BI11">
        <v>8</v>
      </c>
      <c r="BJ11" s="107">
        <f t="shared" si="0"/>
        <v>2.0871718185729476E-6</v>
      </c>
      <c r="BL11">
        <f>BH50+1</f>
        <v>7</v>
      </c>
      <c r="BM11">
        <v>7</v>
      </c>
      <c r="BN11" s="107">
        <f>$H$32*H46</f>
        <v>3.0211876739183849E-5</v>
      </c>
      <c r="BP11">
        <f>BP8+1</f>
        <v>4</v>
      </c>
      <c r="BQ11">
        <v>1</v>
      </c>
      <c r="BR11" s="107">
        <f>$H$29*H40</f>
        <v>5.9092274428186986E-2</v>
      </c>
    </row>
    <row r="12" spans="1:70" x14ac:dyDescent="0.25">
      <c r="A12" s="6" t="s">
        <v>7</v>
      </c>
      <c r="B12" s="168">
        <v>13.25</v>
      </c>
      <c r="C12" s="169">
        <v>13.25</v>
      </c>
      <c r="E12" s="192" t="s">
        <v>19</v>
      </c>
      <c r="F12" s="167" t="s">
        <v>144</v>
      </c>
      <c r="G12" s="167"/>
      <c r="H12" s="10"/>
      <c r="I12" s="10"/>
      <c r="J12" s="166" t="s">
        <v>144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1.9563225675243503E-7</v>
      </c>
      <c r="BL12">
        <f>BH54+1</f>
        <v>8</v>
      </c>
      <c r="BM12">
        <v>8</v>
      </c>
      <c r="BN12" s="107">
        <f>$H$33*H47</f>
        <v>9.8540264134895435E-7</v>
      </c>
      <c r="BP12">
        <f>BP9+1</f>
        <v>4</v>
      </c>
      <c r="BQ12">
        <v>2</v>
      </c>
      <c r="BR12" s="107">
        <f>$H$29*H41</f>
        <v>6.9332926428252867E-2</v>
      </c>
    </row>
    <row r="13" spans="1:70" x14ac:dyDescent="0.25">
      <c r="A13" s="7" t="s">
        <v>8</v>
      </c>
      <c r="B13" s="168">
        <v>10.75</v>
      </c>
      <c r="C13" s="169">
        <v>11</v>
      </c>
      <c r="E13" s="192" t="s">
        <v>19</v>
      </c>
      <c r="F13" s="167" t="s">
        <v>16</v>
      </c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7.8847677709859482E-2</v>
      </c>
      <c r="S13" s="176">
        <f t="shared" si="2"/>
        <v>0.92115232229014055</v>
      </c>
      <c r="T13" s="177">
        <f>R13*PRODUCT(S5:S12)*PRODUCT(S14:S19)</f>
        <v>4.1004862196487829E-2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3.4632796791226439E-2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2.8548297101845675E-2</v>
      </c>
      <c r="AC13" s="176">
        <f t="shared" si="5"/>
        <v>0.9714517028981543</v>
      </c>
      <c r="AD13" s="177">
        <f>AB13*PRODUCT(AC5:AC12)*PRODUCT(AC14:AC19)</f>
        <v>2.1714093281440066E-2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4.7279478637968844E-3</v>
      </c>
      <c r="BH13">
        <v>0</v>
      </c>
      <c r="BI13">
        <v>10</v>
      </c>
      <c r="BJ13" s="107">
        <f t="shared" si="0"/>
        <v>1.3797329367921498E-8</v>
      </c>
      <c r="BL13">
        <f>BH57+1</f>
        <v>9</v>
      </c>
      <c r="BM13">
        <v>9</v>
      </c>
      <c r="BN13" s="107">
        <f>$H$34*H48</f>
        <v>1.7514513117925855E-8</v>
      </c>
      <c r="BP13">
        <f>BL7+1</f>
        <v>4</v>
      </c>
      <c r="BQ13">
        <v>3</v>
      </c>
      <c r="BR13" s="107">
        <f>$H$29*H42</f>
        <v>4.7982754951781718E-2</v>
      </c>
    </row>
    <row r="14" spans="1:70" x14ac:dyDescent="0.25">
      <c r="A14" s="7" t="s">
        <v>9</v>
      </c>
      <c r="B14" s="168">
        <v>8.75</v>
      </c>
      <c r="C14" s="169">
        <v>9</v>
      </c>
      <c r="E14" s="192" t="s">
        <v>20</v>
      </c>
      <c r="F14" s="167" t="s">
        <v>16</v>
      </c>
      <c r="G14" s="167"/>
      <c r="H14" s="10"/>
      <c r="I14" s="10"/>
      <c r="J14" s="166" t="s">
        <v>144</v>
      </c>
      <c r="K14" s="166"/>
      <c r="L14" s="10"/>
      <c r="M14" s="10"/>
      <c r="O14" s="67">
        <f>COUNTIF(F6:F18,"CAB")*0.095</f>
        <v>0.28500000000000003</v>
      </c>
      <c r="P14" s="144">
        <v>0.95</v>
      </c>
      <c r="Q14" s="16">
        <f t="shared" si="1"/>
        <v>0.27074999999999999</v>
      </c>
      <c r="R14" s="157">
        <f t="shared" si="6"/>
        <v>0.42696017479888904</v>
      </c>
      <c r="S14" s="176">
        <f t="shared" si="2"/>
        <v>0.57303982520111096</v>
      </c>
      <c r="T14" s="177">
        <f>R14*PRODUCT(S5:S13)*PRODUCT(S15:S19)</f>
        <v>0.35692787249329955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3.5522457475370042E-2</v>
      </c>
      <c r="W14" s="186" t="s">
        <v>54</v>
      </c>
      <c r="X14" s="15" t="s">
        <v>55</v>
      </c>
      <c r="Y14" s="69">
        <f>COUNTIF(J6:J18,"CAB")*0.095</f>
        <v>0.28500000000000003</v>
      </c>
      <c r="Z14" s="147">
        <v>0.95</v>
      </c>
      <c r="AA14" s="19">
        <f t="shared" si="3"/>
        <v>0.27074999999999999</v>
      </c>
      <c r="AB14" s="157">
        <f t="shared" si="4"/>
        <v>0.15458902880649431</v>
      </c>
      <c r="AC14" s="176">
        <f t="shared" si="5"/>
        <v>0.84541097119350572</v>
      </c>
      <c r="AD14" s="177">
        <f>AB14*PRODUCT(AC5:AC13)*PRODUCT(AC15:AC19)</f>
        <v>0.13511186679532877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4.7126624583557677E-3</v>
      </c>
      <c r="BH14">
        <v>1</v>
      </c>
      <c r="BI14">
        <v>2</v>
      </c>
      <c r="BJ14" s="107">
        <f t="shared" ref="BJ14:BJ22" si="7">$H$26*H41</f>
        <v>2.2693288562263256E-2</v>
      </c>
      <c r="BL14">
        <f>BP39+1</f>
        <v>10</v>
      </c>
      <c r="BM14">
        <v>10</v>
      </c>
      <c r="BN14" s="107">
        <f>$H$35*H49</f>
        <v>1.6419412326432896E-10</v>
      </c>
      <c r="BP14">
        <f>BP10+1</f>
        <v>5</v>
      </c>
      <c r="BQ14">
        <v>0</v>
      </c>
      <c r="BR14" s="107">
        <f>$H$30*H39</f>
        <v>1.4991725144965261E-2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16</v>
      </c>
      <c r="G15" s="167"/>
      <c r="H15" s="10"/>
      <c r="I15" s="10"/>
      <c r="J15" s="166" t="s">
        <v>16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1.5705185980573758E-2</v>
      </c>
      <c r="BP15">
        <f>BP11+1</f>
        <v>5</v>
      </c>
      <c r="BQ15">
        <v>1</v>
      </c>
      <c r="BR15" s="107">
        <f>$H$30*H40</f>
        <v>3.9403214674002894E-2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7.1452611231207237E-3</v>
      </c>
      <c r="BP16">
        <f>BP12+1</f>
        <v>5</v>
      </c>
      <c r="BQ16">
        <v>2</v>
      </c>
      <c r="BR16" s="107">
        <f>$H$30*H41</f>
        <v>4.6231765665905089E-2</v>
      </c>
    </row>
    <row r="17" spans="1:70" x14ac:dyDescent="0.25">
      <c r="A17" s="188" t="s">
        <v>10</v>
      </c>
      <c r="B17" s="172" t="s">
        <v>11</v>
      </c>
      <c r="C17" s="173" t="s">
        <v>151</v>
      </c>
      <c r="E17" s="192" t="s">
        <v>22</v>
      </c>
      <c r="F17" s="167"/>
      <c r="G17" s="167"/>
      <c r="H17" s="10"/>
      <c r="I17" s="10"/>
      <c r="J17" s="166" t="s">
        <v>21</v>
      </c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3.7846885300732554E-2</v>
      </c>
      <c r="S17" s="176">
        <f t="shared" si="2"/>
        <v>0.96215311469926745</v>
      </c>
      <c r="T17" s="177">
        <f>R17*PRODUCT(S5:S16)*PRODUCT(S18:S19)</f>
        <v>1.8843599070672058E-2</v>
      </c>
      <c r="U17" s="177">
        <f>R17*R18*PRODUCT(S5:S16)*S19+R17*R19*PRODUCT(S5:S16)*S18</f>
        <v>1.1341429672131992E-3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1.3703182608885922E-2</v>
      </c>
      <c r="AC17" s="176">
        <f t="shared" si="5"/>
        <v>0.98629681739111408</v>
      </c>
      <c r="AD17" s="177">
        <f>AB17*PRODUCT(AC5:AC16)*PRODUCT(AC18:AC19)</f>
        <v>1.0265887926569413E-2</v>
      </c>
      <c r="AE17" s="177">
        <f>AB17*AB18*PRODUCT(AC5:AC16)*AC19+AB17*AB19*PRODUCT(AC5:AC16)*AC18</f>
        <v>2.1544135366640126E-4</v>
      </c>
      <c r="BH17">
        <v>1</v>
      </c>
      <c r="BI17">
        <v>5</v>
      </c>
      <c r="BJ17" s="107">
        <f t="shared" si="7"/>
        <v>2.2589873646994812E-3</v>
      </c>
      <c r="BP17">
        <f>BP13+1</f>
        <v>5</v>
      </c>
      <c r="BQ17">
        <v>3</v>
      </c>
      <c r="BR17" s="107">
        <f>$H$30*H42</f>
        <v>3.1995295701687854E-2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144</v>
      </c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5.1286913249177471E-4</v>
      </c>
      <c r="BP18">
        <f>BL8+1</f>
        <v>5</v>
      </c>
      <c r="BQ18">
        <v>4</v>
      </c>
      <c r="BR18" s="107">
        <f>$H$30*H43</f>
        <v>1.4556640257734146E-2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0.06</v>
      </c>
      <c r="P19" s="16" t="str">
        <f>P3</f>
        <v>0,6</v>
      </c>
      <c r="Q19" s="16">
        <f t="shared" si="1"/>
        <v>3.5999999999999997E-2</v>
      </c>
      <c r="R19" s="157">
        <f t="shared" si="6"/>
        <v>5.677032795109882E-2</v>
      </c>
      <c r="S19" s="178">
        <f t="shared" si="2"/>
        <v>0.94322967204890118</v>
      </c>
      <c r="T19" s="179">
        <f>R19*PRODUCT(S5:S18)</f>
        <v>2.8832470089614679E-2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0.06</v>
      </c>
      <c r="Z19" s="146" t="str">
        <f>Z3</f>
        <v>0,6</v>
      </c>
      <c r="AA19" s="19">
        <f t="shared" si="3"/>
        <v>3.5999999999999997E-2</v>
      </c>
      <c r="AB19" s="157">
        <f t="shared" si="4"/>
        <v>2.055477391332888E-2</v>
      </c>
      <c r="AC19" s="178">
        <f t="shared" si="5"/>
        <v>0.97944522608667117</v>
      </c>
      <c r="AD19" s="179">
        <f>AB19*PRODUCT(AC5:AC18)</f>
        <v>1.5506552566687315E-2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8.5485768521096749E-5</v>
      </c>
      <c r="BP19">
        <f>BP15+1</f>
        <v>6</v>
      </c>
      <c r="BQ19">
        <v>1</v>
      </c>
      <c r="BR19" s="107">
        <f>$H$31*H40</f>
        <v>1.9132315055267121E-2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0.47904675362123955</v>
      </c>
      <c r="T20" s="181">
        <f>SUM(T5:T19)</f>
        <v>0.44560880385007418</v>
      </c>
      <c r="U20" s="181">
        <f>SUM(U5:U19)</f>
        <v>7.1289397233809684E-2</v>
      </c>
      <c r="V20" s="181">
        <f>1-S20-T20-U20</f>
        <v>4.0550452948766441E-3</v>
      </c>
      <c r="W20" s="21"/>
      <c r="X20" s="22"/>
      <c r="Y20" s="22"/>
      <c r="Z20" s="22"/>
      <c r="AA20" s="22"/>
      <c r="AB20" s="23"/>
      <c r="AC20" s="184">
        <f>PRODUCT(AC5:AC19)</f>
        <v>0.73889496175169633</v>
      </c>
      <c r="AD20" s="181">
        <f>SUM(AD5:AD19)</f>
        <v>0.23610673261227197</v>
      </c>
      <c r="AE20" s="181">
        <f>SUM(AE5:AE19)</f>
        <v>2.3847948752380482E-2</v>
      </c>
      <c r="AF20" s="181">
        <f>1-AC20-AD20-AE20</f>
        <v>1.1503568836512164E-3</v>
      </c>
      <c r="BH20">
        <v>1</v>
      </c>
      <c r="BI20">
        <v>8</v>
      </c>
      <c r="BJ20" s="107">
        <f t="shared" si="7"/>
        <v>1.0631469333888682E-5</v>
      </c>
      <c r="BP20">
        <f>BP16+1</f>
        <v>6</v>
      </c>
      <c r="BQ20">
        <v>2</v>
      </c>
      <c r="BR20" s="107">
        <f>$H$31*H41</f>
        <v>2.2447932576043318E-2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0.4790467536212395</v>
      </c>
      <c r="T21" s="183">
        <f>T20*V1</f>
        <v>0.44560880385007418</v>
      </c>
      <c r="U21" s="183">
        <f>U20*V1</f>
        <v>7.1289397233809684E-2</v>
      </c>
      <c r="V21" s="183">
        <f>V20*V1</f>
        <v>4.0550452948766441E-3</v>
      </c>
      <c r="W21" s="21"/>
      <c r="X21" s="22"/>
      <c r="Y21" s="22"/>
      <c r="Z21" s="22"/>
      <c r="AA21" s="22"/>
      <c r="AB21" s="23"/>
      <c r="AC21" s="185">
        <f>1-AD21-AE21-AF21</f>
        <v>0.73889496175169633</v>
      </c>
      <c r="AD21" s="183">
        <f>AD20*V1</f>
        <v>0.23610673261227197</v>
      </c>
      <c r="AE21" s="183">
        <f>AE20*V1</f>
        <v>2.3847948752380482E-2</v>
      </c>
      <c r="AF21" s="183">
        <f>AF20*V1</f>
        <v>1.1503568836512164E-3</v>
      </c>
      <c r="BH21" s="18">
        <v>1</v>
      </c>
      <c r="BI21">
        <v>9</v>
      </c>
      <c r="BJ21" s="107">
        <f t="shared" si="7"/>
        <v>9.9649598556049976E-7</v>
      </c>
      <c r="BP21">
        <f>BP17+1</f>
        <v>6</v>
      </c>
      <c r="BQ21">
        <v>3</v>
      </c>
      <c r="BR21" s="107">
        <f>$H$31*H42</f>
        <v>1.5535384173997385E-2</v>
      </c>
    </row>
    <row r="22" spans="1:70" x14ac:dyDescent="0.25">
      <c r="A22" s="26" t="s">
        <v>77</v>
      </c>
      <c r="B22" s="62">
        <f>(B6)/((B6)+(C6))</f>
        <v>0.73417721518987344</v>
      </c>
      <c r="C22" s="63">
        <f>1-B22</f>
        <v>0.26582278481012656</v>
      </c>
      <c r="D22" s="24"/>
      <c r="E22" s="24"/>
      <c r="V22" s="59">
        <f>SUM(V25:V35)</f>
        <v>1</v>
      </c>
      <c r="AS22" s="82">
        <f>Y23+AA23+AC23+AE23+AG23+AI23+AK23+AM23+AO23+AQ23+AS23</f>
        <v>0.99999999999999978</v>
      </c>
      <c r="BH22">
        <v>1</v>
      </c>
      <c r="BI22">
        <v>10</v>
      </c>
      <c r="BJ22" s="107">
        <f t="shared" si="7"/>
        <v>7.0279735841255266E-8</v>
      </c>
      <c r="BP22">
        <f>BP18+1</f>
        <v>6</v>
      </c>
      <c r="BQ22">
        <v>4</v>
      </c>
      <c r="BR22" s="107">
        <f>$H$31*H43</f>
        <v>7.068007771987757E-3</v>
      </c>
    </row>
    <row r="23" spans="1:70" ht="15.75" thickBot="1" x14ac:dyDescent="0.3">
      <c r="A23" s="40" t="s">
        <v>67</v>
      </c>
      <c r="B23" s="56">
        <f>((B22^2.8)/((B22^2.8)+(C22^2.8)))*B21</f>
        <v>4.7251885723757594</v>
      </c>
      <c r="C23" s="57">
        <f>B21-B23</f>
        <v>0.2748114276242406</v>
      </c>
      <c r="D23" s="151">
        <f>SUM(D25:D30)</f>
        <v>1</v>
      </c>
      <c r="E23" s="151">
        <f>SUM(E25:E30)</f>
        <v>1</v>
      </c>
      <c r="H23" s="59">
        <f>SUM(H25:H35)</f>
        <v>0.99998370368684397</v>
      </c>
      <c r="J23" s="59">
        <f>SUM(J25:J35)</f>
        <v>0.99999999999999967</v>
      </c>
      <c r="K23" s="59"/>
      <c r="L23" s="59">
        <f>SUM(L25:L35)</f>
        <v>1</v>
      </c>
      <c r="N23" s="59">
        <f>SUM(N25:N35)</f>
        <v>0.99999999999999978</v>
      </c>
      <c r="O23" s="34"/>
      <c r="P23" s="59">
        <f>SUM(P25:P35)</f>
        <v>0.99999999999999978</v>
      </c>
      <c r="R23" s="59">
        <f>SUM(R25:R35)</f>
        <v>0.99999999999999967</v>
      </c>
      <c r="T23" s="59">
        <f>SUM(T25:T35)</f>
        <v>1.0050760126517704</v>
      </c>
      <c r="V23" s="59">
        <f>SUM(V25:V34)</f>
        <v>0.43232295964835354</v>
      </c>
      <c r="Y23" s="80">
        <f>SUM(Y25:Y35)</f>
        <v>2.5156362206721343E-13</v>
      </c>
      <c r="Z23" s="81"/>
      <c r="AA23" s="80">
        <f>SUM(AA25:AA35)</f>
        <v>4.3255853749349306E-11</v>
      </c>
      <c r="AB23" s="81"/>
      <c r="AC23" s="80">
        <f>SUM(AC25:AC35)</f>
        <v>3.3470120248380796E-9</v>
      </c>
      <c r="AD23" s="81"/>
      <c r="AE23" s="80">
        <f>SUM(AE25:AE35)</f>
        <v>1.5347221310682429E-7</v>
      </c>
      <c r="AF23" s="81"/>
      <c r="AG23" s="80">
        <f>SUM(AG25:AG35)</f>
        <v>4.6182463870538534E-6</v>
      </c>
      <c r="AH23" s="81"/>
      <c r="AI23" s="80">
        <f>SUM(AI25:AI35)</f>
        <v>9.5296281970417003E-5</v>
      </c>
      <c r="AJ23" s="81"/>
      <c r="AK23" s="80">
        <f>SUM(AK25:AK35)</f>
        <v>1.3656066771665274E-3</v>
      </c>
      <c r="AL23" s="81"/>
      <c r="AM23" s="80">
        <f>SUM(AM25:AM35)</f>
        <v>1.3419668872969618E-2</v>
      </c>
      <c r="AN23" s="81"/>
      <c r="AO23" s="80">
        <f>SUM(AO25:AO35)</f>
        <v>8.6551358211864854E-2</v>
      </c>
      <c r="AP23" s="81"/>
      <c r="AQ23" s="80">
        <f>SUM(AQ25:AQ35)</f>
        <v>0.33088625449526249</v>
      </c>
      <c r="AR23" s="81"/>
      <c r="AS23" s="80">
        <f>SUM(AS25:AS35)</f>
        <v>0.56767704035164623</v>
      </c>
      <c r="BH23">
        <f t="shared" ref="BH23:BH30" si="8">BH15+1</f>
        <v>2</v>
      </c>
      <c r="BI23">
        <v>3</v>
      </c>
      <c r="BJ23" s="107">
        <f t="shared" ref="BJ23:BJ30" si="9">$H$27*H42</f>
        <v>3.6451242862400889E-2</v>
      </c>
      <c r="BP23">
        <f>BL9+1</f>
        <v>6</v>
      </c>
      <c r="BQ23">
        <v>5</v>
      </c>
      <c r="BR23" s="107">
        <f>$H$31*H44</f>
        <v>2.2345635765295335E-3</v>
      </c>
    </row>
    <row r="24" spans="1:70" ht="15.75" thickBot="1" x14ac:dyDescent="0.3">
      <c r="A24" s="26" t="s">
        <v>76</v>
      </c>
      <c r="B24" s="64">
        <f>B23/B21</f>
        <v>0.94503771447515184</v>
      </c>
      <c r="C24" s="65">
        <f>C23/B21</f>
        <v>5.4962285524848123E-2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1.6583926407258615E-2</v>
      </c>
      <c r="BP24">
        <f>BH49+1</f>
        <v>7</v>
      </c>
      <c r="BQ24">
        <v>0</v>
      </c>
      <c r="BR24" s="107">
        <f t="shared" ref="BR24:BR30" si="10">$H$32*H39</f>
        <v>2.6007131315732338E-3</v>
      </c>
    </row>
    <row r="25" spans="1:70" x14ac:dyDescent="0.25">
      <c r="A25" s="26" t="s">
        <v>69</v>
      </c>
      <c r="B25" s="117">
        <f>1/(1+EXP(-3.1416*4*((B11/(B11+C8))-(3.1416/6))))</f>
        <v>0.27249372462785759</v>
      </c>
      <c r="C25" s="118">
        <f>1/(1+EXP(-3.1416*4*((C11/(C11+B8))-(3.1416/6))))</f>
        <v>0.30957395125511972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1.474620401114929E-2</v>
      </c>
      <c r="I25" s="97">
        <v>0</v>
      </c>
      <c r="J25" s="98">
        <f t="shared" ref="J25:J35" si="11">Y25+AA25+AC25+AE25+AG25+AI25+AK25+AM25+AO25+AQ25+AS25</f>
        <v>3.0782390027025302E-2</v>
      </c>
      <c r="K25" s="97">
        <v>0</v>
      </c>
      <c r="L25" s="98">
        <f>S21</f>
        <v>0.4790467536212395</v>
      </c>
      <c r="M25" s="84">
        <v>0</v>
      </c>
      <c r="N25" s="71">
        <f>(1-$B$24)^$B$21</f>
        <v>5.0156118476932943E-7</v>
      </c>
      <c r="O25" s="70">
        <v>0</v>
      </c>
      <c r="P25" s="71">
        <f>N25</f>
        <v>5.0156118476932943E-7</v>
      </c>
      <c r="Q25" s="12">
        <v>0</v>
      </c>
      <c r="R25" s="73">
        <f>P25*N25</f>
        <v>2.5156362206721343E-13</v>
      </c>
      <c r="S25" s="70">
        <v>0</v>
      </c>
      <c r="T25" s="135">
        <f>(1-$B$33)^(INT(C23*2*(1-C31)))</f>
        <v>1</v>
      </c>
      <c r="U25" s="140">
        <v>0</v>
      </c>
      <c r="V25" s="86">
        <f>R25*T25</f>
        <v>2.5156362206721343E-13</v>
      </c>
      <c r="W25" s="136">
        <f>B31</f>
        <v>0.31107155957342325</v>
      </c>
      <c r="X25" s="12">
        <v>0</v>
      </c>
      <c r="Y25" s="79">
        <f>V25</f>
        <v>2.5156362206721343E-13</v>
      </c>
      <c r="Z25" s="12">
        <v>0</v>
      </c>
      <c r="AA25" s="78">
        <f>((1-W25)^Z26)*V26</f>
        <v>2.9800187862859311E-11</v>
      </c>
      <c r="AB25" s="12">
        <v>0</v>
      </c>
      <c r="AC25" s="79">
        <f>(((1-$W$25)^AB27))*V27</f>
        <v>1.5885668667651697E-9</v>
      </c>
      <c r="AD25" s="12">
        <v>0</v>
      </c>
      <c r="AE25" s="79">
        <f>(((1-$W$25)^AB28))*V28</f>
        <v>5.0182477315507791E-8</v>
      </c>
      <c r="AF25" s="12">
        <v>0</v>
      </c>
      <c r="AG25" s="79">
        <f>(((1-$W$25)^AB29))*V29</f>
        <v>1.0403358248027318E-6</v>
      </c>
      <c r="AH25" s="12">
        <v>0</v>
      </c>
      <c r="AI25" s="79">
        <f>(((1-$W$25)^AB30))*V30</f>
        <v>1.47892627689802E-5</v>
      </c>
      <c r="AJ25" s="12">
        <v>0</v>
      </c>
      <c r="AK25" s="79">
        <f>(((1-$W$25)^AB31))*V31</f>
        <v>1.4600586914902602E-4</v>
      </c>
      <c r="AL25" s="12">
        <v>0</v>
      </c>
      <c r="AM25" s="79">
        <f>(((1-$W$25)^AB32))*V32</f>
        <v>9.8846340600162617E-4</v>
      </c>
      <c r="AN25" s="12">
        <v>0</v>
      </c>
      <c r="AO25" s="79">
        <f>(((1-$W$25)^AB33))*V33</f>
        <v>4.3920451623144473E-3</v>
      </c>
      <c r="AP25" s="12">
        <v>0</v>
      </c>
      <c r="AQ25" s="79">
        <f>(((1-$W$25)^AB34))*V34</f>
        <v>1.1567666247152851E-2</v>
      </c>
      <c r="AR25" s="12">
        <v>0</v>
      </c>
      <c r="AS25" s="79">
        <f>(((1-$W$25)^AB35))*V35</f>
        <v>1.3672327942717635E-2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5.243038646954472E-3</v>
      </c>
      <c r="BP25">
        <f>BP19+1</f>
        <v>7</v>
      </c>
      <c r="BQ25">
        <v>1</v>
      </c>
      <c r="BR25" s="107">
        <f t="shared" si="10"/>
        <v>6.8355347258546558E-3</v>
      </c>
    </row>
    <row r="26" spans="1:70" x14ac:dyDescent="0.25">
      <c r="A26" s="40" t="s">
        <v>24</v>
      </c>
      <c r="B26" s="119">
        <f>1/(1+EXP(-3.1416*4*((B10/(B10+C9))-(3.1416/6))))</f>
        <v>0.24336344527024281</v>
      </c>
      <c r="C26" s="120">
        <f>1/(1+EXP(-3.1416*4*((C10/(C10+B9))-(3.1416/6))))</f>
        <v>0.54890141851532559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7.5113037815444539E-2</v>
      </c>
      <c r="I26" s="93">
        <v>1</v>
      </c>
      <c r="J26" s="86">
        <f t="shared" si="11"/>
        <v>0.12816313512563426</v>
      </c>
      <c r="K26" s="93">
        <v>1</v>
      </c>
      <c r="L26" s="86">
        <f>T21</f>
        <v>0.44560880385007418</v>
      </c>
      <c r="M26" s="85">
        <v>1</v>
      </c>
      <c r="N26" s="71">
        <f>(($B$24)^M26)*((1-($B$24))^($B$21-M26))*HLOOKUP($B$21,$AV$24:$BF$34,M26+1)</f>
        <v>4.3119953182220387E-5</v>
      </c>
      <c r="O26" s="72">
        <v>1</v>
      </c>
      <c r="P26" s="71">
        <f t="shared" ref="P26:P30" si="12">N26</f>
        <v>4.3119953182220387E-5</v>
      </c>
      <c r="Q26" s="28">
        <v>1</v>
      </c>
      <c r="R26" s="37">
        <f>N26*P25+P26*N25</f>
        <v>4.3254589610544949E-11</v>
      </c>
      <c r="S26" s="72">
        <v>1</v>
      </c>
      <c r="T26" s="135">
        <f t="shared" ref="T26:T35" si="13">(($B$33)^S26)*((1-($B$33))^(INT($C$23*2*(1-$C$31))-S26))*HLOOKUP(INT($C$23*2*(1-$C$31)),$AV$24:$BF$34,S26+1)</f>
        <v>5.0251256281407036E-3</v>
      </c>
      <c r="U26" s="93">
        <v>1</v>
      </c>
      <c r="V26" s="86">
        <f>R26*T25+T26*R25</f>
        <v>4.3255853749349306E-11</v>
      </c>
      <c r="W26" s="137"/>
      <c r="X26" s="28">
        <v>1</v>
      </c>
      <c r="Y26" s="73"/>
      <c r="Z26" s="28">
        <v>1</v>
      </c>
      <c r="AA26" s="79">
        <f>(1-((1-W25)^Z26))*V26</f>
        <v>1.3455665886489997E-11</v>
      </c>
      <c r="AB26" s="28">
        <v>1</v>
      </c>
      <c r="AC26" s="79">
        <f>((($W$25)^M26)*((1-($W$25))^($U$27-M26))*HLOOKUP($U$27,$AV$24:$BF$34,M26+1))*V27</f>
        <v>1.4345698151910544E-9</v>
      </c>
      <c r="AD26" s="28">
        <v>1</v>
      </c>
      <c r="AE26" s="79">
        <f>((($W$25)^M26)*((1-($W$25))^($U$28-M26))*HLOOKUP($U$28,$AV$24:$BF$34,M26+1))*V28</f>
        <v>6.7976616579193027E-8</v>
      </c>
      <c r="AF26" s="28">
        <v>1</v>
      </c>
      <c r="AG26" s="79">
        <f>((($W$25)^M26)*((1-($W$25))^($U$29-M26))*HLOOKUP($U$29,$AV$24:$BF$34,M26+1))*V29</f>
        <v>1.8789695330395027E-6</v>
      </c>
      <c r="AH26" s="28">
        <v>1</v>
      </c>
      <c r="AI26" s="79">
        <f>((($W$25)^M26)*((1-($W$25))^($U$30-M26))*HLOOKUP($U$30,$AV$24:$BF$34,M26+1))*V30</f>
        <v>3.3388946982935156E-5</v>
      </c>
      <c r="AJ26" s="28">
        <v>1</v>
      </c>
      <c r="AK26" s="79">
        <f>((($W$25)^M26)*((1-($W$25))^($U$31-M26))*HLOOKUP($U$31,$AV$24:$BF$34,M26+1))*V31</f>
        <v>3.955558002071002E-4</v>
      </c>
      <c r="AL26" s="28">
        <v>1</v>
      </c>
      <c r="AM26" s="79">
        <f>((($W$25)^Q26)*((1-($W$25))^($U$32-Q26))*HLOOKUP($U$32,$AV$24:$BF$34,Q26+1))*V32</f>
        <v>3.1242431676511378E-3</v>
      </c>
      <c r="AN26" s="28">
        <v>1</v>
      </c>
      <c r="AO26" s="79">
        <f>((($W$25)^Q26)*((1-($W$25))^($U$33-Q26))*HLOOKUP($U$33,$AV$24:$BF$34,Q26+1))*V33</f>
        <v>1.5865105960927998E-2</v>
      </c>
      <c r="AP26" s="28">
        <v>1</v>
      </c>
      <c r="AQ26" s="79">
        <f>((($W$25)^Q26)*((1-($W$25))^($U$34-Q26))*HLOOKUP($U$34,$AV$24:$BF$34,Q26+1))*V34</f>
        <v>4.7008289861117533E-2</v>
      </c>
      <c r="AR26" s="28">
        <v>1</v>
      </c>
      <c r="AS26" s="79">
        <f>((($W$25)^Q26)*((1-($W$25))^($U$35-Q26))*HLOOKUP($U$35,$AV$24:$BF$34,Q26+1))*V35</f>
        <v>6.1734602994572459E-2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1.1903531310110324E-3</v>
      </c>
      <c r="BP26">
        <f>BP20+1</f>
        <v>7</v>
      </c>
      <c r="BQ26">
        <v>2</v>
      </c>
      <c r="BR26" s="107">
        <f t="shared" si="10"/>
        <v>8.0201283641806367E-3</v>
      </c>
    </row>
    <row r="27" spans="1:70" x14ac:dyDescent="0.25">
      <c r="A27" s="26" t="s">
        <v>25</v>
      </c>
      <c r="B27" s="119">
        <f>1/(1+EXP(-3.1416*4*((B12/(B12+C7))-(3.1416/6))))</f>
        <v>0.2459012547318058</v>
      </c>
      <c r="C27" s="120">
        <f>1/(1+EXP(-3.1416*4*((C12/(C12+B7))-(3.1416/6))))</f>
        <v>0.50362055295607333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0.17433499908438813</v>
      </c>
      <c r="I27" s="93">
        <v>2</v>
      </c>
      <c r="J27" s="86">
        <f t="shared" si="11"/>
        <v>0.24012253259915647</v>
      </c>
      <c r="K27" s="93">
        <v>2</v>
      </c>
      <c r="L27" s="86">
        <f>U21</f>
        <v>7.1289397233809684E-2</v>
      </c>
      <c r="M27" s="85">
        <v>2</v>
      </c>
      <c r="N27" s="71">
        <f>(($B$24)^M27)*((1-($B$24))^($B$21-M27))*HLOOKUP($B$21,$AV$24:$BF$34,M27+1)</f>
        <v>1.4828343331966514E-3</v>
      </c>
      <c r="O27" s="72">
        <v>2</v>
      </c>
      <c r="P27" s="71">
        <f t="shared" si="12"/>
        <v>1.4828343331966514E-3</v>
      </c>
      <c r="Q27" s="28">
        <v>2</v>
      </c>
      <c r="R27" s="37">
        <f>P25*N27+P26*N26+P27*N25</f>
        <v>3.3467946523863801E-9</v>
      </c>
      <c r="S27" s="72">
        <v>2</v>
      </c>
      <c r="T27" s="135">
        <f t="shared" si="13"/>
        <v>5.0503775157192999E-5</v>
      </c>
      <c r="U27" s="93">
        <v>2</v>
      </c>
      <c r="V27" s="86">
        <f>R27*T25+T26*R26+R25*T27</f>
        <v>3.3470120248380796E-9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3.2387534288185543E-10</v>
      </c>
      <c r="AD27" s="28">
        <v>2</v>
      </c>
      <c r="AE27" s="79">
        <f>((($W$25)^M27)*((1-($W$25))^($U$28-M27))*HLOOKUP($U$28,$AV$24:$BF$34,M27+1))*V28</f>
        <v>3.069345216858964E-8</v>
      </c>
      <c r="AF27" s="28">
        <v>2</v>
      </c>
      <c r="AG27" s="79">
        <f>((($W$25)^M27)*((1-($W$25))^($U$29-M27))*HLOOKUP($U$29,$AV$24:$BF$34,M27+1))*V29</f>
        <v>1.2726154461085236E-6</v>
      </c>
      <c r="AH27" s="28">
        <v>2</v>
      </c>
      <c r="AI27" s="79">
        <f>((($W$25)^M27)*((1-($W$25))^($U$30-M27))*HLOOKUP($U$30,$AV$24:$BF$34,M27+1))*V30</f>
        <v>3.0152193467480807E-5</v>
      </c>
      <c r="AJ27" s="28">
        <v>2</v>
      </c>
      <c r="AK27" s="79">
        <f>((($W$25)^M27)*((1-($W$25))^($U$31-M27))*HLOOKUP($U$31,$AV$24:$BF$34,M27+1))*V31</f>
        <v>4.4651284679344665E-4</v>
      </c>
      <c r="AL27" s="28">
        <v>2</v>
      </c>
      <c r="AM27" s="79">
        <f>((($W$25)^Q27)*((1-($W$25))^($U$32-Q27))*HLOOKUP($U$32,$AV$24:$BF$34,Q27+1))*V32</f>
        <v>4.2320644828340278E-3</v>
      </c>
      <c r="AN27" s="28">
        <v>2</v>
      </c>
      <c r="AO27" s="79">
        <f>((($W$25)^Q27)*((1-($W$25))^($U$33-Q27))*HLOOKUP($U$33,$AV$24:$BF$34,Q27+1))*V33</f>
        <v>2.5072475420708232E-2</v>
      </c>
      <c r="AP27" s="28">
        <v>2</v>
      </c>
      <c r="AQ27" s="79">
        <f>((($W$25)^Q27)*((1-($W$25))^($U$34-Q27))*HLOOKUP($U$34,$AV$24:$BF$34,Q27+1))*V34</f>
        <v>8.4902530840056542E-2</v>
      </c>
      <c r="AR27" s="28">
        <v>2</v>
      </c>
      <c r="AS27" s="79">
        <f>((($W$25)^Q27)*((1-($W$25))^($U$35-Q27))*HLOOKUP($U$35,$AV$24:$BF$34,Q27+1))*V35</f>
        <v>0.12543749318252312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1.984097809154148E-4</v>
      </c>
      <c r="BP27">
        <f>BP21+1</f>
        <v>7</v>
      </c>
      <c r="BQ27">
        <v>3</v>
      </c>
      <c r="BR27" s="107">
        <f t="shared" si="10"/>
        <v>5.5504343146187711E-3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0.24397458610432188</v>
      </c>
      <c r="I28" s="93">
        <v>3</v>
      </c>
      <c r="J28" s="86">
        <f t="shared" si="11"/>
        <v>0.26659689054023272</v>
      </c>
      <c r="K28" s="93">
        <v>3</v>
      </c>
      <c r="L28" s="86">
        <f>V21</f>
        <v>4.0550452948766441E-3</v>
      </c>
      <c r="M28" s="85">
        <v>3</v>
      </c>
      <c r="N28" s="71">
        <f>(($B$24)^M28)*((1-($B$24))^($B$21-M28))*HLOOKUP($B$21,$AV$24:$BF$34,M28+1)</f>
        <v>2.5496289970618369E-2</v>
      </c>
      <c r="O28" s="72">
        <v>3</v>
      </c>
      <c r="P28" s="71">
        <f t="shared" si="12"/>
        <v>2.5496289970618369E-2</v>
      </c>
      <c r="Q28" s="28">
        <v>3</v>
      </c>
      <c r="R28" s="37">
        <f>P25*N28+P26*N27+P27*N26+P28*N25</f>
        <v>1.5345539285862863E-7</v>
      </c>
      <c r="S28" s="72">
        <v>3</v>
      </c>
      <c r="T28" s="135">
        <f t="shared" si="13"/>
        <v>3.8068172229039952E-7</v>
      </c>
      <c r="U28" s="93">
        <v>3</v>
      </c>
      <c r="V28" s="86">
        <f>R28*T25+R27*T26+R26*T27+R25*T28</f>
        <v>1.5347221310682429E-7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4.6196670435338306E-9</v>
      </c>
      <c r="AF28" s="28">
        <v>3</v>
      </c>
      <c r="AG28" s="79">
        <f>((($W$25)^M28)*((1-($W$25))^($U$29-M28))*HLOOKUP($U$29,$AV$24:$BF$34,M28+1))*V29</f>
        <v>3.8308233320825518E-7</v>
      </c>
      <c r="AH28" s="28">
        <v>3</v>
      </c>
      <c r="AI28" s="79">
        <f>((($W$25)^M28)*((1-($W$25))^($U$30-M28))*HLOOKUP($U$30,$AV$24:$BF$34,M28+1))*V30</f>
        <v>1.3614606824304082E-5</v>
      </c>
      <c r="AJ28" s="28">
        <v>3</v>
      </c>
      <c r="AK28" s="79">
        <f>((($W$25)^M28)*((1-($W$25))^($U$31-M28))*HLOOKUP($U$31,$AV$24:$BF$34,M28+1))*V31</f>
        <v>2.6881833578264956E-4</v>
      </c>
      <c r="AL28" s="28">
        <v>3</v>
      </c>
      <c r="AM28" s="79">
        <f>((($W$25)^Q28)*((1-($W$25))^($U$32-Q28))*HLOOKUP($U$32,$AV$24:$BF$34,Q28+1))*V32</f>
        <v>3.1848370639562308E-3</v>
      </c>
      <c r="AN28" s="28">
        <v>3</v>
      </c>
      <c r="AO28" s="79">
        <f>((($W$25)^Q28)*((1-($W$25))^($U$33-Q28))*HLOOKUP($U$33,$AV$24:$BF$34,Q28+1))*V33</f>
        <v>2.2641927880511861E-2</v>
      </c>
      <c r="AP28" s="28">
        <v>3</v>
      </c>
      <c r="AQ28" s="79">
        <f>((($W$25)^Q28)*((1-($W$25))^($U$34-Q28))*HLOOKUP($U$34,$AV$24:$BF$34,Q28+1))*V34</f>
        <v>8.9450673399672026E-2</v>
      </c>
      <c r="AR28" s="28">
        <v>3</v>
      </c>
      <c r="AS28" s="79">
        <f>((($W$25)^Q28)*((1-($W$25))^($U$35-Q28))*HLOOKUP($U$35,$AV$24:$BF$34,Q28+1))*V35</f>
        <v>0.15103663155148539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2.4675306051968582E-5</v>
      </c>
      <c r="BP28">
        <f>BP22+1</f>
        <v>7</v>
      </c>
      <c r="BQ28">
        <v>4</v>
      </c>
      <c r="BR28" s="107">
        <f t="shared" si="10"/>
        <v>2.5252360954997016E-3</v>
      </c>
    </row>
    <row r="29" spans="1:70" x14ac:dyDescent="0.25">
      <c r="A29" s="26" t="s">
        <v>27</v>
      </c>
      <c r="B29" s="123">
        <f>1/(1+EXP(-3.1416*4*((B14/(B14+C13))-(3.1416/6))))</f>
        <v>0.26651538810374431</v>
      </c>
      <c r="C29" s="118">
        <f>1/(1+EXP(-3.1416*4*((C14/(C14+B13))-(3.1416/6))))</f>
        <v>0.29873974998865505</v>
      </c>
      <c r="D29" s="153">
        <v>0.04</v>
      </c>
      <c r="E29" s="153">
        <v>0.04</v>
      </c>
      <c r="G29" s="87">
        <v>4</v>
      </c>
      <c r="H29" s="128">
        <f>J29*L25+J28*L26+J27*L27+J26*L28</f>
        <v>0.22948664801807839</v>
      </c>
      <c r="I29" s="93">
        <v>4</v>
      </c>
      <c r="J29" s="86">
        <f t="shared" si="11"/>
        <v>0.19424164318322396</v>
      </c>
      <c r="K29" s="93">
        <v>4</v>
      </c>
      <c r="L29" s="86"/>
      <c r="M29" s="85">
        <v>4</v>
      </c>
      <c r="N29" s="71">
        <f>(($B$24)^M29)*((1-($B$24))^($B$21-M29))*HLOOKUP($B$21,$AV$24:$BF$34,M29+1)</f>
        <v>0.21919535706476134</v>
      </c>
      <c r="O29" s="72">
        <v>4</v>
      </c>
      <c r="P29" s="71">
        <f t="shared" si="12"/>
        <v>0.21919535706476134</v>
      </c>
      <c r="Q29" s="28">
        <v>4</v>
      </c>
      <c r="R29" s="37">
        <f>P25*N29+P26*N28+P27*N27+P28*N26+P29*N25</f>
        <v>4.6174750853841925E-6</v>
      </c>
      <c r="S29" s="72">
        <v>4</v>
      </c>
      <c r="T29" s="135">
        <f t="shared" si="13"/>
        <v>2.5506313051283046E-9</v>
      </c>
      <c r="U29" s="93">
        <v>4</v>
      </c>
      <c r="V29" s="86">
        <f>T29*R25+T28*R26+T27*R27+T26*R28+T25*R29</f>
        <v>4.6182463870538543E-6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4.3243249894840845E-8</v>
      </c>
      <c r="AH29" s="28">
        <v>4</v>
      </c>
      <c r="AI29" s="79">
        <f>((($W$25)^M29)*((1-($W$25))^($U$30-M29))*HLOOKUP($U$30,$AV$24:$BF$34,M29+1))*V30</f>
        <v>3.0736987539612277E-6</v>
      </c>
      <c r="AJ29" s="28">
        <v>4</v>
      </c>
      <c r="AK29" s="79">
        <f>((($W$25)^M29)*((1-($W$25))^($U$31-M29))*HLOOKUP($U$31,$AV$24:$BF$34,M29+1))*V31</f>
        <v>9.1034569826363256E-5</v>
      </c>
      <c r="AL29" s="28">
        <v>4</v>
      </c>
      <c r="AM29" s="79">
        <f>((($W$25)^Q29)*((1-($W$25))^($U$32-Q29))*HLOOKUP($U$32,$AV$24:$BF$34,Q29+1))*V32</f>
        <v>1.4380480966334748E-3</v>
      </c>
      <c r="AN29" s="28">
        <v>4</v>
      </c>
      <c r="AO29" s="79">
        <f>((($W$25)^Q29)*((1-($W$25))^($U$33-Q29))*HLOOKUP($U$33,$AV$24:$BF$34,Q29+1))*V33</f>
        <v>1.2779374830967005E-2</v>
      </c>
      <c r="AP29" s="28">
        <v>4</v>
      </c>
      <c r="AQ29" s="79">
        <f>((($W$25)^Q29)*((1-($W$25))^($U$34-Q29))*HLOOKUP($U$34,$AV$24:$BF$34,Q29+1))*V34</f>
        <v>6.0584435581073494E-2</v>
      </c>
      <c r="AR29" s="28">
        <v>4</v>
      </c>
      <c r="AS29" s="79">
        <f>((($W$25)^Q29)*((1-($W$25))^($U$35-Q29))*HLOOKUP($U$35,$AV$24:$BF$34,Q29+1))*V35</f>
        <v>0.11934563316271977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2.3128358509095672E-6</v>
      </c>
      <c r="BP29">
        <f>BP23+1</f>
        <v>7</v>
      </c>
      <c r="BQ29">
        <v>5</v>
      </c>
      <c r="BR29" s="107">
        <f t="shared" si="10"/>
        <v>7.9835800740133398E-4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0.15302358462547871</v>
      </c>
      <c r="I30" s="93">
        <v>5</v>
      </c>
      <c r="J30" s="86">
        <f t="shared" si="11"/>
        <v>9.7043886886361341E-2</v>
      </c>
      <c r="K30" s="93">
        <v>5</v>
      </c>
      <c r="L30" s="86"/>
      <c r="M30" s="85">
        <v>5</v>
      </c>
      <c r="N30" s="71">
        <f>(($B$24)^M30)*((1-($B$24))^($B$21-M30))*HLOOKUP($B$21,$AV$24:$BF$34,M30+1)</f>
        <v>0.75378189711705645</v>
      </c>
      <c r="O30" s="72">
        <v>5</v>
      </c>
      <c r="P30" s="71">
        <f t="shared" si="12"/>
        <v>0.75378189711705645</v>
      </c>
      <c r="Q30" s="28">
        <v>5</v>
      </c>
      <c r="R30" s="37">
        <f>P25*N30+P26*N29+P27*N28+P28*N27+P29*N26+P30*N25</f>
        <v>9.5273070826677308E-5</v>
      </c>
      <c r="S30" s="72">
        <v>5</v>
      </c>
      <c r="T30" s="135">
        <f t="shared" si="13"/>
        <v>1.6021553424172769E-11</v>
      </c>
      <c r="U30" s="93">
        <v>5</v>
      </c>
      <c r="V30" s="86">
        <f>T30*R25+T29*R26+T28*R27+T27*R28+T26*R29+T25*R30</f>
        <v>9.5296281970417003E-5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2.7757317275552616E-7</v>
      </c>
      <c r="AJ30" s="28">
        <v>5</v>
      </c>
      <c r="AK30" s="79">
        <f>((($W$25)^M30)*((1-($W$25))^($U$31-M30))*HLOOKUP($U$31,$AV$24:$BF$34,M30+1))*V31</f>
        <v>1.6441919914612998E-5</v>
      </c>
      <c r="AL30" s="28">
        <v>5</v>
      </c>
      <c r="AM30" s="79">
        <f>((($W$25)^Q30)*((1-($W$25))^($U$32-Q30))*HLOOKUP($U$32,$AV$24:$BF$34,Q30+1))*V32</f>
        <v>3.8959273960388331E-4</v>
      </c>
      <c r="AN30" s="28">
        <v>5</v>
      </c>
      <c r="AO30" s="79">
        <f>((($W$25)^Q30)*((1-($W$25))^($U$33-Q30))*HLOOKUP($U$33,$AV$24:$BF$34,Q30+1))*V33</f>
        <v>4.6162124549026292E-3</v>
      </c>
      <c r="AP30" s="28">
        <v>5</v>
      </c>
      <c r="AQ30" s="79">
        <f>((($W$25)^Q30)*((1-($W$25))^($U$34-Q30))*HLOOKUP($U$34,$AV$24:$BF$34,Q30+1))*V34</f>
        <v>2.7355663892190074E-2</v>
      </c>
      <c r="AR30" s="28">
        <v>5</v>
      </c>
      <c r="AS30" s="79">
        <f>((($W$25)^Q30)*((1-($W$25))^($U$35-Q30))*HLOOKUP($U$35,$AV$24:$BF$34,Q30+1))*V35</f>
        <v>6.4665698306577382E-2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1.6311705716976085E-7</v>
      </c>
      <c r="BP30">
        <f>BL10+1</f>
        <v>7</v>
      </c>
      <c r="BQ30">
        <v>6</v>
      </c>
      <c r="BR30" s="107">
        <f t="shared" si="10"/>
        <v>1.8125518764389132E-4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0.31107155957342325</v>
      </c>
      <c r="C31" s="61">
        <f>(C25*E25)+(C26*E26)+(C27*E27)+(C28*E28)+(C29*E29)+(C30*E30)/(C25+C26+C27+C28+C29+C30)</f>
        <v>0.47044969261005981</v>
      </c>
      <c r="G31" s="87">
        <v>6</v>
      </c>
      <c r="H31" s="128">
        <f>J31*L25+J30*L26+J29*L27+J28*L28</f>
        <v>7.4300928392845023E-2</v>
      </c>
      <c r="I31" s="93">
        <v>6</v>
      </c>
      <c r="J31" s="86">
        <f t="shared" si="11"/>
        <v>3.3668709343458655E-2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1.3651276847582948E-3</v>
      </c>
      <c r="S31" s="70">
        <v>6</v>
      </c>
      <c r="T31" s="135">
        <f t="shared" si="13"/>
        <v>9.6612382457323207E-14</v>
      </c>
      <c r="U31" s="93">
        <v>6</v>
      </c>
      <c r="V31" s="86">
        <f>T31*R25+T30*R26+T29*R27+T28*R28+T27*R29+T26*R30+T25*R31</f>
        <v>1.3656066771665274E-3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1.237335493328615E-6</v>
      </c>
      <c r="AL31" s="28">
        <v>6</v>
      </c>
      <c r="AM31" s="79">
        <f>((($W$25)^Q31)*((1-($W$25))^($U$32-Q31))*HLOOKUP($U$32,$AV$24:$BF$34,Q31+1))*V32</f>
        <v>5.86375468507887E-5</v>
      </c>
      <c r="AN31" s="28">
        <v>6</v>
      </c>
      <c r="AO31" s="79">
        <f>((($W$25)^Q31)*((1-($W$25))^($U$33-Q31))*HLOOKUP($U$33,$AV$24:$BF$34,Q31+1))*V33</f>
        <v>1.0421782027025068E-3</v>
      </c>
      <c r="AP31" s="28">
        <v>6</v>
      </c>
      <c r="AQ31" s="79">
        <f>((($W$25)^Q31)*((1-($W$25))^($U$34-Q31))*HLOOKUP($U$34,$AV$24:$BF$34,Q31+1))*V34</f>
        <v>8.2345940262832113E-3</v>
      </c>
      <c r="AR31" s="28">
        <v>6</v>
      </c>
      <c r="AS31" s="79">
        <f>((($W$25)^Q31)*((1-($W$25))^($U$35-Q31))*HLOOKUP($U$35,$AV$24:$BF$34,Q31+1))*V35</f>
        <v>2.4332062232128818E-2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2.320851580259527E-2</v>
      </c>
      <c r="BP31">
        <f t="shared" ref="BP31:BP37" si="17">BP24+1</f>
        <v>8</v>
      </c>
      <c r="BQ31">
        <v>0</v>
      </c>
      <c r="BR31" s="107">
        <f t="shared" ref="BR31:BR38" si="18">$H$33*H39</f>
        <v>6.8207007841830376E-4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2.6546007355900781E-2</v>
      </c>
      <c r="I32" s="93">
        <v>7</v>
      </c>
      <c r="J32" s="86">
        <f t="shared" si="11"/>
        <v>8.0098135861832818E-3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1.3412804121447328E-2</v>
      </c>
      <c r="S32" s="72">
        <v>7</v>
      </c>
      <c r="T32" s="135">
        <f t="shared" si="13"/>
        <v>5.6640425226236405E-16</v>
      </c>
      <c r="U32" s="93">
        <v>7</v>
      </c>
      <c r="V32" s="86">
        <f>T32*R25+T31*R26+T30*R27+T29*R28+T28*R29+T27*R30+T26*R31+T25*R32</f>
        <v>1.3419668872969619E-2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3.7823694384489583E-6</v>
      </c>
      <c r="AN32" s="28">
        <v>7</v>
      </c>
      <c r="AO32" s="79">
        <f>((($W$25)^Q32)*((1-($W$25))^($U$33-Q32))*HLOOKUP($U$33,$AV$24:$BF$34,Q32+1))*V33</f>
        <v>1.3444979181514326E-4</v>
      </c>
      <c r="AP32" s="28">
        <v>7</v>
      </c>
      <c r="AQ32" s="79">
        <f>((($W$25)^Q32)*((1-($W$25))^($U$34-Q32))*HLOOKUP($U$34,$AV$24:$BF$34,Q32+1))*V34</f>
        <v>1.5934982850989978E-3</v>
      </c>
      <c r="AR32" s="28">
        <v>7</v>
      </c>
      <c r="AS32" s="79">
        <f>((($W$25)^Q32)*((1-($W$25))^($U$35-Q32))*HLOOKUP($U$35,$AV$24:$BF$34,Q32+1))*V35</f>
        <v>6.2780831398306916E-3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7.3374146931935932E-3</v>
      </c>
      <c r="BP32">
        <f t="shared" si="17"/>
        <v>8</v>
      </c>
      <c r="BQ32">
        <v>1</v>
      </c>
      <c r="BR32" s="107">
        <f t="shared" si="18"/>
        <v>1.7927058735902862E-3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0.54</v>
      </c>
      <c r="G33" s="87">
        <v>8</v>
      </c>
      <c r="H33" s="128">
        <f>J33*L25+J32*L26+J31*L27+J30*L28</f>
        <v>6.9620278757846757E-3</v>
      </c>
      <c r="I33" s="93">
        <v>8</v>
      </c>
      <c r="J33" s="86">
        <f t="shared" si="11"/>
        <v>1.2504939620288588E-3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8.6483888205746803E-2</v>
      </c>
      <c r="S33" s="72">
        <v>8</v>
      </c>
      <c r="T33" s="135">
        <f t="shared" si="13"/>
        <v>3.2528600273502595E-18</v>
      </c>
      <c r="U33" s="93">
        <v>8</v>
      </c>
      <c r="V33" s="86">
        <f>T33*R25+T32*R26+T31*R27+T30*R28+T29*R29+T28*R30+T27*R31+T26*R32+T25*R33</f>
        <v>8.6551358211864868E-2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7.5885070150322948E-6</v>
      </c>
      <c r="AP33" s="28">
        <v>8</v>
      </c>
      <c r="AQ33" s="79">
        <f>((($W$25)^Q33)*((1-($W$25))^($U$34-Q33))*HLOOKUP($U$34,$AV$24:$BF$34,Q33+1))*V34</f>
        <v>1.7987789719364528E-4</v>
      </c>
      <c r="AR33" s="28">
        <v>8</v>
      </c>
      <c r="AS33" s="79">
        <f>((($W$25)^Q33)*((1-($W$25))^($U$35-Q33))*HLOOKUP($U$35,$AV$24:$BF$34,Q33+1))*V35</f>
        <v>1.0630275578201811E-3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1.66584973746908E-3</v>
      </c>
      <c r="BP33">
        <f t="shared" si="17"/>
        <v>8</v>
      </c>
      <c r="BQ33">
        <v>2</v>
      </c>
      <c r="BR33" s="107">
        <f t="shared" si="18"/>
        <v>2.1033806135213533E-3</v>
      </c>
    </row>
    <row r="34" spans="1:70" x14ac:dyDescent="0.25">
      <c r="A34" s="40" t="s">
        <v>86</v>
      </c>
      <c r="B34" s="56">
        <f>B23*2</f>
        <v>9.4503771447515188</v>
      </c>
      <c r="C34" s="57">
        <f>C23*2</f>
        <v>0.5496228552484812</v>
      </c>
      <c r="G34" s="87">
        <v>9</v>
      </c>
      <c r="H34" s="128">
        <f>J34*L25+J33*L26+J32*L27+J31*L28</f>
        <v>1.3201942659165811E-3</v>
      </c>
      <c r="I34" s="93">
        <v>9</v>
      </c>
      <c r="J34" s="86">
        <f t="shared" si="11"/>
        <v>1.1568854800555145E-4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0.33045098417505275</v>
      </c>
      <c r="S34" s="72">
        <v>9</v>
      </c>
      <c r="T34" s="135">
        <f t="shared" si="13"/>
        <v>1.8389284074216291E-20</v>
      </c>
      <c r="U34" s="93">
        <v>9</v>
      </c>
      <c r="V34" s="86">
        <f>T34*R25+T33*R26+T32*R27+T31*R28+T30*R29+T29*R30+T28*R31+T27*R32+T26*R33+T25*R34</f>
        <v>0.33088625449526254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9.0244654241058263E-6</v>
      </c>
      <c r="AR34" s="28">
        <v>9</v>
      </c>
      <c r="AS34" s="79">
        <f>((($W$25)^Q34)*((1-($W$25))^($U$35-Q34))*HLOOKUP($U$35,$AV$24:$BF$34,Q34+1))*V35</f>
        <v>1.0666408258144562E-4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2.7766624276319738E-4</v>
      </c>
      <c r="BP34">
        <f t="shared" si="17"/>
        <v>8</v>
      </c>
      <c r="BQ34">
        <v>3</v>
      </c>
      <c r="BR34" s="107">
        <f t="shared" si="18"/>
        <v>1.4556719548447685E-3</v>
      </c>
    </row>
    <row r="35" spans="1:70" ht="15.75" thickBot="1" x14ac:dyDescent="0.3">
      <c r="G35" s="88">
        <v>10</v>
      </c>
      <c r="H35" s="129">
        <f>J35*L25+J34*L26+J33*L27+J32*L28</f>
        <v>1.7548613753592935E-4</v>
      </c>
      <c r="I35" s="94">
        <v>10</v>
      </c>
      <c r="J35" s="89">
        <f t="shared" si="11"/>
        <v>4.8161986894508099E-6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0.56818714842138873</v>
      </c>
      <c r="S35" s="72">
        <v>10</v>
      </c>
      <c r="T35" s="135">
        <f t="shared" si="13"/>
        <v>1.0267606964944888E-22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0.56767704035164646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4.8161986894508099E-6</v>
      </c>
      <c r="BH35">
        <f t="shared" si="15"/>
        <v>3</v>
      </c>
      <c r="BI35">
        <v>8</v>
      </c>
      <c r="BJ35" s="107">
        <f t="shared" si="16"/>
        <v>3.4532065349152339E-5</v>
      </c>
      <c r="BP35">
        <f t="shared" si="17"/>
        <v>8</v>
      </c>
      <c r="BQ35">
        <v>4</v>
      </c>
      <c r="BR35" s="107">
        <f t="shared" si="18"/>
        <v>6.622752662614115E-4</v>
      </c>
    </row>
    <row r="36" spans="1:70" x14ac:dyDescent="0.25">
      <c r="A36" s="1"/>
      <c r="B36" s="108">
        <f>SUM(B37:B39)</f>
        <v>0.99980816771433489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0.99999999999999967</v>
      </c>
      <c r="BH36">
        <f t="shared" si="15"/>
        <v>3</v>
      </c>
      <c r="BI36">
        <v>9</v>
      </c>
      <c r="BJ36" s="107">
        <f t="shared" si="16"/>
        <v>3.2367176551838469E-6</v>
      </c>
      <c r="BP36">
        <f t="shared" si="17"/>
        <v>8</v>
      </c>
      <c r="BQ36">
        <v>5</v>
      </c>
      <c r="BR36" s="107">
        <f t="shared" si="18"/>
        <v>2.0937953598315767E-4</v>
      </c>
    </row>
    <row r="37" spans="1:70" ht="15.75" thickBot="1" x14ac:dyDescent="0.3">
      <c r="A37" s="109" t="s">
        <v>104</v>
      </c>
      <c r="B37" s="107">
        <f>SUM(BN4:BN14)</f>
        <v>0.15143949855976591</v>
      </c>
      <c r="G37" s="13"/>
      <c r="H37" s="59">
        <f>SUM(H39:H49)</f>
        <v>0.99999994999124198</v>
      </c>
      <c r="I37" s="13"/>
      <c r="J37" s="59">
        <f>SUM(J39:J49)</f>
        <v>0.99999999999999967</v>
      </c>
      <c r="K37" s="59"/>
      <c r="L37" s="59">
        <f>SUM(L39:L49)</f>
        <v>1</v>
      </c>
      <c r="M37" s="13"/>
      <c r="N37" s="74">
        <f>SUM(N39:N49)</f>
        <v>0.99999999999999967</v>
      </c>
      <c r="O37" s="13"/>
      <c r="P37" s="74">
        <f>SUM(P39:P49)</f>
        <v>0.99999999999999967</v>
      </c>
      <c r="Q37" s="13"/>
      <c r="R37" s="59">
        <f>SUM(R39:R49)</f>
        <v>0.99999999999999933</v>
      </c>
      <c r="S37" s="13"/>
      <c r="T37" s="59">
        <f>SUM(T39:T49)</f>
        <v>0.99999999999999989</v>
      </c>
      <c r="U37" s="13"/>
      <c r="V37" s="59">
        <f>SUM(V39:V48)</f>
        <v>0.99994965488017806</v>
      </c>
      <c r="W37" s="13"/>
      <c r="X37" s="13"/>
      <c r="Y37" s="80">
        <f>SUM(Y39:Y49)</f>
        <v>5.3831737366358519E-3</v>
      </c>
      <c r="Z37" s="81"/>
      <c r="AA37" s="80">
        <f>SUM(AA39:AA49)</f>
        <v>4.1047057922128455E-2</v>
      </c>
      <c r="AB37" s="81"/>
      <c r="AC37" s="80">
        <f>SUM(AC39:AC49)</f>
        <v>0.13414703203678088</v>
      </c>
      <c r="AD37" s="81"/>
      <c r="AE37" s="80">
        <f>SUM(AE39:AE49)</f>
        <v>0.24478627081962567</v>
      </c>
      <c r="AF37" s="81"/>
      <c r="AG37" s="80">
        <f>SUM(AG39:AG49)</f>
        <v>0.2724875534481474</v>
      </c>
      <c r="AH37" s="81"/>
      <c r="AI37" s="80">
        <f>SUM(AI39:AI49)</f>
        <v>0.19041996583081905</v>
      </c>
      <c r="AJ37" s="81"/>
      <c r="AK37" s="80">
        <f>SUM(AK39:AK49)</f>
        <v>8.369222215630967E-2</v>
      </c>
      <c r="AL37" s="81"/>
      <c r="AM37" s="80">
        <f>SUM(AM39:AM49)</f>
        <v>2.3210940398358096E-2</v>
      </c>
      <c r="AN37" s="81"/>
      <c r="AO37" s="80">
        <f>SUM(AO39:AO49)</f>
        <v>4.2427085572541573E-3</v>
      </c>
      <c r="AP37" s="81"/>
      <c r="AQ37" s="80">
        <f>SUM(AQ39:AQ49)</f>
        <v>5.3272997411858713E-4</v>
      </c>
      <c r="AR37" s="81"/>
      <c r="AS37" s="80">
        <f>SUM(AS39:AS49)</f>
        <v>5.0345119821937311E-5</v>
      </c>
      <c r="BH37">
        <f t="shared" si="15"/>
        <v>3</v>
      </c>
      <c r="BI37">
        <v>10</v>
      </c>
      <c r="BJ37" s="107">
        <f t="shared" si="16"/>
        <v>2.2827554259649072E-7</v>
      </c>
      <c r="BP37">
        <f t="shared" si="17"/>
        <v>8</v>
      </c>
      <c r="BQ37">
        <v>6</v>
      </c>
      <c r="BR37" s="107">
        <f t="shared" si="18"/>
        <v>4.7536477033592444E-5</v>
      </c>
    </row>
    <row r="38" spans="1:70" ht="15.75" thickBot="1" x14ac:dyDescent="0.3">
      <c r="A38" s="110" t="s">
        <v>105</v>
      </c>
      <c r="B38" s="107">
        <f>SUM(BJ4:BJ59)</f>
        <v>0.17132386003957217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6.9016971396340309E-3</v>
      </c>
      <c r="BP38">
        <f>BL11+1</f>
        <v>8</v>
      </c>
      <c r="BQ38">
        <v>7</v>
      </c>
      <c r="BR38" s="107">
        <f t="shared" si="18"/>
        <v>7.923448721233556E-6</v>
      </c>
    </row>
    <row r="39" spans="1:70" x14ac:dyDescent="0.25">
      <c r="A39" s="111" t="s">
        <v>0</v>
      </c>
      <c r="B39" s="107">
        <f>SUM(BR4:BR47)</f>
        <v>0.67704480911499687</v>
      </c>
      <c r="G39" s="130">
        <v>0</v>
      </c>
      <c r="H39" s="131">
        <f>L39*J39</f>
        <v>9.7970029794146582E-2</v>
      </c>
      <c r="I39" s="97">
        <v>0</v>
      </c>
      <c r="J39" s="98">
        <f t="shared" ref="J39:J49" si="33">Y39+AA39+AC39+AE39+AG39+AI39+AK39+AM39+AO39+AQ39+AS39</f>
        <v>0.13258992802155437</v>
      </c>
      <c r="K39" s="102">
        <v>0</v>
      </c>
      <c r="L39" s="98">
        <f>AC21</f>
        <v>0.73889496175169633</v>
      </c>
      <c r="M39" s="84">
        <v>0</v>
      </c>
      <c r="N39" s="71">
        <f>(1-$C$24)^$B$21</f>
        <v>0.75378189711705645</v>
      </c>
      <c r="O39" s="70">
        <v>0</v>
      </c>
      <c r="P39" s="71">
        <f>N39</f>
        <v>0.75378189711705645</v>
      </c>
      <c r="Q39" s="12">
        <v>0</v>
      </c>
      <c r="R39" s="73">
        <f>P39*N39</f>
        <v>0.56818714842138873</v>
      </c>
      <c r="S39" s="70">
        <v>0</v>
      </c>
      <c r="T39" s="135">
        <f>(1-$C$33)^(INT(B23*2*(1-B31)))</f>
        <v>9.4742968959999948E-3</v>
      </c>
      <c r="U39" s="140">
        <v>0</v>
      </c>
      <c r="V39" s="86">
        <f>R39*T39</f>
        <v>5.3831737366358519E-3</v>
      </c>
      <c r="W39" s="136">
        <f>C31</f>
        <v>0.47044969261005981</v>
      </c>
      <c r="X39" s="12">
        <v>0</v>
      </c>
      <c r="Y39" s="79">
        <f>V39</f>
        <v>5.3831737366358519E-3</v>
      </c>
      <c r="Z39" s="12">
        <v>0</v>
      </c>
      <c r="AA39" s="78">
        <f>((1-W39)^Z40)*V40</f>
        <v>2.1736482140115802E-2</v>
      </c>
      <c r="AB39" s="12">
        <v>0</v>
      </c>
      <c r="AC39" s="79">
        <f>(((1-$W$39)^AB41))*V41</f>
        <v>3.7617984002100008E-2</v>
      </c>
      <c r="AD39" s="12">
        <v>0</v>
      </c>
      <c r="AE39" s="79">
        <f>(((1-$W$39)^AB42))*V42</f>
        <v>3.6350361109109303E-2</v>
      </c>
      <c r="AF39" s="12">
        <v>0</v>
      </c>
      <c r="AG39" s="79">
        <f>(((1-$W$39)^AB43))*V43</f>
        <v>2.1427700497511047E-2</v>
      </c>
      <c r="AH39" s="12">
        <v>0</v>
      </c>
      <c r="AI39" s="79">
        <f>(((1-$W$39)^AB44))*V44</f>
        <v>7.9295511562725868E-3</v>
      </c>
      <c r="AJ39" s="12">
        <v>0</v>
      </c>
      <c r="AK39" s="79">
        <f>(((1-$W$39)^AB45))*V45</f>
        <v>1.8455611777223424E-3</v>
      </c>
      <c r="AL39" s="12">
        <v>0</v>
      </c>
      <c r="AM39" s="79">
        <f>(((1-$W$39)^AB46))*V46</f>
        <v>2.710461904618094E-4</v>
      </c>
      <c r="AN39" s="12">
        <v>0</v>
      </c>
      <c r="AO39" s="79">
        <f>(((1-$W$39)^AB47))*V47</f>
        <v>2.6236203795872909E-5</v>
      </c>
      <c r="AP39" s="12">
        <v>0</v>
      </c>
      <c r="AQ39" s="79">
        <f>(((1-$W$39)^AB48))*V48</f>
        <v>1.7445047380988418E-6</v>
      </c>
      <c r="AR39" s="12">
        <v>0</v>
      </c>
      <c r="AS39" s="79">
        <f>(((1-$W$39)^AB49))*V49</f>
        <v>8.7303091638488655E-8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1.5669266150127223E-3</v>
      </c>
      <c r="BP39">
        <f t="shared" ref="BP39:BP46" si="34">BP31+1</f>
        <v>9</v>
      </c>
      <c r="BQ39">
        <v>0</v>
      </c>
      <c r="BR39" s="107">
        <f t="shared" ref="BR39:BR47" si="35">$H$34*H39</f>
        <v>1.2933947156590892E-4</v>
      </c>
    </row>
    <row r="40" spans="1:70" x14ac:dyDescent="0.25">
      <c r="G40" s="91">
        <v>1</v>
      </c>
      <c r="H40" s="132">
        <f>L39*J40+L40*J39</f>
        <v>0.25749765809264791</v>
      </c>
      <c r="I40" s="93">
        <v>1</v>
      </c>
      <c r="J40" s="86">
        <f t="shared" si="33"/>
        <v>0.30612237884793381</v>
      </c>
      <c r="K40" s="95">
        <v>1</v>
      </c>
      <c r="L40" s="86">
        <f>AD21</f>
        <v>0.23610673261227197</v>
      </c>
      <c r="M40" s="85">
        <v>1</v>
      </c>
      <c r="N40" s="71">
        <f>(($C$24)^M26)*((1-($C$24))^($B$21-M26))*HLOOKUP($B$21,$AV$24:$BF$34,M26+1)</f>
        <v>0.2191953570647612</v>
      </c>
      <c r="O40" s="72">
        <v>1</v>
      </c>
      <c r="P40" s="71">
        <f t="shared" ref="P40:P44" si="36">N40</f>
        <v>0.2191953570647612</v>
      </c>
      <c r="Q40" s="28">
        <v>1</v>
      </c>
      <c r="R40" s="37">
        <f>P40*N39+P39*N40</f>
        <v>0.33045098417505259</v>
      </c>
      <c r="S40" s="72">
        <v>1</v>
      </c>
      <c r="T40" s="135">
        <f t="shared" ref="T40:T49" si="37">(($C$33)^S40)*((1-($C$33))^(INT($B$23*2*(1-$B$31))-S40))*HLOOKUP(INT($B$23*2*(1-$B$31)),$AV$24:$BF$34,S40+1)</f>
        <v>6.6732004223999969E-2</v>
      </c>
      <c r="U40" s="93">
        <v>1</v>
      </c>
      <c r="V40" s="86">
        <f>R40*T39+T40*R39</f>
        <v>4.1047057922128455E-2</v>
      </c>
      <c r="W40" s="137"/>
      <c r="X40" s="28">
        <v>1</v>
      </c>
      <c r="Y40" s="73"/>
      <c r="Z40" s="28">
        <v>1</v>
      </c>
      <c r="AA40" s="79">
        <f>(1-((1-W39)^Z40))*V40</f>
        <v>1.9310575782012653E-2</v>
      </c>
      <c r="AB40" s="28">
        <v>1</v>
      </c>
      <c r="AC40" s="79">
        <f>((($W$39)^M40)*((1-($W$39))^($U$27-M40))*HLOOKUP($U$27,$AV$24:$BF$34,M40+1))*V41</f>
        <v>6.6839236096850926E-2</v>
      </c>
      <c r="AD40" s="28">
        <v>1</v>
      </c>
      <c r="AE40" s="79">
        <f>((($W$39)^M40)*((1-($W$39))^($U$28-M40))*HLOOKUP($U$28,$AV$24:$BF$34,M40+1))*V42</f>
        <v>9.688040572197773E-2</v>
      </c>
      <c r="AF40" s="28">
        <v>1</v>
      </c>
      <c r="AG40" s="79">
        <f>((($W$39)^M40)*((1-($W$39))^($U$29-M40))*HLOOKUP($U$29,$AV$24:$BF$34,M40+1))*V43</f>
        <v>7.6145023214736804E-2</v>
      </c>
      <c r="AH40" s="28">
        <v>1</v>
      </c>
      <c r="AI40" s="79">
        <f>((($W$39)^M40)*((1-($W$39))^($U$30-M40))*HLOOKUP($U$30,$AV$24:$BF$34,M40+1))*V44</f>
        <v>3.5222856562872516E-2</v>
      </c>
      <c r="AJ40" s="28">
        <v>1</v>
      </c>
      <c r="AK40" s="79">
        <f>((($W$39)^M40)*((1-($W$39))^($U$31-M40))*HLOOKUP($U$31,$AV$24:$BF$34,M40+1))*V45</f>
        <v>9.8375207413092334E-3</v>
      </c>
      <c r="AL40" s="28">
        <v>1</v>
      </c>
      <c r="AM40" s="79">
        <f>((($W$39)^Q40)*((1-($W$39))^($U$32-Q40))*HLOOKUP($U$32,$AV$24:$BF$34,Q40+1))*V46</f>
        <v>1.6855720154344645E-3</v>
      </c>
      <c r="AN40" s="28">
        <v>1</v>
      </c>
      <c r="AO40" s="79">
        <f>((($W$39)^Q40)*((1-($W$39))^($U$33-Q40))*HLOOKUP($U$33,$AV$24:$BF$34,Q40+1))*V47</f>
        <v>1.8646483763718461E-4</v>
      </c>
      <c r="AP40" s="28">
        <v>1</v>
      </c>
      <c r="AQ40" s="79">
        <f>((($W$39)^Q40)*((1-($W$39))^($U$34-Q40))*HLOOKUP($U$34,$AV$24:$BF$34,Q40+1))*V48</f>
        <v>1.3948279053154327E-5</v>
      </c>
      <c r="AR40" s="28">
        <v>1</v>
      </c>
      <c r="AS40" s="79">
        <f>((($W$39)^Q40)*((1-($W$39))^($U$35-Q40))*HLOOKUP($U$35,$AV$24:$BF$34,Q40+1))*V49</f>
        <v>7.7559604917746314E-7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2.6117759368696561E-4</v>
      </c>
      <c r="BP40">
        <f t="shared" si="34"/>
        <v>9</v>
      </c>
      <c r="BQ40">
        <v>1</v>
      </c>
      <c r="BR40" s="107">
        <f t="shared" si="35"/>
        <v>3.3994693170086206E-4</v>
      </c>
    </row>
    <row r="41" spans="1:70" x14ac:dyDescent="0.25">
      <c r="G41" s="91">
        <v>2</v>
      </c>
      <c r="H41" s="132">
        <f>L39*J41+J40*L40+J39*L41</f>
        <v>0.30212183160560607</v>
      </c>
      <c r="I41" s="93">
        <v>2</v>
      </c>
      <c r="J41" s="86">
        <f t="shared" si="33"/>
        <v>0.30678552552366772</v>
      </c>
      <c r="K41" s="95">
        <v>2</v>
      </c>
      <c r="L41" s="86">
        <f>AE21</f>
        <v>2.3847948752380482E-2</v>
      </c>
      <c r="M41" s="85">
        <v>2</v>
      </c>
      <c r="N41" s="71">
        <f>(($C$24)^M27)*((1-($C$24))^($B$21-M27))*HLOOKUP($B$21,$AV$24:$BF$34,M27+1)</f>
        <v>2.5496289970618334E-2</v>
      </c>
      <c r="O41" s="72">
        <v>2</v>
      </c>
      <c r="P41" s="71">
        <f t="shared" si="36"/>
        <v>2.5496289970618334E-2</v>
      </c>
      <c r="Q41" s="28">
        <v>2</v>
      </c>
      <c r="R41" s="37">
        <f>P41*N39+P40*N40+P39*N41</f>
        <v>8.6483888205746692E-2</v>
      </c>
      <c r="S41" s="72">
        <v>2</v>
      </c>
      <c r="T41" s="135">
        <f t="shared" si="37"/>
        <v>0.19584392543999996</v>
      </c>
      <c r="U41" s="93">
        <v>2</v>
      </c>
      <c r="V41" s="86">
        <f>R41*T39+T40*R40+R39*T41</f>
        <v>0.13414703203678091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2.9689811937829956E-2</v>
      </c>
      <c r="AD41" s="28">
        <v>2</v>
      </c>
      <c r="AE41" s="79">
        <f>((($W$39)^M41)*((1-($W$39))^($U$28-M41))*HLOOKUP($U$28,$AV$24:$BF$34,M41+1))*V42</f>
        <v>8.6068040100826387E-2</v>
      </c>
      <c r="AF41" s="28">
        <v>2</v>
      </c>
      <c r="AG41" s="79">
        <f>((($W$39)^M41)*((1-($W$39))^($U$29-M41))*HLOOKUP($U$29,$AV$24:$BF$34,M41+1))*V43</f>
        <v>0.10147025390766296</v>
      </c>
      <c r="AH41" s="28">
        <v>2</v>
      </c>
      <c r="AI41" s="79">
        <f>((($W$39)^M41)*((1-($W$39))^($U$30-M41))*HLOOKUP($U$30,$AV$24:$BF$34,M41+1))*V44</f>
        <v>6.2583598995627376E-2</v>
      </c>
      <c r="AJ41" s="28">
        <v>2</v>
      </c>
      <c r="AK41" s="79">
        <f>((($W$39)^M41)*((1-($W$39))^($U$31-M41))*HLOOKUP($U$31,$AV$24:$BF$34,M41+1))*V45</f>
        <v>2.1849003504524903E-2</v>
      </c>
      <c r="AL41" s="28">
        <v>2</v>
      </c>
      <c r="AM41" s="79">
        <f>((($W$39)^Q41)*((1-($W$39))^($U$32-Q41))*HLOOKUP($U$32,$AV$24:$BF$34,Q41+1))*V46</f>
        <v>4.4923597935862163E-3</v>
      </c>
      <c r="AN41" s="28">
        <v>2</v>
      </c>
      <c r="AO41" s="79">
        <f>((($W$39)^Q41)*((1-($W$39))^($U$33-Q41))*HLOOKUP($U$33,$AV$24:$BF$34,Q41+1))*V47</f>
        <v>5.7979031479517241E-4</v>
      </c>
      <c r="AP41" s="28">
        <v>2</v>
      </c>
      <c r="AQ41" s="79">
        <f>((($W$39)^Q41)*((1-($W$39))^($U$34-Q41))*HLOOKUP($U$34,$AV$24:$BF$34,Q41+1))*V48</f>
        <v>4.956630938683466E-5</v>
      </c>
      <c r="AR41" s="28">
        <v>2</v>
      </c>
      <c r="AS41" s="79">
        <f>((($W$39)^Q41)*((1-($W$39))^($U$35-Q41))*HLOOKUP($U$35,$AV$24:$BF$34,Q41+1))*V49</f>
        <v>3.1006594279133206E-6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3.2481448386307246E-5</v>
      </c>
      <c r="BP41">
        <f t="shared" si="34"/>
        <v>9</v>
      </c>
      <c r="BQ41">
        <v>2</v>
      </c>
      <c r="BR41" s="107">
        <f t="shared" si="35"/>
        <v>3.9885950969393603E-4</v>
      </c>
    </row>
    <row r="42" spans="1:70" ht="15" customHeight="1" x14ac:dyDescent="0.25">
      <c r="G42" s="91">
        <v>3</v>
      </c>
      <c r="H42" s="132">
        <f>J42*L39+J41*L40+L42*J39+L41*J40</f>
        <v>0.20908734937817278</v>
      </c>
      <c r="I42" s="93">
        <v>3</v>
      </c>
      <c r="J42" s="86">
        <f t="shared" si="33"/>
        <v>0.17485611823447988</v>
      </c>
      <c r="K42" s="95">
        <v>3</v>
      </c>
      <c r="L42" s="86">
        <f>AF21</f>
        <v>1.1503568836512164E-3</v>
      </c>
      <c r="M42" s="85">
        <v>3</v>
      </c>
      <c r="N42" s="71">
        <f>(($C$24)^M28)*((1-($C$24))^($B$21-M28))*HLOOKUP($B$21,$AV$24:$BF$34,M28+1)</f>
        <v>1.4828343331966484E-3</v>
      </c>
      <c r="O42" s="72">
        <v>3</v>
      </c>
      <c r="P42" s="71">
        <f t="shared" si="36"/>
        <v>1.4828343331966484E-3</v>
      </c>
      <c r="Q42" s="28">
        <v>3</v>
      </c>
      <c r="R42" s="37">
        <f>P42*N39+P41*N40+P40*N41+P39*N42</f>
        <v>1.3412804121447301E-2</v>
      </c>
      <c r="S42" s="72">
        <v>3</v>
      </c>
      <c r="T42" s="135">
        <f t="shared" si="37"/>
        <v>0.30653831807999998</v>
      </c>
      <c r="U42" s="93">
        <v>3</v>
      </c>
      <c r="V42" s="86">
        <f>R42*T39+R41*T40+R40*T41+R39*T42</f>
        <v>0.24478627081962573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2.548746388771226E-2</v>
      </c>
      <c r="AF42" s="28">
        <v>3</v>
      </c>
      <c r="AG42" s="79">
        <f>((($W$39)^M42)*((1-($W$39))^($U$29-M42))*HLOOKUP($U$29,$AV$24:$BF$34,M42+1))*V43</f>
        <v>6.009709130401638E-2</v>
      </c>
      <c r="AH42" s="28">
        <v>3</v>
      </c>
      <c r="AI42" s="79">
        <f>((($W$39)^M42)*((1-($W$39))^($U$30-M42))*HLOOKUP($U$30,$AV$24:$BF$34,M42+1))*V44</f>
        <v>5.5598938380454724E-2</v>
      </c>
      <c r="AJ42" s="28">
        <v>3</v>
      </c>
      <c r="AK42" s="79">
        <f>((($W$39)^M42)*((1-($W$39))^($U$31-M42))*HLOOKUP($U$31,$AV$24:$BF$34,M42+1))*V45</f>
        <v>2.5880718889460589E-2</v>
      </c>
      <c r="AL42" s="28">
        <v>3</v>
      </c>
      <c r="AM42" s="79">
        <f>((($W$39)^Q42)*((1-($W$39))^($U$32-Q42))*HLOOKUP($U$32,$AV$24:$BF$34,Q42+1))*V46</f>
        <v>6.6516478053588101E-3</v>
      </c>
      <c r="AN42" s="28">
        <v>3</v>
      </c>
      <c r="AO42" s="79">
        <f>((($W$39)^Q42)*((1-($W$39))^($U$33-Q42))*HLOOKUP($U$33,$AV$24:$BF$34,Q42+1))*V47</f>
        <v>1.030165298998976E-3</v>
      </c>
      <c r="AP42" s="28">
        <v>3</v>
      </c>
      <c r="AQ42" s="79">
        <f>((($W$39)^Q42)*((1-($W$39))^($U$34-Q42))*HLOOKUP($U$34,$AV$24:$BF$34,Q42+1))*V48</f>
        <v>1.027470433095634E-4</v>
      </c>
      <c r="AR42" s="28">
        <v>3</v>
      </c>
      <c r="AS42" s="79">
        <f>((($W$39)^Q42)*((1-($W$39))^($U$35-Q42))*HLOOKUP($U$35,$AV$24:$BF$34,Q42+1))*V49</f>
        <v>7.3456251685950994E-6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3.044511713820333E-6</v>
      </c>
      <c r="BP42">
        <f t="shared" si="34"/>
        <v>9</v>
      </c>
      <c r="BQ42">
        <v>3</v>
      </c>
      <c r="BR42" s="107">
        <f t="shared" si="35"/>
        <v>2.7603591972476054E-4</v>
      </c>
    </row>
    <row r="43" spans="1:70" ht="15" customHeight="1" x14ac:dyDescent="0.25">
      <c r="G43" s="91">
        <v>4</v>
      </c>
      <c r="H43" s="132">
        <f>J43*L39+J42*L40+J41*L41+J40*L42</f>
        <v>9.5126776002281921E-2</v>
      </c>
      <c r="I43" s="93">
        <v>4</v>
      </c>
      <c r="J43" s="86">
        <f t="shared" si="33"/>
        <v>6.2490226841988364E-2</v>
      </c>
      <c r="K43" s="95">
        <v>4</v>
      </c>
      <c r="L43" s="86"/>
      <c r="M43" s="85">
        <v>4</v>
      </c>
      <c r="N43" s="71">
        <f>(($C$24)^M29)*((1-($C$24))^($B$21-M29))*HLOOKUP($B$21,$AV$24:$BF$34,M29+1)</f>
        <v>4.3119953182220259E-5</v>
      </c>
      <c r="O43" s="72">
        <v>4</v>
      </c>
      <c r="P43" s="71">
        <f t="shared" si="36"/>
        <v>4.3119953182220259E-5</v>
      </c>
      <c r="Q43" s="28">
        <v>4</v>
      </c>
      <c r="R43" s="37">
        <f>P43*N39+P42*N40+P41*N41+P40*N42+P39*N43</f>
        <v>1.3651276847582911E-3</v>
      </c>
      <c r="S43" s="72">
        <v>4</v>
      </c>
      <c r="T43" s="135">
        <f t="shared" si="37"/>
        <v>0.26988699744</v>
      </c>
      <c r="U43" s="93">
        <v>4</v>
      </c>
      <c r="V43" s="86">
        <f>T43*R39+T42*R40+T41*R41+T40*R42+T39*R43</f>
        <v>0.27248755344814751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1.3347484524220249E-2</v>
      </c>
      <c r="AH43" s="28">
        <v>4</v>
      </c>
      <c r="AI43" s="79">
        <f>((($W$39)^M43)*((1-($W$39))^($U$30-M43))*HLOOKUP($U$30,$AV$24:$BF$34,M43+1))*V44</f>
        <v>2.4696901413815964E-2</v>
      </c>
      <c r="AJ43" s="28">
        <v>4</v>
      </c>
      <c r="AK43" s="79">
        <f>((($W$39)^M43)*((1-($W$39))^($U$31-M43))*HLOOKUP($U$31,$AV$24:$BF$34,M43+1))*V45</f>
        <v>1.7244220345303967E-2</v>
      </c>
      <c r="AL43" s="28">
        <v>4</v>
      </c>
      <c r="AM43" s="79">
        <f>((($W$39)^Q43)*((1-($W$39))^($U$32-Q43))*HLOOKUP($U$32,$AV$24:$BF$34,Q43+1))*V46</f>
        <v>5.9092887336899677E-3</v>
      </c>
      <c r="AN43" s="28">
        <v>4</v>
      </c>
      <c r="AO43" s="79">
        <f>((($W$39)^Q43)*((1-($W$39))^($U$33-Q43))*HLOOKUP($U$33,$AV$24:$BF$34,Q43+1))*V47</f>
        <v>1.1439917546274506E-3</v>
      </c>
      <c r="AP43" s="28">
        <v>4</v>
      </c>
      <c r="AQ43" s="79">
        <f>((($W$39)^Q43)*((1-($W$39))^($U$34-Q43))*HLOOKUP($U$34,$AV$24:$BF$34,Q43+1))*V48</f>
        <v>1.3691989486274504E-4</v>
      </c>
      <c r="AR43" s="28">
        <v>4</v>
      </c>
      <c r="AS43" s="79">
        <f>((($W$39)^Q43)*((1-($W$39))^($U$35-Q43))*HLOOKUP($U$35,$AV$24:$BF$34,Q43+1))*V49</f>
        <v>1.1420175468025571E-5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2.1471986050455577E-7</v>
      </c>
      <c r="BP43">
        <f t="shared" si="34"/>
        <v>9</v>
      </c>
      <c r="BQ43">
        <v>4</v>
      </c>
      <c r="BR43" s="107">
        <f t="shared" si="35"/>
        <v>1.2558582421334362E-4</v>
      </c>
    </row>
    <row r="44" spans="1:70" ht="15" customHeight="1" thickBot="1" x14ac:dyDescent="0.3">
      <c r="G44" s="91">
        <v>5</v>
      </c>
      <c r="H44" s="132">
        <f>J44*L39+J43*L40+J42*L41+J41*L42</f>
        <v>3.0074504112720023E-2</v>
      </c>
      <c r="I44" s="93">
        <v>5</v>
      </c>
      <c r="J44" s="86">
        <f t="shared" si="33"/>
        <v>1.4612724140755581E-2</v>
      </c>
      <c r="K44" s="95">
        <v>5</v>
      </c>
      <c r="L44" s="86"/>
      <c r="M44" s="85">
        <v>5</v>
      </c>
      <c r="N44" s="71">
        <f>(($C$24)^M30)*((1-($C$24))^($B$21-M30))*HLOOKUP($B$21,$AV$24:$BF$34,M30+1)</f>
        <v>5.0156118476932753E-7</v>
      </c>
      <c r="O44" s="72">
        <v>5</v>
      </c>
      <c r="P44" s="71">
        <f t="shared" si="36"/>
        <v>5.0156118476932753E-7</v>
      </c>
      <c r="Q44" s="28">
        <v>5</v>
      </c>
      <c r="R44" s="37">
        <f>P44*N39+P43*N40+P42*N41+P41*N42+P40*N43+P39*N44</f>
        <v>9.5273070826676983E-5</v>
      </c>
      <c r="S44" s="72">
        <v>5</v>
      </c>
      <c r="T44" s="135">
        <f t="shared" si="37"/>
        <v>0.12672954662400002</v>
      </c>
      <c r="U44" s="93">
        <v>5</v>
      </c>
      <c r="V44" s="86">
        <f>T44*R39+T43*R40+T42*R41+T41*R42+T40*R43+T39*R44</f>
        <v>0.19041996583081908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4.3881193217758449E-3</v>
      </c>
      <c r="AJ44" s="28">
        <v>5</v>
      </c>
      <c r="AK44" s="79">
        <f>((($W$39)^M44)*((1-($W$39))^($U$31-M44))*HLOOKUP($U$31,$AV$24:$BF$34,M44+1))*V45</f>
        <v>6.1278696641561088E-3</v>
      </c>
      <c r="AL44" s="28">
        <v>5</v>
      </c>
      <c r="AM44" s="79">
        <f>((($W$39)^Q44)*((1-($W$39))^($U$32-Q44))*HLOOKUP($U$32,$AV$24:$BF$34,Q44+1))*V46</f>
        <v>3.1498685161877554E-3</v>
      </c>
      <c r="AN44" s="28">
        <v>5</v>
      </c>
      <c r="AO44" s="79">
        <f>((($W$39)^Q44)*((1-($W$39))^($U$33-Q44))*HLOOKUP($U$33,$AV$24:$BF$34,Q44+1))*V47</f>
        <v>8.1305297993774877E-4</v>
      </c>
      <c r="AP44" s="28">
        <v>5</v>
      </c>
      <c r="AQ44" s="79">
        <f>((($W$39)^Q44)*((1-($W$39))^($U$34-Q44))*HLOOKUP($U$34,$AV$24:$BF$34,Q44+1))*V48</f>
        <v>1.2163891050855006E-4</v>
      </c>
      <c r="AR44" s="28">
        <v>5</v>
      </c>
      <c r="AS44" s="79">
        <f>((($W$39)^Q44)*((1-($W$39))^($U$35-Q44))*HLOOKUP($U$35,$AV$24:$BF$34,Q44+1))*V49</f>
        <v>1.2174748189571476E-5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1.0448395562230061E-3</v>
      </c>
      <c r="BP44">
        <f t="shared" si="34"/>
        <v>9</v>
      </c>
      <c r="BQ44">
        <v>5</v>
      </c>
      <c r="BR44" s="107">
        <f t="shared" si="35"/>
        <v>3.9704187879897612E-5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6.8279641911423265E-3</v>
      </c>
      <c r="I45" s="93">
        <v>6</v>
      </c>
      <c r="J45" s="86">
        <f t="shared" si="33"/>
        <v>2.2823148897837919E-3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4.617475085384173E-6</v>
      </c>
      <c r="S45" s="70">
        <v>6</v>
      </c>
      <c r="T45" s="135">
        <f t="shared" si="37"/>
        <v>2.4794911296000009E-2</v>
      </c>
      <c r="U45" s="93">
        <v>6</v>
      </c>
      <c r="V45" s="86">
        <f>T45*R39+T44*R40+T43*R41+T42*R42+T41*R43+T40*R44+T39*R45</f>
        <v>8.3692222156309698E-2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9.0732783383251831E-4</v>
      </c>
      <c r="AL45" s="28">
        <v>6</v>
      </c>
      <c r="AM45" s="79">
        <f>((($W$39)^Q45)*((1-($W$39))^($U$32-Q45))*HLOOKUP($U$32,$AV$24:$BF$34,Q45+1))*V46</f>
        <v>9.3277551066956843E-4</v>
      </c>
      <c r="AN45" s="28">
        <v>6</v>
      </c>
      <c r="AO45" s="79">
        <f>((($W$39)^Q45)*((1-($W$39))^($U$33-Q45))*HLOOKUP($U$33,$AV$24:$BF$34,Q45+1))*V47</f>
        <v>3.6115598381264712E-4</v>
      </c>
      <c r="AP45" s="28">
        <v>6</v>
      </c>
      <c r="AQ45" s="79">
        <f>((($W$39)^Q45)*((1-($W$39))^($U$34-Q45))*HLOOKUP($U$34,$AV$24:$BF$34,Q45+1))*V48</f>
        <v>7.204224321351931E-5</v>
      </c>
      <c r="AR45" s="28">
        <v>6</v>
      </c>
      <c r="AS45" s="79">
        <f>((($W$39)^Q45)*((1-($W$39))^($U$35-Q45))*HLOOKUP($U$35,$AV$24:$BF$34,Q45+1))*V49</f>
        <v>9.0133182555389031E-6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1.7415536788304925E-4</v>
      </c>
      <c r="BP45">
        <f t="shared" si="34"/>
        <v>9</v>
      </c>
      <c r="BQ45">
        <v>6</v>
      </c>
      <c r="BR45" s="107">
        <f t="shared" si="35"/>
        <v>9.0142391730298466E-6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1.1380949433990194E-3</v>
      </c>
      <c r="I46" s="93">
        <v>7</v>
      </c>
      <c r="J46" s="86">
        <f t="shared" si="33"/>
        <v>2.4205804909780277E-4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1.5345539285862786E-7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2.3210940398358106E-2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1.1838183296950192E-4</v>
      </c>
      <c r="AN46" s="28">
        <v>7</v>
      </c>
      <c r="AO46" s="79">
        <f>((($W$39)^Q46)*((1-($W$39))^($U$33-Q46))*HLOOKUP($U$33,$AV$24:$BF$34,Q46+1))*V47</f>
        <v>9.1671161737414989E-5</v>
      </c>
      <c r="AP46" s="28">
        <v>7</v>
      </c>
      <c r="AQ46" s="79">
        <f>((($W$39)^Q46)*((1-($W$39))^($U$34-Q46))*HLOOKUP($U$34,$AV$24:$BF$34,Q46+1))*V48</f>
        <v>2.7429406235362424E-5</v>
      </c>
      <c r="AR46" s="28">
        <v>7</v>
      </c>
      <c r="AS46" s="79">
        <f>((($W$39)^Q46)*((1-($W$39))^($U$35-Q46))*HLOOKUP($U$35,$AV$24:$BF$34,Q46+1))*V49</f>
        <v>4.5756481555234741E-6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2.1658896972117734E-5</v>
      </c>
      <c r="BP46">
        <f t="shared" si="34"/>
        <v>9</v>
      </c>
      <c r="BQ46">
        <v>7</v>
      </c>
      <c r="BR46" s="107">
        <f t="shared" si="35"/>
        <v>1.5025064183440413E-6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1.4153960008927595E-4</v>
      </c>
      <c r="I47" s="93">
        <v>8</v>
      </c>
      <c r="J47" s="86">
        <f t="shared" si="33"/>
        <v>1.7796424880940649E-5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3.3467946523863607E-9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4.2427085572541599E-3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1.018002191168996E-5</v>
      </c>
      <c r="AP47" s="28">
        <v>8</v>
      </c>
      <c r="AQ47" s="79">
        <f>((($W$39)^Q47)*((1-($W$39))^($U$34-Q47))*HLOOKUP($U$34,$AV$24:$BF$34,Q47+1))*V48</f>
        <v>6.0920348604389504E-6</v>
      </c>
      <c r="AR47" s="28">
        <v>8</v>
      </c>
      <c r="AS47" s="79">
        <f>((($W$39)^Q47)*((1-($W$39))^($U$35-Q47))*HLOOKUP($U$35,$AV$24:$BF$34,Q47+1))*V49</f>
        <v>1.5243681088117368E-6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2.0301054545288661E-6</v>
      </c>
      <c r="BP47">
        <f>BL12+1</f>
        <v>9</v>
      </c>
      <c r="BQ47">
        <v>8</v>
      </c>
      <c r="BR47" s="107">
        <f t="shared" si="35"/>
        <v>1.8685976843798811E-7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1.3266618080457971E-5</v>
      </c>
      <c r="I48" s="93">
        <v>9</v>
      </c>
      <c r="J48" s="86">
        <f t="shared" si="33"/>
        <v>9.0229029840823874E-7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4.3254589610544652E-11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5.3272997411858757E-4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6.0134795032018359E-7</v>
      </c>
      <c r="AR48" s="28">
        <v>9</v>
      </c>
      <c r="AS48" s="79">
        <f>((($W$39)^Q48)*((1-($W$39))^($U$35-Q48))*HLOOKUP($U$35,$AV$24:$BF$34,Q48+1))*V49</f>
        <v>3.0094234808805515E-7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1.4317696924180734E-7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9.3565295566843035E-7</v>
      </c>
      <c r="I49" s="94">
        <v>10</v>
      </c>
      <c r="J49" s="89">
        <f t="shared" si="33"/>
        <v>2.6735559053716587E-8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2.5156362206721151E-13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5.0345119821937345E-5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2.6735559053716587E-8</v>
      </c>
      <c r="BH49">
        <f>BP14+1</f>
        <v>6</v>
      </c>
      <c r="BI49">
        <v>0</v>
      </c>
      <c r="BJ49" s="107">
        <f>$H$31*H39</f>
        <v>7.2792641683797786E-3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8.4561510893749553E-5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1.0516523690985214E-5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9.8572204001133082E-7</v>
      </c>
    </row>
    <row r="53" spans="1:62" x14ac:dyDescent="0.25">
      <c r="BH53">
        <f>BH48+1</f>
        <v>6</v>
      </c>
      <c r="BI53">
        <v>10</v>
      </c>
      <c r="BJ53" s="107">
        <f>$H$31*H49</f>
        <v>6.9519883259673847E-8</v>
      </c>
    </row>
    <row r="54" spans="1:62" x14ac:dyDescent="0.25">
      <c r="BH54">
        <f>BH51+1</f>
        <v>7</v>
      </c>
      <c r="BI54">
        <v>8</v>
      </c>
      <c r="BJ54" s="107">
        <f>$H$32*H47</f>
        <v>3.7573112651211741E-6</v>
      </c>
    </row>
    <row r="55" spans="1:62" x14ac:dyDescent="0.25">
      <c r="BH55">
        <f>BH52+1</f>
        <v>7</v>
      </c>
      <c r="BI55">
        <v>9</v>
      </c>
      <c r="BJ55" s="107">
        <f>$H$32*H48</f>
        <v>3.5217574115176361E-7</v>
      </c>
    </row>
    <row r="56" spans="1:62" x14ac:dyDescent="0.25">
      <c r="BH56">
        <f>BH53+1</f>
        <v>7</v>
      </c>
      <c r="BI56">
        <v>10</v>
      </c>
      <c r="BJ56" s="107">
        <f>$H$32*H49</f>
        <v>2.483785024374446E-8</v>
      </c>
    </row>
    <row r="57" spans="1:62" x14ac:dyDescent="0.25">
      <c r="BH57">
        <f>BH55+1</f>
        <v>8</v>
      </c>
      <c r="BI57">
        <v>9</v>
      </c>
      <c r="BJ57" s="107">
        <f>$H$33*H48</f>
        <v>9.2362564893537383E-8</v>
      </c>
    </row>
    <row r="58" spans="1:62" x14ac:dyDescent="0.25">
      <c r="BH58">
        <f>BH56+1</f>
        <v>8</v>
      </c>
      <c r="BI58">
        <v>10</v>
      </c>
      <c r="BJ58" s="107">
        <f>$H$33*H49</f>
        <v>6.5140419594239353E-9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1.2352436669613628E-9</v>
      </c>
    </row>
  </sheetData>
  <mergeCells count="2">
    <mergeCell ref="P1:Q1"/>
    <mergeCell ref="B3:C3"/>
  </mergeCells>
  <conditionalFormatting sqref="V25:V35 V39:V49">
    <cfRule type="cellIs" dxfId="69" priority="14" operator="greaterThan">
      <formula>0.15</formula>
    </cfRule>
  </conditionalFormatting>
  <conditionalFormatting sqref="V35">
    <cfRule type="cellIs" dxfId="68" priority="13" operator="greaterThan">
      <formula>0.15</formula>
    </cfRule>
  </conditionalFormatting>
  <conditionalFormatting sqref="V49">
    <cfRule type="cellIs" dxfId="67" priority="12" operator="greaterThan">
      <formula>0.15</formula>
    </cfRule>
  </conditionalFormatting>
  <conditionalFormatting sqref="V25:V35 V39:V49">
    <cfRule type="cellIs" dxfId="66" priority="11" operator="greaterThan">
      <formula>0.15</formula>
    </cfRule>
  </conditionalFormatting>
  <conditionalFormatting sqref="V35">
    <cfRule type="cellIs" dxfId="65" priority="10" operator="greaterThan">
      <formula>0.15</formula>
    </cfRule>
  </conditionalFormatting>
  <conditionalFormatting sqref="V49">
    <cfRule type="cellIs" dxfId="64" priority="9" operator="greaterThan">
      <formula>0.15</formula>
    </cfRule>
  </conditionalFormatting>
  <conditionalFormatting sqref="H25:H35">
    <cfRule type="cellIs" dxfId="63" priority="8" operator="greaterThan">
      <formula>0.15</formula>
    </cfRule>
  </conditionalFormatting>
  <conditionalFormatting sqref="H35">
    <cfRule type="cellIs" dxfId="62" priority="7" operator="greaterThan">
      <formula>0.15</formula>
    </cfRule>
  </conditionalFormatting>
  <conditionalFormatting sqref="H25:H35">
    <cfRule type="cellIs" dxfId="61" priority="6" operator="greaterThan">
      <formula>0.15</formula>
    </cfRule>
  </conditionalFormatting>
  <conditionalFormatting sqref="H35">
    <cfRule type="cellIs" dxfId="60" priority="5" operator="greaterThan">
      <formula>0.15</formula>
    </cfRule>
  </conditionalFormatting>
  <conditionalFormatting sqref="H39:H49">
    <cfRule type="cellIs" dxfId="59" priority="4" operator="greaterThan">
      <formula>0.15</formula>
    </cfRule>
  </conditionalFormatting>
  <conditionalFormatting sqref="H49">
    <cfRule type="cellIs" dxfId="58" priority="3" operator="greaterThan">
      <formula>0.15</formula>
    </cfRule>
  </conditionalFormatting>
  <conditionalFormatting sqref="H39:H49">
    <cfRule type="cellIs" dxfId="57" priority="2" operator="greaterThan">
      <formula>0.15</formula>
    </cfRule>
  </conditionalFormatting>
  <conditionalFormatting sqref="H49">
    <cfRule type="cellIs" dxfId="56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BR59"/>
  <sheetViews>
    <sheetView zoomScale="80" zoomScaleNormal="80" workbookViewId="0">
      <selection activeCell="P12" sqref="P12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6" t="s">
        <v>152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6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6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>
        <f t="shared" ref="BJ4:BJ13" si="0">$H$25*H40</f>
        <v>5.3572881814748508E-3</v>
      </c>
      <c r="BL4">
        <v>0</v>
      </c>
      <c r="BM4">
        <v>0</v>
      </c>
      <c r="BN4" s="107">
        <f>H25*H39</f>
        <v>7.4768989044099584E-4</v>
      </c>
      <c r="BP4">
        <v>1</v>
      </c>
      <c r="BQ4">
        <v>0</v>
      </c>
      <c r="BR4" s="107">
        <f>$H$26*H39</f>
        <v>1.274182669533438E-3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16</v>
      </c>
      <c r="G5" s="167">
        <v>12</v>
      </c>
      <c r="H5" s="10"/>
      <c r="I5" s="10"/>
      <c r="J5" s="166" t="s">
        <v>16</v>
      </c>
      <c r="K5" s="166">
        <v>12</v>
      </c>
      <c r="L5" s="10"/>
      <c r="M5" s="10"/>
      <c r="O5" s="67">
        <f>COUNTIF(F5:F18,"IMP")*0.017</f>
        <v>1.7000000000000001E-2</v>
      </c>
      <c r="P5" s="16" t="str">
        <f>P3</f>
        <v>0,6</v>
      </c>
      <c r="Q5" s="16">
        <f>P5*O5</f>
        <v>1.0200000000000001E-2</v>
      </c>
      <c r="R5" s="157">
        <f>IF($M$2="SI",Q5*$B$22/0.5*$S$1,Q5*$B$22/0.5*$S$2)</f>
        <v>9.9039685264712216E-3</v>
      </c>
      <c r="S5" s="176">
        <f>(1-R5)</f>
        <v>0.99009603147352876</v>
      </c>
      <c r="T5" s="177">
        <f>R5*PRODUCT(S6:S19)</f>
        <v>7.5652582218899969E-3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2.0967504556538528E-3</v>
      </c>
      <c r="V5" s="18"/>
      <c r="W5" s="186" t="s">
        <v>36</v>
      </c>
      <c r="X5" s="15" t="s">
        <v>37</v>
      </c>
      <c r="Y5" s="69">
        <f>COUNTIF(J5:J18,"IMP")*0.017</f>
        <v>1.7000000000000001E-2</v>
      </c>
      <c r="Z5" s="146" t="str">
        <f>Z3</f>
        <v>0,6</v>
      </c>
      <c r="AA5" s="19">
        <f>Z5*Y5</f>
        <v>1.0200000000000001E-2</v>
      </c>
      <c r="AB5" s="157">
        <f>IF($M$2="SI",AA5*$C$22/0.5*$S$1,AA5*$C$22/0.5*$S$2)</f>
        <v>1.2004810335116632E-2</v>
      </c>
      <c r="AC5" s="176">
        <f>(1-AB5)</f>
        <v>0.98799518966488342</v>
      </c>
      <c r="AD5" s="177">
        <f>AB5*PRODUCT(AC6:AC19)</f>
        <v>7.2399538159273191E-3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3.941507173046083E-3</v>
      </c>
      <c r="AF5" s="18"/>
      <c r="BH5">
        <v>0</v>
      </c>
      <c r="BI5">
        <v>2</v>
      </c>
      <c r="BJ5" s="107">
        <f t="shared" si="0"/>
        <v>1.7529897124120938E-2</v>
      </c>
      <c r="BL5">
        <v>1</v>
      </c>
      <c r="BM5">
        <v>1</v>
      </c>
      <c r="BN5" s="107">
        <f>$H$26*H40</f>
        <v>9.1296724000178939E-3</v>
      </c>
      <c r="BP5">
        <f>BP4+1</f>
        <v>2</v>
      </c>
      <c r="BQ5">
        <v>0</v>
      </c>
      <c r="BR5" s="107">
        <f>$H$27*H39</f>
        <v>1.00489398484955E-3</v>
      </c>
    </row>
    <row r="6" spans="1:70" x14ac:dyDescent="0.25">
      <c r="A6" s="2" t="s">
        <v>1</v>
      </c>
      <c r="B6" s="168">
        <f>8.25*1.2</f>
        <v>9.9</v>
      </c>
      <c r="C6" s="169">
        <v>12</v>
      </c>
      <c r="E6" s="192" t="s">
        <v>17</v>
      </c>
      <c r="F6" s="167" t="s">
        <v>16</v>
      </c>
      <c r="G6" s="167"/>
      <c r="H6" s="10"/>
      <c r="I6" s="10"/>
      <c r="J6" s="166" t="s">
        <v>16</v>
      </c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>
        <f>IF($M$2="SI",Q6*$B$22/0.5*$S$1,Q6*$B$22/0.5*$S$2)</f>
        <v>0</v>
      </c>
      <c r="S6" s="176">
        <f t="shared" ref="S6:S19" si="2">(1-R6)</f>
        <v>1</v>
      </c>
      <c r="T6" s="177">
        <f>R6*S5*PRODUCT(S7:S19)</f>
        <v>0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0</v>
      </c>
      <c r="V6" s="18"/>
      <c r="W6" s="186" t="s">
        <v>38</v>
      </c>
      <c r="X6" s="15" t="s">
        <v>39</v>
      </c>
      <c r="Y6" s="69">
        <f>COUNTIF(J14:J18,"IMP")*0.017</f>
        <v>1.7000000000000001E-2</v>
      </c>
      <c r="Z6" s="146" t="str">
        <f>Z3</f>
        <v>0,6</v>
      </c>
      <c r="AA6" s="19">
        <f t="shared" ref="AA6:AA19" si="3">Z6*Y6</f>
        <v>1.0200000000000001E-2</v>
      </c>
      <c r="AB6" s="157">
        <f t="shared" ref="AB6:AB19" si="4">IF($M$2="SI",AA6*$C$22/0.5*$S$1,AA6*$C$22/0.5*$S$2)</f>
        <v>1.2004810335116632E-2</v>
      </c>
      <c r="AC6" s="176">
        <f t="shared" ref="AC6:AC19" si="5">(1-AB6)</f>
        <v>0.98799518966488342</v>
      </c>
      <c r="AD6" s="177">
        <f>AB6*AC5*PRODUCT(AC7:AC19)</f>
        <v>7.2399538159273191E-3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3.8535368334084055E-3</v>
      </c>
      <c r="AF6" s="18"/>
      <c r="BH6">
        <v>0</v>
      </c>
      <c r="BI6">
        <v>3</v>
      </c>
      <c r="BJ6" s="107">
        <f t="shared" si="0"/>
        <v>3.4647527563413438E-2</v>
      </c>
      <c r="BL6">
        <f>BH14+1</f>
        <v>2</v>
      </c>
      <c r="BM6">
        <v>2</v>
      </c>
      <c r="BN6" s="107">
        <f>$H$27*H41</f>
        <v>2.3560152946123996E-2</v>
      </c>
      <c r="BP6">
        <f>BL5+1</f>
        <v>2</v>
      </c>
      <c r="BQ6">
        <v>1</v>
      </c>
      <c r="BR6" s="107">
        <f>$H$27*H40</f>
        <v>7.2001865178281466E-3</v>
      </c>
    </row>
    <row r="7" spans="1:70" x14ac:dyDescent="0.25">
      <c r="A7" s="5" t="s">
        <v>2</v>
      </c>
      <c r="B7" s="168">
        <v>10.75</v>
      </c>
      <c r="C7" s="169">
        <v>15.25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BH7">
        <v>0</v>
      </c>
      <c r="BI7">
        <v>4</v>
      </c>
      <c r="BJ7" s="107">
        <f t="shared" si="0"/>
        <v>4.6097433624388125E-2</v>
      </c>
      <c r="BL7">
        <f>BH23+1</f>
        <v>3</v>
      </c>
      <c r="BM7">
        <v>3</v>
      </c>
      <c r="BN7" s="107">
        <f>$H$28*H42</f>
        <v>2.2537859244700163E-2</v>
      </c>
      <c r="BP7">
        <f>BP5+1</f>
        <v>3</v>
      </c>
      <c r="BQ7">
        <v>0</v>
      </c>
      <c r="BR7" s="107">
        <f>$H$28*H39</f>
        <v>4.8636456031681913E-4</v>
      </c>
    </row>
    <row r="8" spans="1:70" x14ac:dyDescent="0.25">
      <c r="A8" s="5" t="s">
        <v>3</v>
      </c>
      <c r="B8" s="168">
        <v>10.75</v>
      </c>
      <c r="C8" s="169">
        <v>12</v>
      </c>
      <c r="E8" s="192" t="s">
        <v>18</v>
      </c>
      <c r="F8" s="167" t="s">
        <v>123</v>
      </c>
      <c r="G8" s="167"/>
      <c r="H8" s="10"/>
      <c r="I8" s="10"/>
      <c r="J8" s="166" t="s">
        <v>16</v>
      </c>
      <c r="K8" s="166"/>
      <c r="L8" s="10"/>
      <c r="M8" s="10"/>
      <c r="O8" s="67">
        <f>COUNTIF(F6:F18,"IMP")*0.01</f>
        <v>0.01</v>
      </c>
      <c r="P8" s="16" t="str">
        <f>P3</f>
        <v>0,6</v>
      </c>
      <c r="Q8" s="16">
        <f t="shared" si="1"/>
        <v>6.0000000000000001E-3</v>
      </c>
      <c r="R8" s="157">
        <f t="shared" si="6"/>
        <v>5.8258638391007183E-3</v>
      </c>
      <c r="S8" s="176">
        <f t="shared" si="2"/>
        <v>0.99417413616089934</v>
      </c>
      <c r="T8" s="177">
        <f>R8*PRODUCT(S5:S7)*PRODUCT(S9:S19)</f>
        <v>4.4318973614979979E-3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1.2023523488074608E-3</v>
      </c>
      <c r="W8" s="186" t="s">
        <v>42</v>
      </c>
      <c r="X8" s="15" t="s">
        <v>43</v>
      </c>
      <c r="Y8" s="69">
        <f>COUNTIF(J6:J18,"IMP")*0.01</f>
        <v>0.01</v>
      </c>
      <c r="Z8" s="146" t="str">
        <f>Z3</f>
        <v>0,6</v>
      </c>
      <c r="AA8" s="19">
        <f t="shared" si="3"/>
        <v>6.0000000000000001E-3</v>
      </c>
      <c r="AB8" s="157">
        <f t="shared" si="4"/>
        <v>7.0616531383038998E-3</v>
      </c>
      <c r="AC8" s="176">
        <f t="shared" si="5"/>
        <v>0.99293834686169613</v>
      </c>
      <c r="AD8" s="177">
        <f>AB8*PRODUCT(AC5:AC7)*PRODUCT(AC9:AC19)</f>
        <v>4.237594743947224E-3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2.2253643591078794E-3</v>
      </c>
      <c r="BH8">
        <v>0</v>
      </c>
      <c r="BI8">
        <v>5</v>
      </c>
      <c r="BJ8" s="107">
        <f t="shared" si="0"/>
        <v>4.3546922903913328E-2</v>
      </c>
      <c r="BL8">
        <f>BH31+1</f>
        <v>4</v>
      </c>
      <c r="BM8">
        <v>4</v>
      </c>
      <c r="BN8" s="107">
        <f>$H$29*H43</f>
        <v>9.9551864864272609E-3</v>
      </c>
      <c r="BP8">
        <f>BP6+1</f>
        <v>3</v>
      </c>
      <c r="BQ8">
        <v>1</v>
      </c>
      <c r="BR8" s="107">
        <f>$H$28*H40</f>
        <v>3.4848606945008958E-3</v>
      </c>
    </row>
    <row r="9" spans="1:70" x14ac:dyDescent="0.25">
      <c r="A9" s="5" t="s">
        <v>4</v>
      </c>
      <c r="B9" s="168">
        <v>11.25</v>
      </c>
      <c r="C9" s="169">
        <v>15.5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>
        <f t="shared" si="6"/>
        <v>0</v>
      </c>
      <c r="S9" s="176">
        <f t="shared" si="2"/>
        <v>1</v>
      </c>
      <c r="T9" s="177">
        <f>R9*PRODUCT(S5:S8)*PRODUCT(S10:S19)</f>
        <v>0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0</v>
      </c>
      <c r="W9" s="187" t="s">
        <v>44</v>
      </c>
      <c r="X9" s="15" t="s">
        <v>45</v>
      </c>
      <c r="Y9" s="69">
        <f>COUNTIF(F6:F13,"IMP")*0.025</f>
        <v>2.5000000000000001E-2</v>
      </c>
      <c r="Z9" s="146">
        <v>0.5</v>
      </c>
      <c r="AA9" s="19">
        <f t="shared" si="3"/>
        <v>1.2500000000000001E-2</v>
      </c>
      <c r="AB9" s="157">
        <f t="shared" si="4"/>
        <v>1.4711777371466459E-2</v>
      </c>
      <c r="AC9" s="176">
        <f t="shared" si="5"/>
        <v>0.98528822262853355</v>
      </c>
      <c r="AD9" s="177">
        <f>AB9*PRODUCT(AC5:AC8)*PRODUCT(AC10:AC19)</f>
        <v>8.8968685826510945E-3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4.5393295388195028E-3</v>
      </c>
      <c r="BH9">
        <v>0</v>
      </c>
      <c r="BI9">
        <v>6</v>
      </c>
      <c r="BJ9" s="107">
        <f t="shared" si="0"/>
        <v>3.001946478452654E-2</v>
      </c>
      <c r="BL9">
        <f>BH38+1</f>
        <v>5</v>
      </c>
      <c r="BM9">
        <v>5</v>
      </c>
      <c r="BN9" s="107">
        <f>$H$30*H44</f>
        <v>2.2663307649066081E-3</v>
      </c>
      <c r="BP9">
        <f>BL6+1</f>
        <v>3</v>
      </c>
      <c r="BQ9">
        <v>2</v>
      </c>
      <c r="BR9" s="107">
        <f>$H$28*H41</f>
        <v>1.140301723505111E-2</v>
      </c>
    </row>
    <row r="10" spans="1:70" x14ac:dyDescent="0.25">
      <c r="A10" s="6" t="s">
        <v>5</v>
      </c>
      <c r="B10" s="168">
        <v>14.75</v>
      </c>
      <c r="C10" s="169">
        <v>15.5</v>
      </c>
      <c r="E10" s="192" t="s">
        <v>17</v>
      </c>
      <c r="F10" s="167" t="s">
        <v>21</v>
      </c>
      <c r="G10" s="167"/>
      <c r="H10" s="10"/>
      <c r="I10" s="10"/>
      <c r="J10" s="166" t="s">
        <v>144</v>
      </c>
      <c r="K10" s="166"/>
      <c r="L10" s="10"/>
      <c r="M10" s="10"/>
      <c r="O10" s="67">
        <f>COUNTIF(F14:F18,"RAP")*0.0785</f>
        <v>7.85E-2</v>
      </c>
      <c r="P10" s="16" t="str">
        <f>R3</f>
        <v>0,72</v>
      </c>
      <c r="Q10" s="16">
        <f t="shared" si="1"/>
        <v>5.6520000000000001E-2</v>
      </c>
      <c r="R10" s="157">
        <f t="shared" si="6"/>
        <v>5.4879637364328764E-2</v>
      </c>
      <c r="S10" s="176">
        <f t="shared" si="2"/>
        <v>0.94512036263567123</v>
      </c>
      <c r="T10" s="177">
        <f>R10*PRODUCT(S5:S9)*PRODUCT(S11:S19)</f>
        <v>4.391530842646315E-2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9.364011837616296E-3</v>
      </c>
      <c r="W10" s="186" t="s">
        <v>46</v>
      </c>
      <c r="X10" s="15" t="s">
        <v>47</v>
      </c>
      <c r="Y10" s="69">
        <f>COUNTIF(J14:J18,"RAP")*0.0785</f>
        <v>7.85E-2</v>
      </c>
      <c r="Z10" s="146" t="str">
        <f>AB3</f>
        <v>0,72</v>
      </c>
      <c r="AA10" s="19">
        <f t="shared" si="3"/>
        <v>5.6520000000000001E-2</v>
      </c>
      <c r="AB10" s="157">
        <f t="shared" si="4"/>
        <v>6.6520772562822739E-2</v>
      </c>
      <c r="AC10" s="176">
        <f t="shared" si="5"/>
        <v>0.93347922743717726</v>
      </c>
      <c r="AD10" s="177">
        <f>AB10*PRODUCT(AC5:AC9)*PRODUCT(AC11:AC19)</f>
        <v>4.24607781799567E-2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1.863838900251082E-2</v>
      </c>
      <c r="BH10">
        <v>0</v>
      </c>
      <c r="BI10">
        <v>7</v>
      </c>
      <c r="BJ10" s="107">
        <f t="shared" si="0"/>
        <v>1.5280362842516663E-2</v>
      </c>
      <c r="BL10">
        <f>BH44+1</f>
        <v>6</v>
      </c>
      <c r="BM10">
        <v>6</v>
      </c>
      <c r="BN10" s="107">
        <f>$H$31*H45</f>
        <v>2.8180885116290349E-4</v>
      </c>
      <c r="BP10">
        <f>BP7+1</f>
        <v>4</v>
      </c>
      <c r="BQ10">
        <v>0</v>
      </c>
      <c r="BR10" s="107">
        <f>$H$29*H39</f>
        <v>1.6147086091618145E-4</v>
      </c>
    </row>
    <row r="11" spans="1:70" x14ac:dyDescent="0.25">
      <c r="A11" s="6" t="s">
        <v>6</v>
      </c>
      <c r="B11" s="168">
        <v>8.25</v>
      </c>
      <c r="C11" s="169">
        <v>10.25</v>
      </c>
      <c r="E11" s="192" t="s">
        <v>19</v>
      </c>
      <c r="F11" s="167" t="s">
        <v>147</v>
      </c>
      <c r="G11" s="167"/>
      <c r="H11" s="10"/>
      <c r="I11" s="10"/>
      <c r="J11" s="166" t="s">
        <v>16</v>
      </c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8.5000000000000006E-2</v>
      </c>
      <c r="P11" s="16" t="str">
        <f>R3</f>
        <v>0,72</v>
      </c>
      <c r="Q11" s="16">
        <f t="shared" si="1"/>
        <v>6.1200000000000004E-2</v>
      </c>
      <c r="R11" s="157">
        <f t="shared" si="6"/>
        <v>5.9423811158827333E-2</v>
      </c>
      <c r="S11" s="176">
        <f t="shared" si="2"/>
        <v>0.94057618884117267</v>
      </c>
      <c r="T11" s="177">
        <f>R11*PRODUCT(S5:S10)*PRODUCT(S12:S19)</f>
        <v>4.7781342318228309E-2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7.1696277464487687E-3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8.5000000000000006E-2</v>
      </c>
      <c r="Z11" s="146" t="str">
        <f>AB3</f>
        <v>0,72</v>
      </c>
      <c r="AA11" s="19">
        <f t="shared" si="3"/>
        <v>6.1200000000000004E-2</v>
      </c>
      <c r="AB11" s="157">
        <f t="shared" si="4"/>
        <v>7.2028862010699787E-2</v>
      </c>
      <c r="AC11" s="176">
        <f t="shared" si="5"/>
        <v>0.9279711379893002</v>
      </c>
      <c r="AD11" s="177">
        <f>AB11*PRODUCT(AC5:AC10)*PRODUCT(AC12:AC19)</f>
        <v>4.6249538917973877E-2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1.671160972260121E-2</v>
      </c>
      <c r="BH11">
        <v>0</v>
      </c>
      <c r="BI11">
        <v>8</v>
      </c>
      <c r="BJ11" s="107">
        <f t="shared" si="0"/>
        <v>5.7446959411979375E-3</v>
      </c>
      <c r="BL11">
        <f>BH50+1</f>
        <v>7</v>
      </c>
      <c r="BM11">
        <v>7</v>
      </c>
      <c r="BN11" s="107">
        <f>$H$32*H46</f>
        <v>1.9656501818774675E-5</v>
      </c>
      <c r="BP11">
        <f>BP8+1</f>
        <v>4</v>
      </c>
      <c r="BQ11">
        <v>1</v>
      </c>
      <c r="BR11" s="107">
        <f>$H$29*H40</f>
        <v>1.1569581799863774E-3</v>
      </c>
    </row>
    <row r="12" spans="1:70" x14ac:dyDescent="0.25">
      <c r="A12" s="6" t="s">
        <v>7</v>
      </c>
      <c r="B12" s="168">
        <v>13.75</v>
      </c>
      <c r="C12" s="169">
        <v>16.25</v>
      </c>
      <c r="E12" s="192" t="s">
        <v>19</v>
      </c>
      <c r="F12" s="167" t="s">
        <v>131</v>
      </c>
      <c r="G12" s="167"/>
      <c r="H12" s="10"/>
      <c r="I12" s="10"/>
      <c r="J12" s="166" t="s">
        <v>16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BH12">
        <v>0</v>
      </c>
      <c r="BI12">
        <v>9</v>
      </c>
      <c r="BJ12" s="107">
        <f t="shared" si="0"/>
        <v>1.5787579142093862E-3</v>
      </c>
      <c r="BL12">
        <f>BH54+1</f>
        <v>8</v>
      </c>
      <c r="BM12">
        <v>8</v>
      </c>
      <c r="BN12" s="107">
        <f>$H$33*H47</f>
        <v>7.7115585882623796E-7</v>
      </c>
      <c r="BP12">
        <f>BP9+1</f>
        <v>4</v>
      </c>
      <c r="BQ12">
        <v>2</v>
      </c>
      <c r="BR12" s="107">
        <f>$H$29*H41</f>
        <v>3.785750772602263E-3</v>
      </c>
    </row>
    <row r="13" spans="1:70" x14ac:dyDescent="0.25">
      <c r="A13" s="7" t="s">
        <v>8</v>
      </c>
      <c r="B13" s="168">
        <v>7.25</v>
      </c>
      <c r="C13" s="169">
        <v>13</v>
      </c>
      <c r="E13" s="192" t="s">
        <v>19</v>
      </c>
      <c r="F13" s="167" t="s">
        <v>16</v>
      </c>
      <c r="G13" s="167"/>
      <c r="H13" s="10"/>
      <c r="I13" s="10"/>
      <c r="J13" s="166" t="s">
        <v>21</v>
      </c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>
        <f t="shared" si="6"/>
        <v>4.8548865325839324E-2</v>
      </c>
      <c r="S13" s="176">
        <f t="shared" si="2"/>
        <v>0.95145113467416065</v>
      </c>
      <c r="T13" s="177">
        <f>R13*PRODUCT(S5:S12)*PRODUCT(S14:S19)</f>
        <v>3.8590856730562874E-2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3.8214462917868651E-3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>
        <f t="shared" si="4"/>
        <v>5.8847109485865835E-2</v>
      </c>
      <c r="AC13" s="176">
        <f t="shared" si="5"/>
        <v>0.9411528905141342</v>
      </c>
      <c r="AD13" s="177">
        <f>AB13*PRODUCT(AC5:AC12)*PRODUCT(AC14:AC19)</f>
        <v>3.7256347703384284E-2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1.1132535131522275E-2</v>
      </c>
      <c r="BH13">
        <v>0</v>
      </c>
      <c r="BI13">
        <v>10</v>
      </c>
      <c r="BJ13" s="107">
        <f t="shared" si="0"/>
        <v>3.0996709962418674E-4</v>
      </c>
      <c r="BL13">
        <f>BH57+1</f>
        <v>9</v>
      </c>
      <c r="BM13">
        <v>9</v>
      </c>
      <c r="BN13" s="107">
        <f>$H$34*H48</f>
        <v>1.6672153332143007E-8</v>
      </c>
      <c r="BP13">
        <f>BL7+1</f>
        <v>4</v>
      </c>
      <c r="BQ13">
        <v>3</v>
      </c>
      <c r="BR13" s="107">
        <f>$H$29*H42</f>
        <v>7.4824685685956748E-3</v>
      </c>
    </row>
    <row r="14" spans="1:70" x14ac:dyDescent="0.25">
      <c r="A14" s="7" t="s">
        <v>9</v>
      </c>
      <c r="B14" s="168">
        <v>5.25</v>
      </c>
      <c r="C14" s="169">
        <v>11</v>
      </c>
      <c r="E14" s="192" t="s">
        <v>20</v>
      </c>
      <c r="F14" s="167" t="s">
        <v>123</v>
      </c>
      <c r="G14" s="167"/>
      <c r="H14" s="10"/>
      <c r="I14" s="10"/>
      <c r="J14" s="166" t="s">
        <v>147</v>
      </c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COUNTIF(J6:J18,"CAB")*0.095</f>
        <v>0.19</v>
      </c>
      <c r="Z14" s="147">
        <v>0.95</v>
      </c>
      <c r="AA14" s="19">
        <f t="shared" si="3"/>
        <v>0.18049999999999999</v>
      </c>
      <c r="AB14" s="157">
        <f t="shared" si="4"/>
        <v>0.21243806524397565</v>
      </c>
      <c r="AC14" s="176">
        <f t="shared" si="5"/>
        <v>0.78756193475602432</v>
      </c>
      <c r="AD14" s="177">
        <f>AB14*PRODUCT(AC5:AC13)*PRODUCT(AC15:AC19)</f>
        <v>0.16072481820019199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4.6718969298529516E-3</v>
      </c>
      <c r="BH14">
        <v>1</v>
      </c>
      <c r="BI14">
        <v>2</v>
      </c>
      <c r="BJ14" s="107">
        <f t="shared" ref="BJ14:BJ22" si="7">$H$26*H41</f>
        <v>2.9873736959429475E-2</v>
      </c>
      <c r="BL14">
        <f>BP39+1</f>
        <v>10</v>
      </c>
      <c r="BM14">
        <v>10</v>
      </c>
      <c r="BN14" s="107">
        <f>$H$35*H49</f>
        <v>1.8913091519083617E-10</v>
      </c>
      <c r="BP14">
        <f>BP10+1</f>
        <v>5</v>
      </c>
      <c r="BQ14">
        <v>0</v>
      </c>
      <c r="BR14" s="107">
        <f>$H$30*H39</f>
        <v>3.891233842297049E-5</v>
      </c>
    </row>
    <row r="15" spans="1:70" x14ac:dyDescent="0.25">
      <c r="A15" s="189" t="s">
        <v>71</v>
      </c>
      <c r="B15" s="170">
        <v>6</v>
      </c>
      <c r="C15" s="171">
        <v>8.25</v>
      </c>
      <c r="E15" s="192" t="s">
        <v>20</v>
      </c>
      <c r="F15" s="167" t="s">
        <v>131</v>
      </c>
      <c r="G15" s="167"/>
      <c r="H15" s="10"/>
      <c r="I15" s="10"/>
      <c r="J15" s="166" t="s">
        <v>144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BH15">
        <v>1</v>
      </c>
      <c r="BI15">
        <v>3</v>
      </c>
      <c r="BJ15" s="107">
        <f t="shared" si="7"/>
        <v>5.9044905819771017E-2</v>
      </c>
      <c r="BP15">
        <f>BP11+1</f>
        <v>5</v>
      </c>
      <c r="BQ15">
        <v>1</v>
      </c>
      <c r="BR15" s="107">
        <f>$H$30*H40</f>
        <v>2.7881159476955718E-4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21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BH16">
        <v>1</v>
      </c>
      <c r="BI16">
        <v>4</v>
      </c>
      <c r="BJ16" s="107">
        <f t="shared" si="7"/>
        <v>7.8557369552662862E-2</v>
      </c>
      <c r="BP16">
        <f>BP12+1</f>
        <v>5</v>
      </c>
      <c r="BQ16">
        <v>2</v>
      </c>
      <c r="BR16" s="107">
        <f>$H$30*H41</f>
        <v>9.1231578510620707E-4</v>
      </c>
    </row>
    <row r="17" spans="1:70" x14ac:dyDescent="0.25">
      <c r="A17" s="188" t="s">
        <v>10</v>
      </c>
      <c r="B17" s="172" t="s">
        <v>11</v>
      </c>
      <c r="C17" s="173" t="s">
        <v>153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2.3303455356402873E-2</v>
      </c>
      <c r="S17" s="176">
        <f t="shared" si="2"/>
        <v>0.97669654464359712</v>
      </c>
      <c r="T17" s="177">
        <f>R17*PRODUCT(S5:S16)*PRODUCT(S18:S19)</f>
        <v>1.80448175232517E-2</v>
      </c>
      <c r="U17" s="177">
        <f>R17*R18*PRODUCT(S5:S16)*S19+R17*R19*PRODUCT(S5:S16)*S18</f>
        <v>1.3563421767976262E-3</v>
      </c>
      <c r="W17" s="186" t="s">
        <v>60</v>
      </c>
      <c r="X17" s="15" t="s">
        <v>61</v>
      </c>
      <c r="Y17" s="69">
        <f>(0.02*2)*IF(COUNTBLANK(J14:J15)&lt;&gt;0,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2.8246612553215599E-2</v>
      </c>
      <c r="AC17" s="176">
        <f t="shared" si="5"/>
        <v>0.97175338744678441</v>
      </c>
      <c r="AD17" s="177">
        <f>AB17*PRODUCT(AC5:AC16)*PRODUCT(AC18:AC19)</f>
        <v>1.7319910068047759E-2</v>
      </c>
      <c r="AE17" s="177">
        <f>AB17*AB18*PRODUCT(AC5:AC16)*AC19+AB17*AB19*PRODUCT(AC5:AC16)*AC18</f>
        <v>0</v>
      </c>
      <c r="BH17">
        <v>1</v>
      </c>
      <c r="BI17">
        <v>5</v>
      </c>
      <c r="BJ17" s="107">
        <f t="shared" si="7"/>
        <v>7.4210893025380351E-2</v>
      </c>
      <c r="BP17">
        <f>BP13+1</f>
        <v>5</v>
      </c>
      <c r="BQ17">
        <v>3</v>
      </c>
      <c r="BR17" s="107">
        <f>$H$30*H42</f>
        <v>1.8031758022989302E-3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21</v>
      </c>
      <c r="G18" s="167"/>
      <c r="H18" s="10"/>
      <c r="I18" s="10"/>
      <c r="J18" s="166" t="s">
        <v>123</v>
      </c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>
        <f t="shared" si="4"/>
        <v>0</v>
      </c>
      <c r="AC18" s="176">
        <f t="shared" si="5"/>
        <v>1</v>
      </c>
      <c r="AD18" s="177">
        <f>AB18*PRODUCT(AC5:AC17)*PRODUCT(AC19:AC19)</f>
        <v>0</v>
      </c>
      <c r="AE18" s="177">
        <f>AB18*AB19*PRODUCT(AC5:AC17)</f>
        <v>0</v>
      </c>
      <c r="BH18">
        <v>1</v>
      </c>
      <c r="BI18">
        <v>6</v>
      </c>
      <c r="BJ18" s="107">
        <f t="shared" si="7"/>
        <v>5.1157949660858217E-2</v>
      </c>
      <c r="BP18">
        <f>BL8+1</f>
        <v>5</v>
      </c>
      <c r="BQ18">
        <v>4</v>
      </c>
      <c r="BR18" s="107">
        <f>$H$30*H43</f>
        <v>2.399068063585333E-3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0.12</v>
      </c>
      <c r="P19" s="16" t="str">
        <f>P3</f>
        <v>0,6</v>
      </c>
      <c r="Q19" s="16">
        <f t="shared" si="1"/>
        <v>7.1999999999999995E-2</v>
      </c>
      <c r="R19" s="157">
        <f t="shared" si="6"/>
        <v>6.9910366069208627E-2</v>
      </c>
      <c r="S19" s="178">
        <f t="shared" si="2"/>
        <v>0.93008963393079136</v>
      </c>
      <c r="T19" s="179">
        <f>R19*PRODUCT(S5:S18)</f>
        <v>5.6847136923350354E-2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BH19">
        <v>1</v>
      </c>
      <c r="BI19">
        <v>7</v>
      </c>
      <c r="BJ19" s="107">
        <f t="shared" si="7"/>
        <v>2.6040172225190613E-2</v>
      </c>
      <c r="BP19">
        <f>BP15+1</f>
        <v>6</v>
      </c>
      <c r="BQ19">
        <v>1</v>
      </c>
      <c r="BR19" s="107">
        <f>$H$31*H40</f>
        <v>5.0291743660540391E-5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0.75629603653784749</v>
      </c>
      <c r="T20" s="181">
        <f>SUM(T5:T19)</f>
        <v>0.21717661750524439</v>
      </c>
      <c r="U20" s="181">
        <f>SUM(U5:U19)</f>
        <v>2.5010530857110868E-2</v>
      </c>
      <c r="V20" s="181">
        <f>1-S20-T20-U20</f>
        <v>1.5168150997972481E-3</v>
      </c>
      <c r="W20" s="21"/>
      <c r="X20" s="22"/>
      <c r="Y20" s="22"/>
      <c r="Z20" s="22"/>
      <c r="AA20" s="22"/>
      <c r="AB20" s="23"/>
      <c r="AC20" s="184">
        <f>PRODUCT(AC5:AC19)</f>
        <v>0.59584777633745212</v>
      </c>
      <c r="AD20" s="181">
        <f>SUM(AD5:AD19)</f>
        <v>0.33162576402800759</v>
      </c>
      <c r="AE20" s="181">
        <f>SUM(AE5:AE19)</f>
        <v>6.5714168690869129E-2</v>
      </c>
      <c r="AF20" s="181">
        <f>1-AC20-AD20-AE20</f>
        <v>6.8122909436711676E-3</v>
      </c>
      <c r="BH20">
        <v>1</v>
      </c>
      <c r="BI20">
        <v>8</v>
      </c>
      <c r="BJ20" s="107">
        <f t="shared" si="7"/>
        <v>9.7898769310578726E-3</v>
      </c>
      <c r="BP20">
        <f>BP16+1</f>
        <v>6</v>
      </c>
      <c r="BQ20">
        <v>2</v>
      </c>
      <c r="BR20" s="107">
        <f>$H$31*H41</f>
        <v>1.645625664884858E-4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0.75629603653784738</v>
      </c>
      <c r="T21" s="183">
        <f>T20*V1</f>
        <v>0.21717661750524439</v>
      </c>
      <c r="U21" s="183">
        <f>U20*V1</f>
        <v>2.5010530857110868E-2</v>
      </c>
      <c r="V21" s="183">
        <f>V20*V1</f>
        <v>1.5168150997972481E-3</v>
      </c>
      <c r="W21" s="21"/>
      <c r="X21" s="22"/>
      <c r="Y21" s="22"/>
      <c r="Z21" s="22"/>
      <c r="AA21" s="22"/>
      <c r="AB21" s="23"/>
      <c r="AC21" s="185">
        <f>1-AD21-AE21-AF21</f>
        <v>0.59584777633745212</v>
      </c>
      <c r="AD21" s="183">
        <f>AD20*V1</f>
        <v>0.33162576402800759</v>
      </c>
      <c r="AE21" s="183">
        <f>AE20*V1</f>
        <v>6.5714168690869129E-2</v>
      </c>
      <c r="AF21" s="183">
        <f>AF20*V1</f>
        <v>6.8122909436711676E-3</v>
      </c>
      <c r="BH21" s="18">
        <v>1</v>
      </c>
      <c r="BI21">
        <v>9</v>
      </c>
      <c r="BJ21" s="107">
        <f t="shared" si="7"/>
        <v>2.6904549591915423E-3</v>
      </c>
      <c r="BP21">
        <f>BP17+1</f>
        <v>6</v>
      </c>
      <c r="BQ21">
        <v>3</v>
      </c>
      <c r="BR21" s="107">
        <f>$H$31*H42</f>
        <v>3.2525496401632697E-4</v>
      </c>
    </row>
    <row r="22" spans="1:70" x14ac:dyDescent="0.25">
      <c r="A22" s="26" t="s">
        <v>77</v>
      </c>
      <c r="B22" s="62">
        <f>(B6)/((B6)+(C6))</f>
        <v>0.45205479452054798</v>
      </c>
      <c r="C22" s="63">
        <f>1-B22</f>
        <v>0.54794520547945202</v>
      </c>
      <c r="D22" s="24"/>
      <c r="E22" s="24"/>
      <c r="V22" s="59">
        <f>SUM(V25:V35)</f>
        <v>1</v>
      </c>
      <c r="AS22" s="82">
        <f>Y23+AA23+AC23+AE23+AG23+AI23+AK23+AM23+AO23+AQ23+AS23</f>
        <v>0.99999999999999989</v>
      </c>
      <c r="BH22">
        <v>1</v>
      </c>
      <c r="BI22">
        <v>10</v>
      </c>
      <c r="BJ22" s="107">
        <f t="shared" si="7"/>
        <v>5.282333110505676E-4</v>
      </c>
      <c r="BP22">
        <f>BP18+1</f>
        <v>6</v>
      </c>
      <c r="BQ22">
        <v>4</v>
      </c>
      <c r="BR22" s="107">
        <f>$H$31*H43</f>
        <v>4.327413864468037E-4</v>
      </c>
    </row>
    <row r="23" spans="1:70" ht="15.75" thickBot="1" x14ac:dyDescent="0.3">
      <c r="A23" s="40" t="s">
        <v>67</v>
      </c>
      <c r="B23" s="56">
        <f>((B22^2.8)/((B22^2.8)+(C22^2.8)))*B21</f>
        <v>1.8425185360817684</v>
      </c>
      <c r="C23" s="57">
        <f>B21-B23</f>
        <v>3.1574814639182316</v>
      </c>
      <c r="D23" s="151">
        <f>SUM(D25:D30)</f>
        <v>1</v>
      </c>
      <c r="E23" s="151">
        <f>SUM(E25:E30)</f>
        <v>0.99999999999999989</v>
      </c>
      <c r="H23" s="59">
        <f>SUM(H25:H35)</f>
        <v>0.99999999493386771</v>
      </c>
      <c r="J23" s="59">
        <f>SUM(J25:J35)</f>
        <v>0.99999999999999967</v>
      </c>
      <c r="K23" s="59"/>
      <c r="L23" s="59">
        <f>SUM(L25:L35)</f>
        <v>1</v>
      </c>
      <c r="N23" s="59">
        <f>SUM(N25:N35)</f>
        <v>0.99999999999999978</v>
      </c>
      <c r="O23" s="34"/>
      <c r="P23" s="59">
        <f>SUM(P25:P35)</f>
        <v>0.99999999999999978</v>
      </c>
      <c r="R23" s="59">
        <f>SUM(R25:R35)</f>
        <v>0.99999999999999967</v>
      </c>
      <c r="T23" s="59">
        <f>SUM(T25:T35)</f>
        <v>1</v>
      </c>
      <c r="V23" s="59">
        <f>SUM(V25:V34)</f>
        <v>0.99994577786550354</v>
      </c>
      <c r="Y23" s="80">
        <f>SUM(Y25:Y35)</f>
        <v>9.9851413032146889E-3</v>
      </c>
      <c r="Z23" s="81"/>
      <c r="AA23" s="80">
        <f>SUM(AA25:AA35)</f>
        <v>5.836770374553385E-2</v>
      </c>
      <c r="AB23" s="81"/>
      <c r="AC23" s="80">
        <f>SUM(AC25:AC35)</f>
        <v>0.15359198722372899</v>
      </c>
      <c r="AD23" s="81"/>
      <c r="AE23" s="80">
        <f>SUM(AE25:AE35)</f>
        <v>0.23963331887014094</v>
      </c>
      <c r="AF23" s="81"/>
      <c r="AG23" s="80">
        <f>SUM(AG25:AG35)</f>
        <v>0.24553750889037257</v>
      </c>
      <c r="AH23" s="81"/>
      <c r="AI23" s="80">
        <f>SUM(AI25:AI35)</f>
        <v>0.1727086211126358</v>
      </c>
      <c r="AJ23" s="81"/>
      <c r="AK23" s="80">
        <f>SUM(AK25:AK35)</f>
        <v>8.4511472235618765E-2</v>
      </c>
      <c r="AL23" s="81"/>
      <c r="AM23" s="80">
        <f>SUM(AM25:AM35)</f>
        <v>2.8444268655280477E-2</v>
      </c>
      <c r="AN23" s="81"/>
      <c r="AO23" s="80">
        <f>SUM(AO25:AO35)</f>
        <v>6.3209231162222324E-3</v>
      </c>
      <c r="AP23" s="81"/>
      <c r="AQ23" s="80">
        <f>SUM(AQ25:AQ35)</f>
        <v>8.4483271275501745E-4</v>
      </c>
      <c r="AR23" s="81"/>
      <c r="AS23" s="80">
        <f>SUM(AS25:AS35)</f>
        <v>5.4222134496462175E-5</v>
      </c>
      <c r="BH23">
        <f t="shared" ref="BH23:BH30" si="8">BH15+1</f>
        <v>2</v>
      </c>
      <c r="BI23">
        <v>3</v>
      </c>
      <c r="BJ23" s="107">
        <f t="shared" ref="BJ23:BJ30" si="9">$H$27*H42</f>
        <v>4.6566220144888738E-2</v>
      </c>
      <c r="BP23">
        <f>BL9+1</f>
        <v>6</v>
      </c>
      <c r="BQ23">
        <v>5</v>
      </c>
      <c r="BR23" s="107">
        <f>$H$31*H44</f>
        <v>4.0879837143388607E-4</v>
      </c>
    </row>
    <row r="24" spans="1:70" ht="15.75" thickBot="1" x14ac:dyDescent="0.3">
      <c r="A24" s="26" t="s">
        <v>76</v>
      </c>
      <c r="B24" s="64">
        <f>B23/B21</f>
        <v>0.36850370721635367</v>
      </c>
      <c r="C24" s="65">
        <f>C23/B21</f>
        <v>0.63149629278364627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6.1954875087086136E-2</v>
      </c>
      <c r="BP24">
        <f>BH49+1</f>
        <v>7</v>
      </c>
      <c r="BQ24">
        <v>0</v>
      </c>
      <c r="BR24" s="107">
        <f t="shared" ref="BR24:BR30" si="10">$H$32*H39</f>
        <v>9.6182059567587438E-7</v>
      </c>
    </row>
    <row r="25" spans="1:70" x14ac:dyDescent="0.25">
      <c r="A25" s="26" t="s">
        <v>69</v>
      </c>
      <c r="B25" s="117">
        <f>1/(1+EXP(-3.1416*4*((B11/(B11+C8))-(3.1416/6))))</f>
        <v>0.18844857525939171</v>
      </c>
      <c r="C25" s="118">
        <f>1/(1+EXP(-3.1416*4*((C11/(C11+B8))-(3.1416/6))))</f>
        <v>0.39027247215001415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0.27999999999999997</v>
      </c>
      <c r="G25" s="126">
        <v>0</v>
      </c>
      <c r="H25" s="127">
        <f>L25*J25</f>
        <v>0.20090528824699883</v>
      </c>
      <c r="I25" s="97">
        <v>0</v>
      </c>
      <c r="J25" s="98">
        <f t="shared" ref="J25:J35" si="11">Y25+AA25+AC25+AE25+AG25+AI25+AK25+AM25+AO25+AQ25+AS25</f>
        <v>0.2656437142877251</v>
      </c>
      <c r="K25" s="97">
        <v>0</v>
      </c>
      <c r="L25" s="98">
        <f>S21</f>
        <v>0.75629603653784738</v>
      </c>
      <c r="M25" s="84">
        <v>0</v>
      </c>
      <c r="N25" s="71">
        <f>(1-$B$24)^$B$21</f>
        <v>0.10042781798788179</v>
      </c>
      <c r="O25" s="70">
        <v>0</v>
      </c>
      <c r="P25" s="71">
        <f>N25</f>
        <v>0.10042781798788179</v>
      </c>
      <c r="Q25" s="12">
        <v>0</v>
      </c>
      <c r="R25" s="73">
        <f>P25*N25</f>
        <v>1.0085746625807114E-2</v>
      </c>
      <c r="S25" s="70">
        <v>0</v>
      </c>
      <c r="T25" s="135">
        <f>(1-$B$33)^(INT(C23*2*(1-C31)))</f>
        <v>0.99002500000000004</v>
      </c>
      <c r="U25" s="140">
        <v>0</v>
      </c>
      <c r="V25" s="86">
        <f>R25*T25</f>
        <v>9.9851413032146889E-3</v>
      </c>
      <c r="W25" s="136">
        <f>B31</f>
        <v>0.33610214008408884</v>
      </c>
      <c r="X25" s="12">
        <v>0</v>
      </c>
      <c r="Y25" s="79">
        <f>V25</f>
        <v>9.9851413032146889E-3</v>
      </c>
      <c r="Z25" s="12">
        <v>0</v>
      </c>
      <c r="AA25" s="78">
        <f>((1-W25)^Z26)*V26</f>
        <v>3.8750193604865833E-2</v>
      </c>
      <c r="AB25" s="12">
        <v>0</v>
      </c>
      <c r="AC25" s="79">
        <f>(((1-$W$25)^AB27))*V27</f>
        <v>6.7697260872161227E-2</v>
      </c>
      <c r="AD25" s="12">
        <v>0</v>
      </c>
      <c r="AE25" s="79">
        <f>(((1-$W$25)^AB28))*V28</f>
        <v>7.0121469493276051E-2</v>
      </c>
      <c r="AF25" s="12">
        <v>0</v>
      </c>
      <c r="AG25" s="79">
        <f>(((1-$W$25)^AB29))*V29</f>
        <v>4.7700498768610301E-2</v>
      </c>
      <c r="AH25" s="12">
        <v>0</v>
      </c>
      <c r="AI25" s="79">
        <f>(((1-$W$25)^AB30))*V30</f>
        <v>2.2275135795655251E-2</v>
      </c>
      <c r="AJ25" s="12">
        <v>0</v>
      </c>
      <c r="AK25" s="79">
        <f>(((1-$W$25)^AB31))*V31</f>
        <v>7.2364119074294266E-3</v>
      </c>
      <c r="AL25" s="12">
        <v>0</v>
      </c>
      <c r="AM25" s="79">
        <f>(((1-$W$25)^AB32))*V32</f>
        <v>1.6169762934665185E-3</v>
      </c>
      <c r="AN25" s="12">
        <v>0</v>
      </c>
      <c r="AO25" s="79">
        <f>(((1-$W$25)^AB33))*V33</f>
        <v>2.3855617210282224E-4</v>
      </c>
      <c r="AP25" s="12">
        <v>0</v>
      </c>
      <c r="AQ25" s="79">
        <f>(((1-$W$25)^AB34))*V34</f>
        <v>2.1168112749986395E-5</v>
      </c>
      <c r="AR25" s="12">
        <v>0</v>
      </c>
      <c r="AS25" s="79">
        <f>(((1-$W$25)^AB35))*V35</f>
        <v>9.0196419300928933E-7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5.85269928673764E-2</v>
      </c>
      <c r="BP25">
        <f>BP19+1</f>
        <v>7</v>
      </c>
      <c r="BQ25">
        <v>1</v>
      </c>
      <c r="BR25" s="107">
        <f t="shared" si="10"/>
        <v>6.8915604929127945E-6</v>
      </c>
    </row>
    <row r="26" spans="1:70" x14ac:dyDescent="0.25">
      <c r="A26" s="40" t="s">
        <v>24</v>
      </c>
      <c r="B26" s="119">
        <f>1/(1+EXP(-3.1416*4*((B10/(B10+C9))-(3.1416/6))))</f>
        <v>0.38880244932222818</v>
      </c>
      <c r="C26" s="120">
        <f>1/(1+EXP(-3.1416*4*((C10/(C10+B9))-(3.1416/6))))</f>
        <v>0.66856421738136007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0.29699999999999999</v>
      </c>
      <c r="G26" s="87">
        <v>1</v>
      </c>
      <c r="H26" s="128">
        <f>L25*J26+L26*J25</f>
        <v>0.34237461248935708</v>
      </c>
      <c r="I26" s="93">
        <v>1</v>
      </c>
      <c r="J26" s="86">
        <f t="shared" si="11"/>
        <v>0.37641742836843889</v>
      </c>
      <c r="K26" s="93">
        <v>1</v>
      </c>
      <c r="L26" s="86">
        <f>T21</f>
        <v>0.21717661750524439</v>
      </c>
      <c r="M26" s="85">
        <v>1</v>
      </c>
      <c r="N26" s="71">
        <f>(($B$24)^M26)*((1-($B$24))^($B$21-M26))*HLOOKUP($B$21,$AV$24:$BF$34,M26+1)</f>
        <v>0.29301853121775001</v>
      </c>
      <c r="O26" s="72">
        <v>1</v>
      </c>
      <c r="P26" s="71">
        <f t="shared" ref="P26:P30" si="12">N26</f>
        <v>0.29301853121775001</v>
      </c>
      <c r="Q26" s="28">
        <v>1</v>
      </c>
      <c r="R26" s="37">
        <f>N26*P25+P26*N25</f>
        <v>5.8854423440425317E-2</v>
      </c>
      <c r="S26" s="72">
        <v>1</v>
      </c>
      <c r="T26" s="135">
        <f t="shared" ref="T26:T35" si="13">(($B$33)^S26)*((1-($B$33))^(INT($C$23*2*(1-$C$31))-S26))*HLOOKUP(INT($C$23*2*(1-$C$31)),$AV$24:$BF$34,S26+1)</f>
        <v>9.9500000000000005E-3</v>
      </c>
      <c r="U26" s="93">
        <v>1</v>
      </c>
      <c r="V26" s="86">
        <f>R26*T25+T26*R25</f>
        <v>5.8367703745533857E-2</v>
      </c>
      <c r="W26" s="137"/>
      <c r="X26" s="28">
        <v>1</v>
      </c>
      <c r="Y26" s="73"/>
      <c r="Z26" s="28">
        <v>1</v>
      </c>
      <c r="AA26" s="79">
        <f>(1-((1-W25)^Z26))*V26</f>
        <v>1.961751014066802E-2</v>
      </c>
      <c r="AB26" s="28">
        <v>1</v>
      </c>
      <c r="AC26" s="79">
        <f>((($W$25)^M26)*((1-($W$25))^($U$27-M26))*HLOOKUP($U$27,$AV$24:$BF$34,M26+1))*V27</f>
        <v>6.8544261491808825E-2</v>
      </c>
      <c r="AD26" s="28">
        <v>1</v>
      </c>
      <c r="AE26" s="79">
        <f>((($W$25)^M26)*((1-($W$25))^($U$28-M26))*HLOOKUP($U$28,$AV$24:$BF$34,M26+1))*V28</f>
        <v>0.10649820123919211</v>
      </c>
      <c r="AF26" s="28">
        <v>1</v>
      </c>
      <c r="AG26" s="79">
        <f>((($W$25)^M26)*((1-($W$25))^($U$29-M26))*HLOOKUP($U$29,$AV$24:$BF$34,M26+1))*V29</f>
        <v>9.6594616052770532E-2</v>
      </c>
      <c r="AH26" s="28">
        <v>1</v>
      </c>
      <c r="AI26" s="79">
        <f>((($W$25)^M26)*((1-($W$25))^($U$30-M26))*HLOOKUP($U$30,$AV$24:$BF$34,M26+1))*V30</f>
        <v>5.6384583108399285E-2</v>
      </c>
      <c r="AJ26" s="28">
        <v>1</v>
      </c>
      <c r="AK26" s="79">
        <f>((($W$25)^M26)*((1-($W$25))^($U$31-M26))*HLOOKUP($U$31,$AV$24:$BF$34,M26+1))*V31</f>
        <v>2.1980852858224948E-2</v>
      </c>
      <c r="AL26" s="28">
        <v>1</v>
      </c>
      <c r="AM26" s="79">
        <f>((($W$25)^Q26)*((1-($W$25))^($U$32-Q26))*HLOOKUP($U$32,$AV$24:$BF$34,Q26+1))*V32</f>
        <v>5.7302253533053852E-3</v>
      </c>
      <c r="AN26" s="28">
        <v>1</v>
      </c>
      <c r="AO26" s="79">
        <f>((($W$25)^Q26)*((1-($W$25))^($U$33-Q26))*HLOOKUP($U$33,$AV$24:$BF$34,Q26+1))*V33</f>
        <v>9.6616355996908588E-4</v>
      </c>
      <c r="AP26" s="28">
        <v>1</v>
      </c>
      <c r="AQ26" s="79">
        <f>((($W$25)^Q26)*((1-($W$25))^($U$34-Q26))*HLOOKUP($U$34,$AV$24:$BF$34,Q26+1))*V34</f>
        <v>9.6448318088290959E-5</v>
      </c>
      <c r="AR26" s="28">
        <v>1</v>
      </c>
      <c r="AS26" s="79">
        <f>((($W$25)^Q26)*((1-($W$25))^($U$35-Q26))*HLOOKUP($U$35,$AV$24:$BF$34,Q26+1))*V35</f>
        <v>4.5662460124218106E-6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4.0346111370559185E-2</v>
      </c>
      <c r="BP26">
        <f>BP20+1</f>
        <v>7</v>
      </c>
      <c r="BQ26">
        <v>2</v>
      </c>
      <c r="BR26" s="107">
        <f t="shared" si="10"/>
        <v>2.2550279614071306E-5</v>
      </c>
    </row>
    <row r="27" spans="1:70" x14ac:dyDescent="0.25">
      <c r="A27" s="26" t="s">
        <v>25</v>
      </c>
      <c r="B27" s="119">
        <f>1/(1+EXP(-3.1416*4*((B12/(B12+C7))-(3.1416/6))))</f>
        <v>0.34942670436770373</v>
      </c>
      <c r="C27" s="120">
        <f>1/(1+EXP(-3.1416*4*((C12/(C12+B7))-(3.1416/6))))</f>
        <v>0.72777124897587531</v>
      </c>
      <c r="D27" s="153">
        <f>D26</f>
        <v>0.25700000000000001</v>
      </c>
      <c r="E27" s="153">
        <f>E26</f>
        <v>0.29699999999999999</v>
      </c>
      <c r="G27" s="87">
        <v>2</v>
      </c>
      <c r="H27" s="128">
        <f>L25*J27+J26*L26+J25*L27</f>
        <v>0.27001637746472407</v>
      </c>
      <c r="I27" s="93">
        <v>2</v>
      </c>
      <c r="J27" s="86">
        <f t="shared" si="11"/>
        <v>0.24014858536067998</v>
      </c>
      <c r="K27" s="93">
        <v>2</v>
      </c>
      <c r="L27" s="86">
        <f>U21</f>
        <v>2.5010530857110868E-2</v>
      </c>
      <c r="M27" s="85">
        <v>2</v>
      </c>
      <c r="N27" s="71">
        <f>(($B$24)^M27)*((1-($B$24))^($B$21-M27))*HLOOKUP($B$21,$AV$24:$BF$34,M27+1)</f>
        <v>0.34197640198602297</v>
      </c>
      <c r="O27" s="72">
        <v>2</v>
      </c>
      <c r="P27" s="71">
        <f t="shared" si="12"/>
        <v>0.34197640198602297</v>
      </c>
      <c r="Q27" s="28">
        <v>2</v>
      </c>
      <c r="R27" s="37">
        <f>P25*N27+P26*N26+P27*N25</f>
        <v>0.15454774734661358</v>
      </c>
      <c r="S27" s="72">
        <v>2</v>
      </c>
      <c r="T27" s="135">
        <f t="shared" si="13"/>
        <v>2.5000000000000001E-5</v>
      </c>
      <c r="U27" s="93">
        <v>2</v>
      </c>
      <c r="V27" s="86">
        <f>R27*T25+T26*R26+R25*T27</f>
        <v>0.15359198722372899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1.735046485975893E-2</v>
      </c>
      <c r="AD27" s="28">
        <v>2</v>
      </c>
      <c r="AE27" s="79">
        <f>((($W$25)^M27)*((1-($W$25))^($U$28-M27))*HLOOKUP($U$28,$AV$24:$BF$34,M27+1))*V28</f>
        <v>5.3915331729088731E-2</v>
      </c>
      <c r="AF27" s="28">
        <v>2</v>
      </c>
      <c r="AG27" s="79">
        <f>((($W$25)^M27)*((1-($W$25))^($U$29-M27))*HLOOKUP($U$29,$AV$24:$BF$34,M27+1))*V29</f>
        <v>7.3352376478625331E-2</v>
      </c>
      <c r="AH27" s="28">
        <v>2</v>
      </c>
      <c r="AI27" s="79">
        <f>((($W$25)^M27)*((1-($W$25))^($U$30-M27))*HLOOKUP($U$30,$AV$24:$BF$34,M27+1))*V30</f>
        <v>5.7090044100706935E-2</v>
      </c>
      <c r="AJ27" s="28">
        <v>2</v>
      </c>
      <c r="AK27" s="79">
        <f>((($W$25)^M27)*((1-($W$25))^($U$31-M27))*HLOOKUP($U$31,$AV$24:$BF$34,M27+1))*V31</f>
        <v>2.7819835446745537E-2</v>
      </c>
      <c r="AL27" s="28">
        <v>2</v>
      </c>
      <c r="AM27" s="79">
        <f>((($W$25)^Q27)*((1-($W$25))^($U$32-Q27))*HLOOKUP($U$32,$AV$24:$BF$34,Q27+1))*V32</f>
        <v>8.7028794067237208E-3</v>
      </c>
      <c r="AN27" s="28">
        <v>2</v>
      </c>
      <c r="AO27" s="79">
        <f>((($W$25)^Q27)*((1-($W$25))^($U$33-Q27))*HLOOKUP($U$33,$AV$24:$BF$34,Q27+1))*V33</f>
        <v>1.7119406602139158E-3</v>
      </c>
      <c r="AP27" s="28">
        <v>2</v>
      </c>
      <c r="AQ27" s="79">
        <f>((($W$25)^Q27)*((1-($W$25))^($U$34-Q27))*HLOOKUP($U$34,$AV$24:$BF$34,Q27+1))*V34</f>
        <v>1.9531008050600662E-4</v>
      </c>
      <c r="AR27" s="28">
        <v>2</v>
      </c>
      <c r="AS27" s="79">
        <f>((($W$25)^Q27)*((1-($W$25))^($U$35-Q27))*HLOOKUP($U$35,$AV$24:$BF$34,Q27+1))*V35</f>
        <v>1.0402598310889383E-5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2.0536782565973882E-2</v>
      </c>
      <c r="BP27">
        <f>BP21+1</f>
        <v>7</v>
      </c>
      <c r="BQ27">
        <v>3</v>
      </c>
      <c r="BR27" s="107">
        <f t="shared" si="10"/>
        <v>4.457022359909575E-5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0.13068681739958132</v>
      </c>
      <c r="I28" s="93">
        <v>3</v>
      </c>
      <c r="J28" s="86">
        <f t="shared" si="11"/>
        <v>9.0857051350525866E-2</v>
      </c>
      <c r="K28" s="93">
        <v>3</v>
      </c>
      <c r="L28" s="86">
        <f>V21</f>
        <v>1.5168150997972481E-3</v>
      </c>
      <c r="M28" s="85">
        <v>3</v>
      </c>
      <c r="N28" s="71">
        <f>(($B$24)^M28)*((1-($B$24))^($B$21-M28))*HLOOKUP($B$21,$AV$24:$BF$34,M28+1)</f>
        <v>0.19955710485149969</v>
      </c>
      <c r="O28" s="72">
        <v>3</v>
      </c>
      <c r="P28" s="71">
        <f t="shared" si="12"/>
        <v>0.19955710485149969</v>
      </c>
      <c r="Q28" s="28">
        <v>3</v>
      </c>
      <c r="R28" s="37">
        <f>P25*N28+P26*N27+P27*N26+P28*N25</f>
        <v>0.2404930152505807</v>
      </c>
      <c r="S28" s="72">
        <v>3</v>
      </c>
      <c r="T28" s="135">
        <f t="shared" si="13"/>
        <v>0</v>
      </c>
      <c r="U28" s="93">
        <v>3</v>
      </c>
      <c r="V28" s="86">
        <f>R28*T25+R27*T26+R26*T27+R25*T28</f>
        <v>0.23963331887014097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9.0983164085840472E-3</v>
      </c>
      <c r="AF28" s="28">
        <v>3</v>
      </c>
      <c r="AG28" s="79">
        <f>((($W$25)^M28)*((1-($W$25))^($U$29-M28))*HLOOKUP($U$29,$AV$24:$BF$34,M28+1))*V29</f>
        <v>2.4756710535605988E-2</v>
      </c>
      <c r="AH28" s="28">
        <v>3</v>
      </c>
      <c r="AI28" s="79">
        <f>((($W$25)^M28)*((1-($W$25))^($U$30-M28))*HLOOKUP($U$30,$AV$24:$BF$34,M28+1))*V30</f>
        <v>2.8902165767145212E-2</v>
      </c>
      <c r="AJ28" s="28">
        <v>3</v>
      </c>
      <c r="AK28" s="79">
        <f>((($W$25)^M28)*((1-($W$25))^($U$31-M28))*HLOOKUP($U$31,$AV$24:$BF$34,M28+1))*V31</f>
        <v>1.8778603948952172E-2</v>
      </c>
      <c r="AL28" s="28">
        <v>3</v>
      </c>
      <c r="AM28" s="79">
        <f>((($W$25)^Q28)*((1-($W$25))^($U$32-Q28))*HLOOKUP($U$32,$AV$24:$BF$34,Q28+1))*V32</f>
        <v>7.3431385812472065E-3</v>
      </c>
      <c r="AN28" s="28">
        <v>3</v>
      </c>
      <c r="AO28" s="79">
        <f>((($W$25)^Q28)*((1-($W$25))^($U$33-Q28))*HLOOKUP($U$33,$AV$24:$BF$34,Q28+1))*V33</f>
        <v>1.7333597661174664E-3</v>
      </c>
      <c r="AP28" s="28">
        <v>3</v>
      </c>
      <c r="AQ28" s="79">
        <f>((($W$25)^Q28)*((1-($W$25))^($U$34-Q28))*HLOOKUP($U$34,$AV$24:$BF$34,Q28+1))*V34</f>
        <v>2.3071267434855749E-4</v>
      </c>
      <c r="AR28" s="28">
        <v>3</v>
      </c>
      <c r="AS28" s="79">
        <f>((($W$25)^Q28)*((1-($W$25))^($U$35-Q28))*HLOOKUP($U$35,$AV$24:$BF$34,Q28+1))*V35</f>
        <v>1.4043668525227231E-5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7.7208619106706976E-3</v>
      </c>
      <c r="BP28">
        <f>BP22+1</f>
        <v>7</v>
      </c>
      <c r="BQ28">
        <v>4</v>
      </c>
      <c r="BR28" s="107">
        <f t="shared" si="10"/>
        <v>5.9299265156022548E-5</v>
      </c>
    </row>
    <row r="29" spans="1:70" x14ac:dyDescent="0.25">
      <c r="A29" s="26" t="s">
        <v>27</v>
      </c>
      <c r="B29" s="123">
        <f>1/(1+EXP(-3.1416*4*((B14/(B14+C13))-(3.1416/6))))</f>
        <v>4.9042819161106435E-2</v>
      </c>
      <c r="C29" s="118">
        <f>1/(1+EXP(-3.1416*4*((C14/(C14+B13))-(3.1416/6))))</f>
        <v>0.72997612619005658</v>
      </c>
      <c r="D29" s="153">
        <v>0.04</v>
      </c>
      <c r="E29" s="153">
        <v>0.04</v>
      </c>
      <c r="G29" s="87">
        <v>4</v>
      </c>
      <c r="H29" s="128">
        <f>J29*L25+J28*L26+J27*L27+J26*L28</f>
        <v>4.338743945932292E-2</v>
      </c>
      <c r="I29" s="93">
        <v>4</v>
      </c>
      <c r="J29" s="86">
        <f t="shared" si="11"/>
        <v>2.2581386523013811E-2</v>
      </c>
      <c r="K29" s="93">
        <v>4</v>
      </c>
      <c r="L29" s="86"/>
      <c r="M29" s="85">
        <v>4</v>
      </c>
      <c r="N29" s="71">
        <f>(($B$24)^M29)*((1-($B$24))^($B$21-M29))*HLOOKUP($B$21,$AV$24:$BF$34,M29+1)</f>
        <v>5.8224833446753547E-2</v>
      </c>
      <c r="O29" s="72">
        <v>4</v>
      </c>
      <c r="P29" s="71">
        <f t="shared" si="12"/>
        <v>5.8224833446753547E-2</v>
      </c>
      <c r="Q29" s="28">
        <v>4</v>
      </c>
      <c r="R29" s="37">
        <f>P25*N29+P26*N28+P27*N27+P28*N26+P29*N25</f>
        <v>0.24559050498214252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0.2455375088903726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3.1333070547604211E-3</v>
      </c>
      <c r="AH29" s="28">
        <v>4</v>
      </c>
      <c r="AI29" s="79">
        <f>((($W$25)^M29)*((1-($W$25))^($U$30-M29))*HLOOKUP($U$30,$AV$24:$BF$34,M29+1))*V30</f>
        <v>7.3159444802495489E-3</v>
      </c>
      <c r="AJ29" s="28">
        <v>4</v>
      </c>
      <c r="AK29" s="79">
        <f>((($W$25)^M29)*((1-($W$25))^($U$31-M29))*HLOOKUP($U$31,$AV$24:$BF$34,M29+1))*V31</f>
        <v>7.130082829119708E-3</v>
      </c>
      <c r="AL29" s="28">
        <v>4</v>
      </c>
      <c r="AM29" s="79">
        <f>((($W$25)^Q29)*((1-($W$25))^($U$32-Q29))*HLOOKUP($U$32,$AV$24:$BF$34,Q29+1))*V32</f>
        <v>3.7175064736672397E-3</v>
      </c>
      <c r="AN29" s="28">
        <v>4</v>
      </c>
      <c r="AO29" s="79">
        <f>((($W$25)^Q29)*((1-($W$25))^($U$33-Q29))*HLOOKUP($U$33,$AV$24:$BF$34,Q29+1))*V33</f>
        <v>1.0969042869815964E-3</v>
      </c>
      <c r="AP29" s="28">
        <v>4</v>
      </c>
      <c r="AQ29" s="79">
        <f>((($W$25)^Q29)*((1-($W$25))^($U$34-Q29))*HLOOKUP($U$34,$AV$24:$BF$34,Q29+1))*V34</f>
        <v>1.7519944318594848E-4</v>
      </c>
      <c r="AR29" s="28">
        <v>4</v>
      </c>
      <c r="AS29" s="79">
        <f>((($W$25)^Q29)*((1-($W$25))^($U$35-Q29))*HLOOKUP($U$35,$AV$24:$BF$34,Q29+1))*V35</f>
        <v>1.2441955049345972E-5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2.1218480439623277E-3</v>
      </c>
      <c r="BP29">
        <f>BP23+1</f>
        <v>7</v>
      </c>
      <c r="BQ29">
        <v>5</v>
      </c>
      <c r="BR29" s="107">
        <f t="shared" si="10"/>
        <v>5.6018314361037369E-5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1.0455798141955203E-2</v>
      </c>
      <c r="I30" s="93">
        <v>5</v>
      </c>
      <c r="J30" s="86">
        <f t="shared" si="11"/>
        <v>3.8543173183801494E-3</v>
      </c>
      <c r="K30" s="93">
        <v>5</v>
      </c>
      <c r="L30" s="86"/>
      <c r="M30" s="85">
        <v>5</v>
      </c>
      <c r="N30" s="71">
        <f>(($B$24)^M30)*((1-($B$24))^($B$21-M30))*HLOOKUP($B$21,$AV$24:$BF$34,M30+1)</f>
        <v>6.7953105100917455E-3</v>
      </c>
      <c r="O30" s="72">
        <v>5</v>
      </c>
      <c r="P30" s="71">
        <f t="shared" si="12"/>
        <v>6.7953105100917455E-3</v>
      </c>
      <c r="Q30" s="28">
        <v>5</v>
      </c>
      <c r="R30" s="37">
        <f>P25*N30+P26*N29+P27*N28+P28*N27+P29*N26+P30*N25</f>
        <v>0.17197442818381575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0.1727086211126358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7.4074786047953034E-4</v>
      </c>
      <c r="AJ30" s="28">
        <v>5</v>
      </c>
      <c r="AK30" s="79">
        <f>((($W$25)^M30)*((1-($W$25))^($U$31-M30))*HLOOKUP($U$31,$AV$24:$BF$34,M30+1))*V31</f>
        <v>1.4438583056420634E-3</v>
      </c>
      <c r="AL30" s="28">
        <v>5</v>
      </c>
      <c r="AM30" s="79">
        <f>((($W$25)^Q30)*((1-($W$25))^($U$32-Q30))*HLOOKUP($U$32,$AV$24:$BF$34,Q30+1))*V32</f>
        <v>1.129205521223644E-3</v>
      </c>
      <c r="AN30" s="28">
        <v>5</v>
      </c>
      <c r="AO30" s="79">
        <f>((($W$25)^Q30)*((1-($W$25))^($U$33-Q30))*HLOOKUP($U$33,$AV$24:$BF$34,Q30+1))*V33</f>
        <v>4.4425132307987465E-4</v>
      </c>
      <c r="AP30" s="28">
        <v>5</v>
      </c>
      <c r="AQ30" s="79">
        <f>((($W$25)^Q30)*((1-($W$25))^($U$34-Q30))*HLOOKUP($U$34,$AV$24:$BF$34,Q30+1))*V34</f>
        <v>8.8695733713912479E-5</v>
      </c>
      <c r="AR30" s="28">
        <v>5</v>
      </c>
      <c r="AS30" s="79">
        <f>((($W$25)^Q30)*((1-($W$25))^($U$35-Q30))*HLOOKUP($U$35,$AV$24:$BF$34,Q30+1))*V35</f>
        <v>7.5585742411247569E-6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4.1659527284753002E-4</v>
      </c>
      <c r="BP30">
        <f>BL10+1</f>
        <v>7</v>
      </c>
      <c r="BQ30">
        <v>6</v>
      </c>
      <c r="BR30" s="107">
        <f t="shared" si="10"/>
        <v>3.8616731174330084E-5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0.33610214008408884</v>
      </c>
      <c r="C31" s="61">
        <f>(C25*E25)+(C26*E26)+(C27*E27)+(C28*E28)+(C29*E29)+(C30*E30)/(C25+C26+C27+C28+C29+C30)</f>
        <v>0.62972902780648887</v>
      </c>
      <c r="G31" s="87">
        <v>6</v>
      </c>
      <c r="H31" s="128">
        <f>J31*L25+J30*L26+J29*L27+J28*L28</f>
        <v>1.8860059258158975E-3</v>
      </c>
      <c r="I31" s="93">
        <v>6</v>
      </c>
      <c r="J31" s="86">
        <f t="shared" si="11"/>
        <v>4.5795891984575323E-4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8.3628380003096137E-2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8.4511472235618779E-2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1.218269395049086E-4</v>
      </c>
      <c r="AL31" s="28">
        <v>6</v>
      </c>
      <c r="AM31" s="79">
        <f>((($W$25)^Q31)*((1-($W$25))^($U$32-Q31))*HLOOKUP($U$32,$AV$24:$BF$34,Q31+1))*V32</f>
        <v>1.905556136431923E-4</v>
      </c>
      <c r="AN31" s="28">
        <v>6</v>
      </c>
      <c r="AO31" s="79">
        <f>((($W$25)^Q31)*((1-($W$25))^($U$33-Q31))*HLOOKUP($U$33,$AV$24:$BF$34,Q31+1))*V33</f>
        <v>1.1245240377883265E-4</v>
      </c>
      <c r="AP31" s="28">
        <v>6</v>
      </c>
      <c r="AQ31" s="79">
        <f>((($W$25)^Q31)*((1-($W$25))^($U$34-Q31))*HLOOKUP($U$34,$AV$24:$BF$34,Q31+1))*V34</f>
        <v>2.9935152897716593E-5</v>
      </c>
      <c r="AR31" s="28">
        <v>6</v>
      </c>
      <c r="AS31" s="79">
        <f>((($W$25)^Q31)*((1-($W$25))^($U$35-Q31))*HLOOKUP($U$35,$AV$24:$BF$34,Q31+1))*V35</f>
        <v>3.1888100211030844E-6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2.9985905016363966E-2</v>
      </c>
      <c r="BP31">
        <f t="shared" ref="BP31:BP37" si="17">BP24+1</f>
        <v>8</v>
      </c>
      <c r="BQ31">
        <v>0</v>
      </c>
      <c r="BR31" s="107">
        <f t="shared" ref="BR31:BR38" si="18">$H$33*H39</f>
        <v>1.0036831287514357E-7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2.5844249933911715E-4</v>
      </c>
      <c r="I32" s="93">
        <v>7</v>
      </c>
      <c r="J32" s="86">
        <f t="shared" si="11"/>
        <v>3.7464456409767584E-5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2.7886030063427769E-2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2.8444268655280481E-2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1.3781412003567145E-5</v>
      </c>
      <c r="AN32" s="28">
        <v>7</v>
      </c>
      <c r="AO32" s="79">
        <f>((($W$25)^Q32)*((1-($W$25))^($U$33-Q32))*HLOOKUP($U$33,$AV$24:$BF$34,Q32+1))*V33</f>
        <v>1.6265623222934107E-5</v>
      </c>
      <c r="AP32" s="28">
        <v>7</v>
      </c>
      <c r="AQ32" s="79">
        <f>((($W$25)^Q32)*((1-($W$25))^($U$34-Q32))*HLOOKUP($U$34,$AV$24:$BF$34,Q32+1))*V34</f>
        <v>6.4949334357426494E-6</v>
      </c>
      <c r="AR32" s="28">
        <v>7</v>
      </c>
      <c r="AS32" s="79">
        <f>((($W$25)^Q32)*((1-($W$25))^($U$35-Q32))*HLOOKUP($U$35,$AV$24:$BF$34,Q32+1))*V35</f>
        <v>9.2248774752367958E-7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2.8326824104603333E-2</v>
      </c>
      <c r="BP32">
        <f t="shared" si="17"/>
        <v>8</v>
      </c>
      <c r="BQ32">
        <v>1</v>
      </c>
      <c r="BR32" s="107">
        <f t="shared" si="18"/>
        <v>7.1915105879448784E-7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2.6969101878791514E-5</v>
      </c>
      <c r="I33" s="93">
        <v>8</v>
      </c>
      <c r="J33" s="86">
        <f t="shared" si="11"/>
        <v>2.0264757198002247E-6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6.1022362138239434E-3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6.3209231162222332E-3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1.0293207557036788E-6</v>
      </c>
      <c r="AP33" s="28">
        <v>8</v>
      </c>
      <c r="AQ33" s="79">
        <f>((($W$25)^Q33)*((1-($W$25))^($U$34-Q33))*HLOOKUP($U$34,$AV$24:$BF$34,Q33+1))*V34</f>
        <v>8.2202442546406924E-7</v>
      </c>
      <c r="AR33" s="28">
        <v>8</v>
      </c>
      <c r="AS33" s="79">
        <f>((($W$25)^Q33)*((1-($W$25))^($U$35-Q33))*HLOOKUP($U$35,$AV$24:$BF$34,Q33+1))*V35</f>
        <v>1.7513053863247691E-7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1.9527352151653413E-2</v>
      </c>
      <c r="BP33">
        <f t="shared" si="17"/>
        <v>8</v>
      </c>
      <c r="BQ33">
        <v>2</v>
      </c>
      <c r="BR33" s="107">
        <f t="shared" si="18"/>
        <v>2.353176392668769E-6</v>
      </c>
    </row>
    <row r="34" spans="1:70" x14ac:dyDescent="0.25">
      <c r="A34" s="40" t="s">
        <v>86</v>
      </c>
      <c r="B34" s="56">
        <f>B23*2</f>
        <v>3.6850370721635368</v>
      </c>
      <c r="C34" s="57">
        <f>C23*2</f>
        <v>6.3149629278364632</v>
      </c>
      <c r="G34" s="87">
        <v>9</v>
      </c>
      <c r="H34" s="128">
        <f>J34*L25+J33*L26+J32*L27+J31*L28</f>
        <v>2.1216196230881506E-6</v>
      </c>
      <c r="I34" s="93">
        <v>9</v>
      </c>
      <c r="J34" s="86">
        <f t="shared" si="11"/>
        <v>6.5941814588212815E-8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7.9131164533813151E-4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8.4483271275501766E-4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4.6239403391704001E-8</v>
      </c>
      <c r="AR34" s="28">
        <v>9</v>
      </c>
      <c r="AS34" s="79">
        <f>((($W$25)^Q34)*((1-($W$25))^($U$35-Q34))*HLOOKUP($U$35,$AV$24:$BF$34,Q34+1))*V35</f>
        <v>1.9702411196508813E-8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9.9397183918037233E-3</v>
      </c>
      <c r="BP34">
        <f t="shared" si="17"/>
        <v>8</v>
      </c>
      <c r="BQ34">
        <v>3</v>
      </c>
      <c r="BR34" s="107">
        <f t="shared" si="18"/>
        <v>4.6510109756650104E-6</v>
      </c>
    </row>
    <row r="35" spans="1:70" ht="15.75" thickBot="1" x14ac:dyDescent="0.3">
      <c r="G35" s="88">
        <v>10</v>
      </c>
      <c r="H35" s="129">
        <f>J35*L25+J34*L26+J33*L27+J32*L28</f>
        <v>1.2258527140107062E-7</v>
      </c>
      <c r="I35" s="94">
        <v>10</v>
      </c>
      <c r="J35" s="89">
        <f t="shared" si="11"/>
        <v>9.9744598797201518E-10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4.6176244928563338E-5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5.4222134496462182E-5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9.9744598797201518E-10</v>
      </c>
      <c r="BH35">
        <f t="shared" si="15"/>
        <v>3</v>
      </c>
      <c r="BI35">
        <v>8</v>
      </c>
      <c r="BJ35" s="107">
        <f t="shared" si="16"/>
        <v>3.7368654455747796E-3</v>
      </c>
      <c r="BP35">
        <f t="shared" si="17"/>
        <v>8</v>
      </c>
      <c r="BQ35">
        <v>4</v>
      </c>
      <c r="BR35" s="107">
        <f t="shared" si="18"/>
        <v>6.1880221999856902E-6</v>
      </c>
    </row>
    <row r="36" spans="1:70" x14ac:dyDescent="0.25">
      <c r="A36" s="1"/>
      <c r="B36" s="108">
        <f>SUM(B37:B39)</f>
        <v>0.99977449085769565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1.0000000000000002</v>
      </c>
      <c r="BH36">
        <f t="shared" si="15"/>
        <v>3</v>
      </c>
      <c r="BI36">
        <v>9</v>
      </c>
      <c r="BJ36" s="107">
        <f t="shared" si="16"/>
        <v>1.0269657362068369E-3</v>
      </c>
      <c r="BP36">
        <f t="shared" si="17"/>
        <v>8</v>
      </c>
      <c r="BQ36">
        <v>5</v>
      </c>
      <c r="BR36" s="107">
        <f t="shared" si="18"/>
        <v>5.845647023783915E-6</v>
      </c>
    </row>
    <row r="37" spans="1:70" ht="15.75" thickBot="1" x14ac:dyDescent="0.3">
      <c r="A37" s="109" t="s">
        <v>104</v>
      </c>
      <c r="B37" s="107">
        <f>SUM(BN4:BN14)</f>
        <v>6.8499145102741674E-2</v>
      </c>
      <c r="G37" s="13"/>
      <c r="H37" s="59">
        <f>SUM(H39:H49)</f>
        <v>0.99977461829119818</v>
      </c>
      <c r="I37" s="13"/>
      <c r="J37" s="59">
        <f>SUM(J39:J49)</f>
        <v>1.0000000000000002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1.0000000000000002</v>
      </c>
      <c r="S37" s="13"/>
      <c r="T37" s="59">
        <f>SUM(T39:T49)</f>
        <v>1</v>
      </c>
      <c r="U37" s="13"/>
      <c r="V37" s="59">
        <f>SUM(V39:V48)</f>
        <v>0.98932331680669117</v>
      </c>
      <c r="W37" s="13"/>
      <c r="X37" s="13"/>
      <c r="Y37" s="80">
        <f>SUM(Y39:Y49)</f>
        <v>4.5715636885401004E-5</v>
      </c>
      <c r="Z37" s="81"/>
      <c r="AA37" s="80">
        <f>SUM(AA39:AA49)</f>
        <v>7.8387776531292435E-4</v>
      </c>
      <c r="AB37" s="81"/>
      <c r="AC37" s="80">
        <f>SUM(AC39:AC49)</f>
        <v>6.0492411128682975E-3</v>
      </c>
      <c r="AD37" s="81"/>
      <c r="AE37" s="80">
        <f>SUM(AE39:AE49)</f>
        <v>2.7668603946663803E-2</v>
      </c>
      <c r="AF37" s="81"/>
      <c r="AG37" s="80">
        <f>SUM(AG39:AG49)</f>
        <v>8.3071805467601789E-2</v>
      </c>
      <c r="AH37" s="81"/>
      <c r="AI37" s="80">
        <f>SUM(AI39:AI49)</f>
        <v>0.17109178279446477</v>
      </c>
      <c r="AJ37" s="81"/>
      <c r="AK37" s="80">
        <f>SUM(AK39:AK49)</f>
        <v>0.24485397596487488</v>
      </c>
      <c r="AL37" s="81"/>
      <c r="AM37" s="80">
        <f>SUM(AM39:AM49)</f>
        <v>0.24054202230873323</v>
      </c>
      <c r="AN37" s="81"/>
      <c r="AO37" s="80">
        <f>SUM(AO39:AO49)</f>
        <v>0.155405178831199</v>
      </c>
      <c r="AP37" s="81"/>
      <c r="AQ37" s="80">
        <f>SUM(AQ39:AQ49)</f>
        <v>5.9811112978087166E-2</v>
      </c>
      <c r="AR37" s="81"/>
      <c r="AS37" s="80">
        <f>SUM(AS39:AS49)</f>
        <v>1.0676683193308835E-2</v>
      </c>
      <c r="BH37">
        <f t="shared" si="15"/>
        <v>3</v>
      </c>
      <c r="BI37">
        <v>10</v>
      </c>
      <c r="BJ37" s="107">
        <f t="shared" si="16"/>
        <v>2.0163040058289284E-4</v>
      </c>
      <c r="BP37">
        <f t="shared" si="17"/>
        <v>8</v>
      </c>
      <c r="BQ37">
        <v>6</v>
      </c>
      <c r="BR37" s="107">
        <f t="shared" si="18"/>
        <v>4.0297495958660236E-6</v>
      </c>
    </row>
    <row r="38" spans="1:70" ht="15.75" thickBot="1" x14ac:dyDescent="0.3">
      <c r="A38" s="110" t="s">
        <v>105</v>
      </c>
      <c r="B38" s="107">
        <f>SUM(BJ4:BJ59)</f>
        <v>0.88676431137438261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9.4043790366059032E-3</v>
      </c>
      <c r="BP38">
        <f>BL11+1</f>
        <v>8</v>
      </c>
      <c r="BQ38">
        <v>7</v>
      </c>
      <c r="BR38" s="107">
        <f t="shared" si="18"/>
        <v>2.0512036584028953E-6</v>
      </c>
    </row>
    <row r="39" spans="1:70" x14ac:dyDescent="0.25">
      <c r="A39" s="111" t="s">
        <v>0</v>
      </c>
      <c r="B39" s="107">
        <f>SUM(BR4:BR47)</f>
        <v>4.4511034380571399E-2</v>
      </c>
      <c r="G39" s="130">
        <v>0</v>
      </c>
      <c r="H39" s="131">
        <f>L39*J39</f>
        <v>3.7216038311632896E-3</v>
      </c>
      <c r="I39" s="97">
        <v>0</v>
      </c>
      <c r="J39" s="98">
        <f t="shared" ref="J39:J49" si="33">Y39+AA39+AC39+AE39+AG39+AI39+AK39+AM39+AO39+AQ39+AS39</f>
        <v>6.2458969873802105E-3</v>
      </c>
      <c r="K39" s="102">
        <v>0</v>
      </c>
      <c r="L39" s="98">
        <f>AC21</f>
        <v>0.59584777633745212</v>
      </c>
      <c r="M39" s="84">
        <v>0</v>
      </c>
      <c r="N39" s="71">
        <f>(1-$C$24)^$B$21</f>
        <v>6.7953105100917515E-3</v>
      </c>
      <c r="O39" s="70">
        <v>0</v>
      </c>
      <c r="P39" s="71">
        <f>N39</f>
        <v>6.7953105100917515E-3</v>
      </c>
      <c r="Q39" s="12">
        <v>0</v>
      </c>
      <c r="R39" s="73">
        <f>P39*N39</f>
        <v>4.617624492856342E-5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4.5715636885401004E-5</v>
      </c>
      <c r="W39" s="136">
        <f>C31</f>
        <v>0.62972902780648887</v>
      </c>
      <c r="X39" s="12">
        <v>0</v>
      </c>
      <c r="Y39" s="79">
        <f>V39</f>
        <v>4.5715636885401004E-5</v>
      </c>
      <c r="Z39" s="12">
        <v>0</v>
      </c>
      <c r="AA39" s="78">
        <f>((1-W39)^Z40)*V40</f>
        <v>2.9024718224329347E-4</v>
      </c>
      <c r="AB39" s="12">
        <v>0</v>
      </c>
      <c r="AC39" s="79">
        <f>(((1-$W$39)^AB41))*V41</f>
        <v>8.2935454286156183E-4</v>
      </c>
      <c r="AD39" s="12">
        <v>0</v>
      </c>
      <c r="AE39" s="79">
        <f>(((1-$W$39)^AB42))*V42</f>
        <v>1.4045792426688277E-3</v>
      </c>
      <c r="AF39" s="12">
        <v>0</v>
      </c>
      <c r="AG39" s="79">
        <f>(((1-$W$39)^AB43))*V43</f>
        <v>1.5614652191272859E-3</v>
      </c>
      <c r="AH39" s="12">
        <v>0</v>
      </c>
      <c r="AI39" s="79">
        <f>(((1-$W$39)^AB44))*V44</f>
        <v>1.1907689006431881E-3</v>
      </c>
      <c r="AJ39" s="12">
        <v>0</v>
      </c>
      <c r="AK39" s="79">
        <f>(((1-$W$39)^AB45))*V45</f>
        <v>6.3099389711506533E-4</v>
      </c>
      <c r="AL39" s="12">
        <v>0</v>
      </c>
      <c r="AM39" s="79">
        <f>(((1-$W$39)^AB46))*V46</f>
        <v>2.2952427411030284E-4</v>
      </c>
      <c r="AN39" s="12">
        <v>0</v>
      </c>
      <c r="AO39" s="79">
        <f>(((1-$W$39)^AB47))*V47</f>
        <v>5.4906380892834552E-5</v>
      </c>
      <c r="AP39" s="12">
        <v>0</v>
      </c>
      <c r="AQ39" s="79">
        <f>(((1-$W$39)^AB48))*V48</f>
        <v>7.8245411948859807E-6</v>
      </c>
      <c r="AR39" s="12">
        <v>0</v>
      </c>
      <c r="AS39" s="79">
        <f>(((1-$W$39)^AB49))*V49</f>
        <v>5.171696375643775E-7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6.4829936648488308E-3</v>
      </c>
      <c r="BP39">
        <f t="shared" ref="BP39:BP46" si="34">BP31+1</f>
        <v>9</v>
      </c>
      <c r="BQ39">
        <v>0</v>
      </c>
      <c r="BR39" s="107">
        <f t="shared" ref="BR39:BR47" si="35">$H$34*H39</f>
        <v>7.8958277175560761E-9</v>
      </c>
    </row>
    <row r="40" spans="1:70" x14ac:dyDescent="0.25">
      <c r="G40" s="91">
        <v>1</v>
      </c>
      <c r="H40" s="132">
        <f>L39*J40+L40*J39</f>
        <v>2.6665740002266364E-2</v>
      </c>
      <c r="I40" s="93">
        <v>1</v>
      </c>
      <c r="J40" s="86">
        <f t="shared" si="33"/>
        <v>4.1276380677230842E-2</v>
      </c>
      <c r="K40" s="95">
        <v>1</v>
      </c>
      <c r="L40" s="86">
        <f>AD21</f>
        <v>0.33162576402800759</v>
      </c>
      <c r="M40" s="85">
        <v>1</v>
      </c>
      <c r="N40" s="71">
        <f>(($C$24)^M26)*((1-($C$24))^($B$21-M26))*HLOOKUP($B$21,$AV$24:$BF$34,M26+1)</f>
        <v>5.8224833446753596E-2</v>
      </c>
      <c r="O40" s="72">
        <v>1</v>
      </c>
      <c r="P40" s="71">
        <f t="shared" ref="P40:P44" si="36">N40</f>
        <v>5.8224833446753596E-2</v>
      </c>
      <c r="Q40" s="28">
        <v>1</v>
      </c>
      <c r="R40" s="37">
        <f>P40*N39+P39*N40</f>
        <v>7.9131164533813292E-4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7.8387776531292435E-4</v>
      </c>
      <c r="W40" s="137"/>
      <c r="X40" s="28">
        <v>1</v>
      </c>
      <c r="Y40" s="73"/>
      <c r="Z40" s="28">
        <v>1</v>
      </c>
      <c r="AA40" s="79">
        <f>(1-((1-W39)^Z40))*V40</f>
        <v>4.9363058306963088E-4</v>
      </c>
      <c r="AB40" s="28">
        <v>1</v>
      </c>
      <c r="AC40" s="79">
        <f>((($W$39)^M40)*((1-($W$39))^($U$27-M40))*HLOOKUP($U$27,$AV$24:$BF$34,M40+1))*V41</f>
        <v>2.8210076900662797E-3</v>
      </c>
      <c r="AD40" s="28">
        <v>1</v>
      </c>
      <c r="AE40" s="79">
        <f>((($W$39)^M40)*((1-($W$39))^($U$28-M40))*HLOOKUP($U$28,$AV$24:$BF$34,M40+1))*V42</f>
        <v>7.1664082851794981E-3</v>
      </c>
      <c r="AF40" s="28">
        <v>1</v>
      </c>
      <c r="AG40" s="79">
        <f>((($W$39)^M40)*((1-($W$39))^($U$29-M40))*HLOOKUP($U$29,$AV$24:$BF$34,M40+1))*V43</f>
        <v>1.0622490535183292E-2</v>
      </c>
      <c r="AH40" s="28">
        <v>1</v>
      </c>
      <c r="AI40" s="79">
        <f>((($W$39)^M40)*((1-($W$39))^($U$30-M40))*HLOOKUP($U$30,$AV$24:$BF$34,M40+1))*V44</f>
        <v>1.0125851045006349E-2</v>
      </c>
      <c r="AJ40" s="28">
        <v>1</v>
      </c>
      <c r="AK40" s="79">
        <f>((($W$39)^M40)*((1-($W$39))^($U$31-M40))*HLOOKUP($U$31,$AV$24:$BF$34,M40+1))*V45</f>
        <v>6.4388818442040639E-3</v>
      </c>
      <c r="AL40" s="28">
        <v>1</v>
      </c>
      <c r="AM40" s="79">
        <f>((($W$39)^Q40)*((1-($W$39))^($U$32-Q40))*HLOOKUP($U$32,$AV$24:$BF$34,Q40+1))*V46</f>
        <v>2.7325033878851505E-3</v>
      </c>
      <c r="AN40" s="28">
        <v>1</v>
      </c>
      <c r="AO40" s="79">
        <f>((($W$39)^Q40)*((1-($W$39))^($U$33-Q40))*HLOOKUP($U$33,$AV$24:$BF$34,Q40+1))*V47</f>
        <v>7.4704515247708434E-4</v>
      </c>
      <c r="AP40" s="28">
        <v>1</v>
      </c>
      <c r="AQ40" s="79">
        <f>((($W$39)^Q40)*((1-($W$39))^($U$34-Q40))*HLOOKUP($U$34,$AV$24:$BF$34,Q40+1))*V48</f>
        <v>1.197665218379857E-4</v>
      </c>
      <c r="AR40" s="28">
        <v>1</v>
      </c>
      <c r="AS40" s="79">
        <f>((($W$39)^Q40)*((1-($W$39))^($U$35-Q40))*HLOOKUP($U$35,$AV$24:$BF$34,Q40+1))*V49</f>
        <v>8.7956323215162631E-6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3.299942094760081E-3</v>
      </c>
      <c r="BP40">
        <f t="shared" si="34"/>
        <v>9</v>
      </c>
      <c r="BQ40">
        <v>1</v>
      </c>
      <c r="BR40" s="107">
        <f t="shared" si="35"/>
        <v>5.6574557252974982E-8</v>
      </c>
    </row>
    <row r="41" spans="1:70" x14ac:dyDescent="0.25">
      <c r="G41" s="91">
        <v>2</v>
      </c>
      <c r="H41" s="132">
        <f>L39*J41+J40*L40+J39*L41</f>
        <v>8.725453310402248E-2</v>
      </c>
      <c r="I41" s="93">
        <v>2</v>
      </c>
      <c r="J41" s="86">
        <f t="shared" si="33"/>
        <v>0.12277595184972112</v>
      </c>
      <c r="K41" s="95">
        <v>2</v>
      </c>
      <c r="L41" s="86">
        <f>AE21</f>
        <v>6.5714168690869129E-2</v>
      </c>
      <c r="M41" s="85">
        <v>2</v>
      </c>
      <c r="N41" s="71">
        <f>(($C$24)^M27)*((1-($C$24))^($B$21-M27))*HLOOKUP($B$21,$AV$24:$BF$34,M27+1)</f>
        <v>0.1995571048514998</v>
      </c>
      <c r="O41" s="72">
        <v>2</v>
      </c>
      <c r="P41" s="71">
        <f t="shared" si="36"/>
        <v>0.1995571048514998</v>
      </c>
      <c r="Q41" s="28">
        <v>2</v>
      </c>
      <c r="R41" s="37">
        <f>P41*N39+P40*N40+P39*N41</f>
        <v>6.1022362138239529E-3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6.0492411128682975E-3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2.3988788799404561E-3</v>
      </c>
      <c r="AD41" s="28">
        <v>2</v>
      </c>
      <c r="AE41" s="79">
        <f>((($W$39)^M41)*((1-($W$39))^($U$28-M41))*HLOOKUP($U$28,$AV$24:$BF$34,M41+1))*V42</f>
        <v>1.2188088349339795E-2</v>
      </c>
      <c r="AF41" s="28">
        <v>2</v>
      </c>
      <c r="AG41" s="79">
        <f>((($W$39)^M41)*((1-($W$39))^($U$29-M41))*HLOOKUP($U$29,$AV$24:$BF$34,M41+1))*V43</f>
        <v>2.7098899751620192E-2</v>
      </c>
      <c r="AH41" s="28">
        <v>2</v>
      </c>
      <c r="AI41" s="79">
        <f>((($W$39)^M41)*((1-($W$39))^($U$30-M41))*HLOOKUP($U$30,$AV$24:$BF$34,M41+1))*V44</f>
        <v>3.4442572133106114E-2</v>
      </c>
      <c r="AJ41" s="28">
        <v>2</v>
      </c>
      <c r="AK41" s="79">
        <f>((($W$39)^M41)*((1-($W$39))^($U$31-M41))*HLOOKUP($U$31,$AV$24:$BF$34,M41+1))*V45</f>
        <v>2.7376915208143712E-2</v>
      </c>
      <c r="AL41" s="28">
        <v>2</v>
      </c>
      <c r="AM41" s="79">
        <f>((($W$39)^Q41)*((1-($W$39))^($U$32-Q41))*HLOOKUP($U$32,$AV$24:$BF$34,Q41+1))*V46</f>
        <v>1.3941708892844787E-2</v>
      </c>
      <c r="AN41" s="28">
        <v>2</v>
      </c>
      <c r="AO41" s="79">
        <f>((($W$39)^Q41)*((1-($W$39))^($U$33-Q41))*HLOOKUP($U$33,$AV$24:$BF$34,Q41+1))*V47</f>
        <v>4.4468137802841281E-3</v>
      </c>
      <c r="AP41" s="28">
        <v>2</v>
      </c>
      <c r="AQ41" s="79">
        <f>((($W$39)^Q41)*((1-($W$39))^($U$34-Q41))*HLOOKUP($U$34,$AV$24:$BF$34,Q41+1))*V48</f>
        <v>8.1475957906182385E-4</v>
      </c>
      <c r="AR41" s="28">
        <v>2</v>
      </c>
      <c r="AS41" s="79">
        <f>((($W$39)^Q41)*((1-($W$39))^($U$35-Q41))*HLOOKUP($U$35,$AV$24:$BF$34,Q41+1))*V49</f>
        <v>6.7315275380125402E-5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1.2406226313690224E-3</v>
      </c>
      <c r="BP41">
        <f t="shared" si="34"/>
        <v>9</v>
      </c>
      <c r="BQ41">
        <v>2</v>
      </c>
      <c r="BR41" s="107">
        <f t="shared" si="35"/>
        <v>1.8512092963688872E-7</v>
      </c>
    </row>
    <row r="42" spans="1:70" ht="15" customHeight="1" x14ac:dyDescent="0.25">
      <c r="G42" s="91">
        <v>3</v>
      </c>
      <c r="H42" s="132">
        <f>J42*L39+J41*L40+L42*J39+L41*J40</f>
        <v>0.1724570212448403</v>
      </c>
      <c r="I42" s="93">
        <v>3</v>
      </c>
      <c r="J42" s="86">
        <f t="shared" si="33"/>
        <v>0.21647535766770457</v>
      </c>
      <c r="K42" s="95">
        <v>3</v>
      </c>
      <c r="L42" s="86">
        <f>AF21</f>
        <v>6.8122909436711676E-3</v>
      </c>
      <c r="M42" s="85">
        <v>3</v>
      </c>
      <c r="N42" s="71">
        <f>(($C$24)^M28)*((1-($C$24))^($B$21-M28))*HLOOKUP($B$21,$AV$24:$BF$34,M28+1)</f>
        <v>0.34197640198602308</v>
      </c>
      <c r="O42" s="72">
        <v>3</v>
      </c>
      <c r="P42" s="71">
        <f t="shared" si="36"/>
        <v>0.34197640198602308</v>
      </c>
      <c r="Q42" s="28">
        <v>3</v>
      </c>
      <c r="R42" s="37">
        <f>P42*N39+P41*N40+P40*N41+P39*N42</f>
        <v>2.7886030063427811E-2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2.7668603946663803E-2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6.9095280694756811E-3</v>
      </c>
      <c r="AF42" s="28">
        <v>3</v>
      </c>
      <c r="AG42" s="79">
        <f>((($W$39)^M42)*((1-($W$39))^($U$29-M42))*HLOOKUP($U$29,$AV$24:$BF$34,M42+1))*V43</f>
        <v>3.0725180704137198E-2</v>
      </c>
      <c r="AH42" s="28">
        <v>3</v>
      </c>
      <c r="AI42" s="79">
        <f>((($W$39)^M42)*((1-($W$39))^($U$30-M42))*HLOOKUP($U$30,$AV$24:$BF$34,M42+1))*V44</f>
        <v>5.8577336851565062E-2</v>
      </c>
      <c r="AJ42" s="28">
        <v>3</v>
      </c>
      <c r="AK42" s="79">
        <f>((($W$39)^M42)*((1-($W$39))^($U$31-M42))*HLOOKUP($U$31,$AV$24:$BF$34,M42+1))*V45</f>
        <v>6.2080798453211447E-2</v>
      </c>
      <c r="AL42" s="28">
        <v>3</v>
      </c>
      <c r="AM42" s="79">
        <f>((($W$39)^Q42)*((1-($W$39))^($U$32-Q42))*HLOOKUP($U$32,$AV$24:$BF$34,Q42+1))*V46</f>
        <v>3.9518350282055435E-2</v>
      </c>
      <c r="AN42" s="28">
        <v>3</v>
      </c>
      <c r="AO42" s="79">
        <f>((($W$39)^Q42)*((1-($W$39))^($U$33-Q42))*HLOOKUP($U$33,$AV$24:$BF$34,Q42+1))*V47</f>
        <v>1.5125613018518416E-2</v>
      </c>
      <c r="AP42" s="28">
        <v>3</v>
      </c>
      <c r="AQ42" s="79">
        <f>((($W$39)^Q42)*((1-($W$39))^($U$34-Q42))*HLOOKUP($U$34,$AV$24:$BF$34,Q42+1))*V48</f>
        <v>3.2332575987560554E-3</v>
      </c>
      <c r="AR42" s="28">
        <v>3</v>
      </c>
      <c r="AS42" s="79">
        <f>((($W$39)^Q42)*((1-($W$39))^($U$35-Q42))*HLOOKUP($U$35,$AV$24:$BF$34,Q42+1))*V49</f>
        <v>3.0529268998523863E-4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3.4094803586988165E-4</v>
      </c>
      <c r="BP42">
        <f t="shared" si="34"/>
        <v>9</v>
      </c>
      <c r="BQ42">
        <v>3</v>
      </c>
      <c r="BR42" s="107">
        <f t="shared" si="35"/>
        <v>3.6588820041238327E-7</v>
      </c>
    </row>
    <row r="43" spans="1:70" ht="15" customHeight="1" x14ac:dyDescent="0.25">
      <c r="G43" s="91">
        <v>4</v>
      </c>
      <c r="H43" s="132">
        <f>J43*L39+J42*L40+J41*L41+J40*L42</f>
        <v>0.22944858259636547</v>
      </c>
      <c r="I43" s="93">
        <v>4</v>
      </c>
      <c r="J43" s="86">
        <f t="shared" si="33"/>
        <v>0.25058492507775459</v>
      </c>
      <c r="K43" s="95">
        <v>4</v>
      </c>
      <c r="L43" s="86"/>
      <c r="M43" s="85">
        <v>4</v>
      </c>
      <c r="N43" s="71">
        <f>(($C$24)^M29)*((1-($C$24))^($B$21-M29))*HLOOKUP($B$21,$AV$24:$BF$34,M29+1)</f>
        <v>0.29301853121775001</v>
      </c>
      <c r="O43" s="72">
        <v>4</v>
      </c>
      <c r="P43" s="71">
        <f t="shared" si="36"/>
        <v>0.29301853121775001</v>
      </c>
      <c r="Q43" s="28">
        <v>4</v>
      </c>
      <c r="R43" s="37">
        <f>P43*N39+P42*N40+P41*N41+P40*N42+P39*N43</f>
        <v>8.362838000309622E-2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8.3071805467601789E-2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1.3063769257533827E-2</v>
      </c>
      <c r="AH43" s="28">
        <v>4</v>
      </c>
      <c r="AI43" s="79">
        <f>((($W$39)^M43)*((1-($W$39))^($U$30-M43))*HLOOKUP($U$30,$AV$24:$BF$34,M43+1))*V44</f>
        <v>4.9811964962447747E-2</v>
      </c>
      <c r="AJ43" s="28">
        <v>4</v>
      </c>
      <c r="AK43" s="79">
        <f>((($W$39)^M43)*((1-($W$39))^($U$31-M43))*HLOOKUP($U$31,$AV$24:$BF$34,M43+1))*V45</f>
        <v>7.9186765486493643E-2</v>
      </c>
      <c r="AL43" s="28">
        <v>4</v>
      </c>
      <c r="AM43" s="79">
        <f>((($W$39)^Q43)*((1-($W$39))^($U$32-Q43))*HLOOKUP($U$32,$AV$24:$BF$34,Q43+1))*V46</f>
        <v>6.7209838665476584E-2</v>
      </c>
      <c r="AN43" s="28">
        <v>4</v>
      </c>
      <c r="AO43" s="79">
        <f>((($W$39)^Q43)*((1-($W$39))^($U$33-Q43))*HLOOKUP($U$33,$AV$24:$BF$34,Q43+1))*V47</f>
        <v>3.2155631606434691E-2</v>
      </c>
      <c r="AP43" s="28">
        <v>4</v>
      </c>
      <c r="AQ43" s="79">
        <f>((($W$39)^Q43)*((1-($W$39))^($U$34-Q43))*HLOOKUP($U$34,$AV$24:$BF$34,Q43+1))*V48</f>
        <v>8.2483221095515629E-3</v>
      </c>
      <c r="AR43" s="28">
        <v>4</v>
      </c>
      <c r="AS43" s="79">
        <f>((($W$39)^Q43)*((1-($W$39))^($U$35-Q43))*HLOOKUP($U$35,$AV$24:$BF$34,Q43+1))*V49</f>
        <v>9.0863298981651113E-4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6.6940392095563557E-5</v>
      </c>
      <c r="BP43">
        <f t="shared" si="34"/>
        <v>9</v>
      </c>
      <c r="BQ43">
        <v>4</v>
      </c>
      <c r="BR43" s="107">
        <f t="shared" si="35"/>
        <v>4.8680261532621134E-7</v>
      </c>
    </row>
    <row r="44" spans="1:70" ht="15" customHeight="1" thickBot="1" x14ac:dyDescent="0.3">
      <c r="G44" s="91">
        <v>5</v>
      </c>
      <c r="H44" s="132">
        <f>J44*L39+J43*L40+J42*L41+J41*L42</f>
        <v>0.21675349257295543</v>
      </c>
      <c r="I44" s="93">
        <v>5</v>
      </c>
      <c r="J44" s="86">
        <f t="shared" si="33"/>
        <v>0.19902934335514397</v>
      </c>
      <c r="K44" s="95">
        <v>5</v>
      </c>
      <c r="L44" s="86"/>
      <c r="M44" s="85">
        <v>5</v>
      </c>
      <c r="N44" s="71">
        <f>(($C$24)^M30)*((1-($C$24))^($B$21-M30))*HLOOKUP($B$21,$AV$24:$BF$34,M30+1)</f>
        <v>0.10042781798788179</v>
      </c>
      <c r="O44" s="72">
        <v>5</v>
      </c>
      <c r="P44" s="71">
        <f t="shared" si="36"/>
        <v>0.10042781798788179</v>
      </c>
      <c r="Q44" s="28">
        <v>5</v>
      </c>
      <c r="R44" s="37">
        <f>P44*N39+P43*N40+P42*N41+P41*N42+P40*N43+P39*N44</f>
        <v>0.17197442818381592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0.17109178279446474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1.6943288901696312E-2</v>
      </c>
      <c r="AJ44" s="28">
        <v>5</v>
      </c>
      <c r="AK44" s="79">
        <f>((($W$39)^M44)*((1-($W$39))^($U$31-M44))*HLOOKUP($U$31,$AV$24:$BF$34,M44+1))*V45</f>
        <v>5.3869958586857815E-2</v>
      </c>
      <c r="AL44" s="28">
        <v>5</v>
      </c>
      <c r="AM44" s="79">
        <f>((($W$39)^Q44)*((1-($W$39))^($U$32-Q44))*HLOOKUP($U$32,$AV$24:$BF$34,Q44+1))*V46</f>
        <v>6.8583263944961101E-2</v>
      </c>
      <c r="AN44" s="28">
        <v>5</v>
      </c>
      <c r="AO44" s="79">
        <f>((($W$39)^Q44)*((1-($W$39))^($U$33-Q44))*HLOOKUP($U$33,$AV$24:$BF$34,Q44+1))*V47</f>
        <v>4.3750304292157177E-2</v>
      </c>
      <c r="AP44" s="28">
        <v>5</v>
      </c>
      <c r="AQ44" s="79">
        <f>((($W$39)^Q44)*((1-($W$39))^($U$34-Q44))*HLOOKUP($U$34,$AV$24:$BF$34,Q44+1))*V48</f>
        <v>1.4028126029733908E-2</v>
      </c>
      <c r="AR44" s="28">
        <v>5</v>
      </c>
      <c r="AS44" s="79">
        <f>((($W$39)^Q44)*((1-($W$39))^($U$35-Q44))*HLOOKUP($U$35,$AV$24:$BF$34,Q44+1))*V49</f>
        <v>1.8544015997376602E-3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1.5623155908701225E-3</v>
      </c>
      <c r="BP44">
        <f t="shared" si="34"/>
        <v>9</v>
      </c>
      <c r="BQ44">
        <v>5</v>
      </c>
      <c r="BR44" s="107">
        <f t="shared" si="35"/>
        <v>4.5986846321567395E-7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0.14942097864352746</v>
      </c>
      <c r="I45" s="93">
        <v>6</v>
      </c>
      <c r="J45" s="86">
        <f t="shared" si="33"/>
        <v>0.10988720615076608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0.24559050498214266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0.24485397596487485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1.5269662488849152E-2</v>
      </c>
      <c r="AL45" s="28">
        <v>6</v>
      </c>
      <c r="AM45" s="79">
        <f>((($W$39)^Q45)*((1-($W$39))^($U$32-Q45))*HLOOKUP($U$32,$AV$24:$BF$34,Q45+1))*V46</f>
        <v>3.8880419450654631E-2</v>
      </c>
      <c r="AN45" s="28">
        <v>6</v>
      </c>
      <c r="AO45" s="79">
        <f>((($W$39)^Q45)*((1-($W$39))^($U$33-Q45))*HLOOKUP($U$33,$AV$24:$BF$34,Q45+1))*V47</f>
        <v>3.7203613916755494E-2</v>
      </c>
      <c r="AP45" s="28">
        <v>6</v>
      </c>
      <c r="AQ45" s="79">
        <f>((($W$39)^Q45)*((1-($W$39))^($U$34-Q45))*HLOOKUP($U$34,$AV$24:$BF$34,Q45+1))*V48</f>
        <v>1.5905321291806891E-2</v>
      </c>
      <c r="AR45" s="28">
        <v>6</v>
      </c>
      <c r="AS45" s="79">
        <f>((($W$39)^Q45)*((1-($W$39))^($U$35-Q45))*HLOOKUP($U$35,$AV$24:$BF$34,Q45+1))*V49</f>
        <v>2.6281890026999244E-3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7.9524232941426175E-4</v>
      </c>
      <c r="BP45">
        <f t="shared" si="34"/>
        <v>9</v>
      </c>
      <c r="BQ45">
        <v>6</v>
      </c>
      <c r="BR45" s="107">
        <f t="shared" si="35"/>
        <v>3.1701448039114335E-7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7.6057544208246716E-2</v>
      </c>
      <c r="I46" s="93">
        <v>7</v>
      </c>
      <c r="J46" s="86">
        <f t="shared" si="33"/>
        <v>4.1671734356079848E-2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0.24049301525058081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0.2405420223087332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9.4464134107452458E-3</v>
      </c>
      <c r="AN46" s="28">
        <v>7</v>
      </c>
      <c r="AO46" s="79">
        <f>((($W$39)^Q46)*((1-($W$39))^($U$33-Q46))*HLOOKUP($U$33,$AV$24:$BF$34,Q46+1))*V47</f>
        <v>1.8078031173375638E-2</v>
      </c>
      <c r="AP46" s="28">
        <v>7</v>
      </c>
      <c r="AQ46" s="79">
        <f>((($W$39)^Q46)*((1-($W$39))^($U$34-Q46))*HLOOKUP($U$34,$AV$24:$BF$34,Q46+1))*V48</f>
        <v>1.159310335197066E-2</v>
      </c>
      <c r="AR46" s="28">
        <v>7</v>
      </c>
      <c r="AS46" s="79">
        <f>((($W$39)^Q46)*((1-($W$39))^($U$35-Q46))*HLOOKUP($U$35,$AV$24:$BF$34,Q46+1))*V49</f>
        <v>2.5541864199882976E-3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2.9897361922215235E-4</v>
      </c>
      <c r="BP46">
        <f t="shared" si="34"/>
        <v>9</v>
      </c>
      <c r="BQ46">
        <v>7</v>
      </c>
      <c r="BR46" s="107">
        <f t="shared" si="35"/>
        <v>1.6136517827611074E-7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2.8594050417106196E-2</v>
      </c>
      <c r="I47" s="93">
        <v>8</v>
      </c>
      <c r="J47" s="86">
        <f t="shared" si="33"/>
        <v>1.0401377203707568E-2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0.15454774734661358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0.15540517883119895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3.8432195103035227E-3</v>
      </c>
      <c r="AP47" s="28">
        <v>8</v>
      </c>
      <c r="AQ47" s="79">
        <f>((($W$39)^Q47)*((1-($W$39))^($U$34-Q47))*HLOOKUP($U$34,$AV$24:$BF$34,Q47+1))*V48</f>
        <v>4.9291696158679935E-3</v>
      </c>
      <c r="AR47" s="28">
        <v>8</v>
      </c>
      <c r="AS47" s="79">
        <f>((($W$39)^Q47)*((1-($W$39))^($U$35-Q47))*HLOOKUP($U$35,$AV$24:$BF$34,Q47+1))*V49</f>
        <v>1.6289880775360521E-3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8.2163959993393352E-5</v>
      </c>
      <c r="BP47">
        <f>BL12+1</f>
        <v>9</v>
      </c>
      <c r="BQ47">
        <v>8</v>
      </c>
      <c r="BR47" s="107">
        <f t="shared" si="35"/>
        <v>6.0665698468504417E-8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7.8582198009064606E-3</v>
      </c>
      <c r="I48" s="93">
        <v>9</v>
      </c>
      <c r="J48" s="86">
        <f t="shared" si="33"/>
        <v>1.5471202125602128E-3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5.8854423440425317E-2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5.9811112978087146E-2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9.3146233830540028E-4</v>
      </c>
      <c r="AR48" s="28">
        <v>9</v>
      </c>
      <c r="AS48" s="79">
        <f>((($W$39)^Q48)*((1-($W$39))^($U$35-Q48))*HLOOKUP($U$35,$AV$24:$BF$34,Q48+1))*V49</f>
        <v>6.1565787425481246E-4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1.6131747713545961E-5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1.5428518697979923E-3</v>
      </c>
      <c r="I49" s="94">
        <v>10</v>
      </c>
      <c r="J49" s="89">
        <f t="shared" si="33"/>
        <v>1.04706461951134E-4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1.0085746625807114E-2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1.0676683193308834E-2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1.04706461951134E-4</v>
      </c>
      <c r="BH49">
        <f>BP14+1</f>
        <v>6</v>
      </c>
      <c r="BI49">
        <v>0</v>
      </c>
      <c r="BJ49" s="107">
        <f>$H$31*H39</f>
        <v>7.018966879113111E-6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1.4344497907975789E-4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5.3928548529740824E-5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1.4820649110873407E-5</v>
      </c>
    </row>
    <row r="53" spans="1:62" x14ac:dyDescent="0.25">
      <c r="BH53">
        <f>BH48+1</f>
        <v>6</v>
      </c>
      <c r="BI53">
        <v>10</v>
      </c>
      <c r="BJ53" s="107">
        <f>$H$31*H49</f>
        <v>2.9098277690951514E-6</v>
      </c>
    </row>
    <row r="54" spans="1:62" x14ac:dyDescent="0.25">
      <c r="BH54">
        <f>BH51+1</f>
        <v>7</v>
      </c>
      <c r="BI54">
        <v>8</v>
      </c>
      <c r="BJ54" s="107">
        <f>$H$32*H47</f>
        <v>7.3899178560256504E-6</v>
      </c>
    </row>
    <row r="55" spans="1:62" x14ac:dyDescent="0.25">
      <c r="BH55">
        <f>BH52+1</f>
        <v>7</v>
      </c>
      <c r="BI55">
        <v>9</v>
      </c>
      <c r="BJ55" s="107">
        <f>$H$32*H48</f>
        <v>2.0308979657024051E-6</v>
      </c>
    </row>
    <row r="56" spans="1:62" x14ac:dyDescent="0.25">
      <c r="BH56">
        <f>BH53+1</f>
        <v>7</v>
      </c>
      <c r="BI56">
        <v>10</v>
      </c>
      <c r="BJ56" s="107">
        <f>$H$32*H49</f>
        <v>3.9873849334062331E-7</v>
      </c>
    </row>
    <row r="57" spans="1:62" x14ac:dyDescent="0.25">
      <c r="BH57">
        <f>BH55+1</f>
        <v>8</v>
      </c>
      <c r="BI57">
        <v>9</v>
      </c>
      <c r="BJ57" s="107">
        <f>$H$33*H48</f>
        <v>2.1192913039658312E-7</v>
      </c>
    </row>
    <row r="58" spans="1:62" x14ac:dyDescent="0.25">
      <c r="BH58">
        <f>BH56+1</f>
        <v>8</v>
      </c>
      <c r="BI58">
        <v>10</v>
      </c>
      <c r="BJ58" s="107">
        <f>$H$33*H49</f>
        <v>4.1609329260466034E-8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3.2733448024816647E-9</v>
      </c>
    </row>
  </sheetData>
  <mergeCells count="2">
    <mergeCell ref="P1:Q1"/>
    <mergeCell ref="B3:C3"/>
  </mergeCells>
  <conditionalFormatting sqref="V25:V35 V39:V49">
    <cfRule type="cellIs" dxfId="55" priority="14" operator="greaterThan">
      <formula>0.15</formula>
    </cfRule>
  </conditionalFormatting>
  <conditionalFormatting sqref="V35">
    <cfRule type="cellIs" dxfId="54" priority="13" operator="greaterThan">
      <formula>0.15</formula>
    </cfRule>
  </conditionalFormatting>
  <conditionalFormatting sqref="V49">
    <cfRule type="cellIs" dxfId="53" priority="12" operator="greaterThan">
      <formula>0.15</formula>
    </cfRule>
  </conditionalFormatting>
  <conditionalFormatting sqref="V25:V35 V39:V49">
    <cfRule type="cellIs" dxfId="52" priority="11" operator="greaterThan">
      <formula>0.15</formula>
    </cfRule>
  </conditionalFormatting>
  <conditionalFormatting sqref="V35">
    <cfRule type="cellIs" dxfId="51" priority="10" operator="greaterThan">
      <formula>0.15</formula>
    </cfRule>
  </conditionalFormatting>
  <conditionalFormatting sqref="V49">
    <cfRule type="cellIs" dxfId="50" priority="9" operator="greaterThan">
      <formula>0.15</formula>
    </cfRule>
  </conditionalFormatting>
  <conditionalFormatting sqref="H25:H35">
    <cfRule type="cellIs" dxfId="49" priority="8" operator="greaterThan">
      <formula>0.15</formula>
    </cfRule>
  </conditionalFormatting>
  <conditionalFormatting sqref="H35">
    <cfRule type="cellIs" dxfId="48" priority="7" operator="greaterThan">
      <formula>0.15</formula>
    </cfRule>
  </conditionalFormatting>
  <conditionalFormatting sqref="H25:H35">
    <cfRule type="cellIs" dxfId="47" priority="6" operator="greaterThan">
      <formula>0.15</formula>
    </cfRule>
  </conditionalFormatting>
  <conditionalFormatting sqref="H35">
    <cfRule type="cellIs" dxfId="46" priority="5" operator="greaterThan">
      <formula>0.15</formula>
    </cfRule>
  </conditionalFormatting>
  <conditionalFormatting sqref="H39:H49">
    <cfRule type="cellIs" dxfId="45" priority="4" operator="greaterThan">
      <formula>0.15</formula>
    </cfRule>
  </conditionalFormatting>
  <conditionalFormatting sqref="H49">
    <cfRule type="cellIs" dxfId="44" priority="3" operator="greaterThan">
      <formula>0.15</formula>
    </cfRule>
  </conditionalFormatting>
  <conditionalFormatting sqref="H39:H49">
    <cfRule type="cellIs" dxfId="43" priority="2" operator="greaterThan">
      <formula>0.15</formula>
    </cfRule>
  </conditionalFormatting>
  <conditionalFormatting sqref="H49">
    <cfRule type="cellIs" dxfId="42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Y5" sqref="Y5:Y19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8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0</v>
      </c>
    </row>
    <row r="2" spans="1:70" x14ac:dyDescent="0.25">
      <c r="A2" s="158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8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$H$25*H40</f>
        <v>#DIV/0!</v>
      </c>
      <c r="BL4">
        <v>0</v>
      </c>
      <c r="BM4">
        <v>0</v>
      </c>
      <c r="BN4" s="107" t="e">
        <f>H25*H39</f>
        <v>#DIV/0!</v>
      </c>
      <c r="BP4">
        <v>1</v>
      </c>
      <c r="BQ4">
        <v>0</v>
      </c>
      <c r="BR4" s="107" t="e">
        <f>$H$26*H39</f>
        <v>#DIV/0!</v>
      </c>
    </row>
    <row r="5" spans="1:70" x14ac:dyDescent="0.25">
      <c r="A5" s="188" t="s">
        <v>140</v>
      </c>
      <c r="B5" s="159">
        <v>352</v>
      </c>
      <c r="C5" s="159">
        <v>352</v>
      </c>
      <c r="E5" s="192" t="s">
        <v>15</v>
      </c>
      <c r="F5" s="167"/>
      <c r="G5" s="167">
        <v>12</v>
      </c>
      <c r="H5" s="10"/>
      <c r="I5" s="10"/>
      <c r="J5" s="166"/>
      <c r="K5" s="166">
        <v>12</v>
      </c>
      <c r="L5" s="10"/>
      <c r="M5" s="10"/>
      <c r="O5" s="67">
        <f>COUNTIF(F5:F18,"IMP")*0.017</f>
        <v>0</v>
      </c>
      <c r="P5" s="16" t="str">
        <f>P3</f>
        <v>0,6</v>
      </c>
      <c r="Q5" s="16">
        <f>P5*O5</f>
        <v>0</v>
      </c>
      <c r="R5" s="157" t="e">
        <f>IF($M$2="SI",Q5*$B$22/0.5*$S$1,Q5*$B$22/0.5*$S$2)</f>
        <v>#DIV/0!</v>
      </c>
      <c r="S5" s="176" t="e">
        <f>(1-R5)</f>
        <v>#DIV/0!</v>
      </c>
      <c r="T5" s="177" t="e">
        <f>R5*PRODUCT(S6:S19)</f>
        <v>#DIV/0!</v>
      </c>
      <c r="U5" s="177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186" t="s">
        <v>36</v>
      </c>
      <c r="X5" s="15" t="s">
        <v>37</v>
      </c>
      <c r="Y5" s="69">
        <f>COUNTIF(J5:J18,"IMP")*0.017</f>
        <v>0</v>
      </c>
      <c r="Z5" s="146" t="str">
        <f>Z3</f>
        <v>0,6</v>
      </c>
      <c r="AA5" s="19">
        <f>Z5*Y5</f>
        <v>0</v>
      </c>
      <c r="AB5" s="157" t="e">
        <f>IF($M$2="SI",AA5*$C$22/0.5*$S$1,AA5*$C$22/0.5*$S$2)</f>
        <v>#DIV/0!</v>
      </c>
      <c r="AC5" s="176" t="e">
        <f>(1-AB5)</f>
        <v>#DIV/0!</v>
      </c>
      <c r="AD5" s="177" t="e">
        <f>AB5*PRODUCT(AC6:AC19)</f>
        <v>#DIV/0!</v>
      </c>
      <c r="AE5" s="177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$H$26*H40</f>
        <v>#DIV/0!</v>
      </c>
      <c r="BP5">
        <f>BP4+1</f>
        <v>2</v>
      </c>
      <c r="BQ5">
        <v>0</v>
      </c>
      <c r="BR5" s="107" t="e">
        <f>$H$27*H39</f>
        <v>#DIV/0!</v>
      </c>
    </row>
    <row r="6" spans="1:70" x14ac:dyDescent="0.25">
      <c r="A6" s="2" t="s">
        <v>1</v>
      </c>
      <c r="B6" s="168"/>
      <c r="C6" s="169"/>
      <c r="E6" s="192" t="s">
        <v>17</v>
      </c>
      <c r="F6" s="167"/>
      <c r="G6" s="167"/>
      <c r="H6" s="10"/>
      <c r="I6" s="10"/>
      <c r="J6" s="166"/>
      <c r="K6" s="166"/>
      <c r="L6" s="10"/>
      <c r="M6" s="10"/>
      <c r="O6" s="67">
        <f>COUNTIF(F14:F18,"IMP")*0.017</f>
        <v>0</v>
      </c>
      <c r="P6" s="16" t="str">
        <f>P3</f>
        <v>0,6</v>
      </c>
      <c r="Q6" s="16">
        <f t="shared" ref="Q6:Q19" si="1">P6*O6</f>
        <v>0</v>
      </c>
      <c r="R6" s="157" t="e">
        <f>IF($M$2="SI",Q6*$B$22/0.5*$S$1,Q6*$B$22/0.5*$S$2)</f>
        <v>#DIV/0!</v>
      </c>
      <c r="S6" s="176" t="e">
        <f t="shared" ref="S6:S19" si="2">(1-R6)</f>
        <v>#DIV/0!</v>
      </c>
      <c r="T6" s="177" t="e">
        <f>R6*S5*PRODUCT(S7:S19)</f>
        <v>#DIV/0!</v>
      </c>
      <c r="U6" s="177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186" t="s">
        <v>38</v>
      </c>
      <c r="X6" s="15" t="s">
        <v>39</v>
      </c>
      <c r="Y6" s="69">
        <f>COUNTIF(J14:J18,"IMP")*0.017</f>
        <v>0</v>
      </c>
      <c r="Z6" s="146" t="str">
        <f>Z3</f>
        <v>0,6</v>
      </c>
      <c r="AA6" s="19">
        <f t="shared" ref="AA6:AA19" si="3">Z6*Y6</f>
        <v>0</v>
      </c>
      <c r="AB6" s="157" t="e">
        <f t="shared" ref="AB6:AB19" si="4">IF($M$2="SI",AA6*$C$22/0.5*$S$1,AA6*$C$22/0.5*$S$2)</f>
        <v>#DIV/0!</v>
      </c>
      <c r="AC6" s="176" t="e">
        <f t="shared" ref="AC6:AC19" si="5">(1-AB6)</f>
        <v>#DIV/0!</v>
      </c>
      <c r="AD6" s="177" t="e">
        <f>AB6*AC5*PRODUCT(AC7:AC19)</f>
        <v>#DIV/0!</v>
      </c>
      <c r="AE6" s="177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$H$27*H41</f>
        <v>#DIV/0!</v>
      </c>
      <c r="BP6">
        <f>BL5+1</f>
        <v>2</v>
      </c>
      <c r="BQ6">
        <v>1</v>
      </c>
      <c r="BR6" s="107" t="e">
        <f>$H$27*H40</f>
        <v>#DIV/0!</v>
      </c>
    </row>
    <row r="7" spans="1:70" x14ac:dyDescent="0.25">
      <c r="A7" s="5" t="s">
        <v>2</v>
      </c>
      <c r="B7" s="168"/>
      <c r="C7" s="169"/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 t="e">
        <f t="shared" ref="R7:R19" si="6">IF($M$2="SI",Q7*$B$22/0.5*$S$1,Q7*$B$22/0.5*$S$2)</f>
        <v>#DIV/0!</v>
      </c>
      <c r="S7" s="176" t="e">
        <f t="shared" si="2"/>
        <v>#DIV/0!</v>
      </c>
      <c r="T7" s="177" t="e">
        <f>R7*PRODUCT(S5:S6)*PRODUCT(S8:S19)</f>
        <v>#DIV/0!</v>
      </c>
      <c r="U7" s="177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 t="e">
        <f t="shared" si="4"/>
        <v>#DIV/0!</v>
      </c>
      <c r="AC7" s="176" t="e">
        <f t="shared" si="5"/>
        <v>#DIV/0!</v>
      </c>
      <c r="AD7" s="177" t="e">
        <f>AB7*PRODUCT(AC5:AC6)*PRODUCT(AC8:AC19)</f>
        <v>#DIV/0!</v>
      </c>
      <c r="AE7" s="177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$H$28*H42</f>
        <v>#DIV/0!</v>
      </c>
      <c r="BP7">
        <f>BP5+1</f>
        <v>3</v>
      </c>
      <c r="BQ7">
        <v>0</v>
      </c>
      <c r="BR7" s="107" t="e">
        <f>$H$28*H39</f>
        <v>#DIV/0!</v>
      </c>
    </row>
    <row r="8" spans="1:70" x14ac:dyDescent="0.25">
      <c r="A8" s="5" t="s">
        <v>3</v>
      </c>
      <c r="B8" s="168"/>
      <c r="C8" s="169"/>
      <c r="E8" s="192" t="s">
        <v>18</v>
      </c>
      <c r="F8" s="167"/>
      <c r="G8" s="167"/>
      <c r="H8" s="10"/>
      <c r="I8" s="10"/>
      <c r="J8" s="166"/>
      <c r="K8" s="166"/>
      <c r="L8" s="10"/>
      <c r="M8" s="10"/>
      <c r="O8" s="67">
        <f>COUNTIF(F6:F18,"IMP")*0.01</f>
        <v>0</v>
      </c>
      <c r="P8" s="16" t="str">
        <f>P3</f>
        <v>0,6</v>
      </c>
      <c r="Q8" s="16">
        <f t="shared" si="1"/>
        <v>0</v>
      </c>
      <c r="R8" s="157" t="e">
        <f t="shared" si="6"/>
        <v>#DIV/0!</v>
      </c>
      <c r="S8" s="176" t="e">
        <f t="shared" si="2"/>
        <v>#DIV/0!</v>
      </c>
      <c r="T8" s="177" t="e">
        <f>R8*PRODUCT(S5:S7)*PRODUCT(S9:S19)</f>
        <v>#DIV/0!</v>
      </c>
      <c r="U8" s="177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186" t="s">
        <v>42</v>
      </c>
      <c r="X8" s="15" t="s">
        <v>43</v>
      </c>
      <c r="Y8" s="69">
        <f>COUNTIF(J6:J18,"IMP")*0.01</f>
        <v>0</v>
      </c>
      <c r="Z8" s="146" t="str">
        <f>Z3</f>
        <v>0,6</v>
      </c>
      <c r="AA8" s="19">
        <f t="shared" si="3"/>
        <v>0</v>
      </c>
      <c r="AB8" s="157" t="e">
        <f t="shared" si="4"/>
        <v>#DIV/0!</v>
      </c>
      <c r="AC8" s="176" t="e">
        <f t="shared" si="5"/>
        <v>#DIV/0!</v>
      </c>
      <c r="AD8" s="177" t="e">
        <f>AB8*PRODUCT(AC5:AC7)*PRODUCT(AC9:AC19)</f>
        <v>#DIV/0!</v>
      </c>
      <c r="AE8" s="177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$H$29*H43</f>
        <v>#DIV/0!</v>
      </c>
      <c r="BP8">
        <f>BP6+1</f>
        <v>3</v>
      </c>
      <c r="BQ8">
        <v>1</v>
      </c>
      <c r="BR8" s="107" t="e">
        <f>$H$28*H40</f>
        <v>#DIV/0!</v>
      </c>
    </row>
    <row r="9" spans="1:70" x14ac:dyDescent="0.25">
      <c r="A9" s="5" t="s">
        <v>4</v>
      </c>
      <c r="B9" s="168"/>
      <c r="C9" s="169"/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COUNTIF(J6:J13,"IMP")*0.025</f>
        <v>0</v>
      </c>
      <c r="P9" s="144">
        <v>0.5</v>
      </c>
      <c r="Q9" s="16">
        <f t="shared" si="1"/>
        <v>0</v>
      </c>
      <c r="R9" s="157" t="e">
        <f t="shared" si="6"/>
        <v>#DIV/0!</v>
      </c>
      <c r="S9" s="176" t="e">
        <f t="shared" si="2"/>
        <v>#DIV/0!</v>
      </c>
      <c r="T9" s="177" t="e">
        <f>R9*PRODUCT(S5:S8)*PRODUCT(S10:S19)</f>
        <v>#DIV/0!</v>
      </c>
      <c r="U9" s="177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187" t="s">
        <v>44</v>
      </c>
      <c r="X9" s="15" t="s">
        <v>45</v>
      </c>
      <c r="Y9" s="69">
        <f>COUNTIF(F6:F13,"IMP")*0.025</f>
        <v>0</v>
      </c>
      <c r="Z9" s="146">
        <v>0.5</v>
      </c>
      <c r="AA9" s="19">
        <f t="shared" si="3"/>
        <v>0</v>
      </c>
      <c r="AB9" s="157" t="e">
        <f t="shared" si="4"/>
        <v>#DIV/0!</v>
      </c>
      <c r="AC9" s="176" t="e">
        <f t="shared" si="5"/>
        <v>#DIV/0!</v>
      </c>
      <c r="AD9" s="177" t="e">
        <f>AB9*PRODUCT(AC5:AC8)*PRODUCT(AC10:AC19)</f>
        <v>#DIV/0!</v>
      </c>
      <c r="AE9" s="177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$H$30*H44</f>
        <v>#DIV/0!</v>
      </c>
      <c r="BP9">
        <f>BL6+1</f>
        <v>3</v>
      </c>
      <c r="BQ9">
        <v>2</v>
      </c>
      <c r="BR9" s="107" t="e">
        <f>$H$28*H41</f>
        <v>#DIV/0!</v>
      </c>
    </row>
    <row r="10" spans="1:70" x14ac:dyDescent="0.25">
      <c r="A10" s="6" t="s">
        <v>5</v>
      </c>
      <c r="B10" s="168"/>
      <c r="C10" s="169"/>
      <c r="E10" s="192" t="s">
        <v>17</v>
      </c>
      <c r="F10" s="167"/>
      <c r="G10" s="167"/>
      <c r="H10" s="10"/>
      <c r="I10" s="10"/>
      <c r="J10" s="166"/>
      <c r="K10" s="166"/>
      <c r="L10" s="10"/>
      <c r="M10" s="10"/>
      <c r="O10" s="67">
        <f>COUNTIF(F14:F18,"RAP")*0.085</f>
        <v>0</v>
      </c>
      <c r="P10" s="16" t="str">
        <f>R3</f>
        <v>0,72</v>
      </c>
      <c r="Q10" s="16">
        <f t="shared" si="1"/>
        <v>0</v>
      </c>
      <c r="R10" s="157" t="e">
        <f t="shared" si="6"/>
        <v>#DIV/0!</v>
      </c>
      <c r="S10" s="176" t="e">
        <f t="shared" si="2"/>
        <v>#DIV/0!</v>
      </c>
      <c r="T10" s="177" t="e">
        <f>R10*PRODUCT(S5:S9)*PRODUCT(S11:S19)</f>
        <v>#DIV/0!</v>
      </c>
      <c r="U10" s="177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186" t="s">
        <v>46</v>
      </c>
      <c r="X10" s="15" t="s">
        <v>47</v>
      </c>
      <c r="Y10" s="69">
        <f>COUNTIF(J14:J18,"RAP")*0.085</f>
        <v>0</v>
      </c>
      <c r="Z10" s="146" t="str">
        <f>AB3</f>
        <v>0,72</v>
      </c>
      <c r="AA10" s="19">
        <f t="shared" si="3"/>
        <v>0</v>
      </c>
      <c r="AB10" s="157" t="e">
        <f t="shared" si="4"/>
        <v>#DIV/0!</v>
      </c>
      <c r="AC10" s="176" t="e">
        <f t="shared" si="5"/>
        <v>#DIV/0!</v>
      </c>
      <c r="AD10" s="177" t="e">
        <f>AB10*PRODUCT(AC5:AC9)*PRODUCT(AC11:AC19)</f>
        <v>#DIV/0!</v>
      </c>
      <c r="AE10" s="177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$H$31*H45</f>
        <v>#DIV/0!</v>
      </c>
      <c r="BP10">
        <f>BP7+1</f>
        <v>4</v>
      </c>
      <c r="BQ10">
        <v>0</v>
      </c>
      <c r="BR10" s="107" t="e">
        <f>$H$29*H39</f>
        <v>#DIV/0!</v>
      </c>
    </row>
    <row r="11" spans="1:70" x14ac:dyDescent="0.25">
      <c r="A11" s="6" t="s">
        <v>6</v>
      </c>
      <c r="B11" s="168"/>
      <c r="C11" s="169"/>
      <c r="E11" s="192" t="s">
        <v>19</v>
      </c>
      <c r="F11" s="167"/>
      <c r="G11" s="167"/>
      <c r="H11" s="10"/>
      <c r="I11" s="10"/>
      <c r="J11" s="166"/>
      <c r="K11" s="166"/>
      <c r="L11" s="10"/>
      <c r="M11" s="10"/>
      <c r="O11" s="67">
        <f>IF(COUNTA(F16:F18)=0,0,COUNTIF(F14:F15,"RAP")*0.085)+IF(COUNTA(F17:F18)=0,0,COUNTIF(F16:F16,"RAP")*0.085)+IF(COUNTA(F16:F17)=0,0,COUNTIF(F18:F18,"RAP")*0.085)+IF(COUNTA(F16,F18)=0,0,COUNTIF(F17:F17,"RAP")*0.085)</f>
        <v>0</v>
      </c>
      <c r="P11" s="16" t="str">
        <f>R3</f>
        <v>0,72</v>
      </c>
      <c r="Q11" s="16">
        <f t="shared" si="1"/>
        <v>0</v>
      </c>
      <c r="R11" s="157" t="e">
        <f t="shared" si="6"/>
        <v>#DIV/0!</v>
      </c>
      <c r="S11" s="176" t="e">
        <f t="shared" si="2"/>
        <v>#DIV/0!</v>
      </c>
      <c r="T11" s="177" t="e">
        <f>R11*PRODUCT(S5:S10)*PRODUCT(S12:S19)</f>
        <v>#DIV/0!</v>
      </c>
      <c r="U11" s="177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186" t="s">
        <v>48</v>
      </c>
      <c r="X11" s="15" t="s">
        <v>49</v>
      </c>
      <c r="Y11" s="69">
        <f>IF(COUNTA(J16:J18)=0,0,COUNTIF(J14:J15,"RAP")*0.085)+IF(COUNTA(J17:J18)=0,0,COUNTIF(J16:J16,"RAP")*0.085)+IF(COUNTA(J16:J17)=0,0,COUNTIF(J18:J18,"RAP")*0.085)+IF(COUNTA(J16,J18)=0,0,COUNTIF(J17:J17,"RAP")*0.085)</f>
        <v>0</v>
      </c>
      <c r="Z11" s="146" t="str">
        <f>AB3</f>
        <v>0,72</v>
      </c>
      <c r="AA11" s="19">
        <f t="shared" si="3"/>
        <v>0</v>
      </c>
      <c r="AB11" s="157" t="e">
        <f t="shared" si="4"/>
        <v>#DIV/0!</v>
      </c>
      <c r="AC11" s="176" t="e">
        <f t="shared" si="5"/>
        <v>#DIV/0!</v>
      </c>
      <c r="AD11" s="177" t="e">
        <f>AB11*PRODUCT(AC5:AC10)*PRODUCT(AC12:AC19)</f>
        <v>#DIV/0!</v>
      </c>
      <c r="AE11" s="177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$H$32*H46</f>
        <v>#DIV/0!</v>
      </c>
      <c r="BP11">
        <f>BP8+1</f>
        <v>4</v>
      </c>
      <c r="BQ11">
        <v>1</v>
      </c>
      <c r="BR11" s="107" t="e">
        <f>$H$29*H40</f>
        <v>#DIV/0!</v>
      </c>
    </row>
    <row r="12" spans="1:70" x14ac:dyDescent="0.25">
      <c r="A12" s="6" t="s">
        <v>7</v>
      </c>
      <c r="B12" s="168"/>
      <c r="C12" s="169"/>
      <c r="E12" s="192" t="s">
        <v>19</v>
      </c>
      <c r="F12" s="167"/>
      <c r="G12" s="167"/>
      <c r="H12" s="10"/>
      <c r="I12" s="10"/>
      <c r="J12" s="166"/>
      <c r="K12" s="166"/>
      <c r="L12" s="10"/>
      <c r="M12" s="10"/>
      <c r="O12" s="67"/>
      <c r="P12" s="144">
        <v>0.5</v>
      </c>
      <c r="Q12" s="16">
        <f t="shared" si="1"/>
        <v>0</v>
      </c>
      <c r="R12" s="157" t="e">
        <f t="shared" si="6"/>
        <v>#DIV/0!</v>
      </c>
      <c r="S12" s="176" t="e">
        <f t="shared" si="2"/>
        <v>#DIV/0!</v>
      </c>
      <c r="T12" s="177" t="e">
        <f>R12*PRODUCT(S5:S11)*PRODUCT(S13:S19)</f>
        <v>#DIV/0!</v>
      </c>
      <c r="U12" s="177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 t="e">
        <f t="shared" si="4"/>
        <v>#DIV/0!</v>
      </c>
      <c r="AC12" s="176" t="e">
        <f t="shared" si="5"/>
        <v>#DIV/0!</v>
      </c>
      <c r="AD12" s="177" t="e">
        <f>AB12*PRODUCT(AC5:AC11)*PRODUCT(AC13:AC19)</f>
        <v>#DIV/0!</v>
      </c>
      <c r="AE12" s="177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$H$33*H47</f>
        <v>#DIV/0!</v>
      </c>
      <c r="BP12">
        <f>BP9+1</f>
        <v>4</v>
      </c>
      <c r="BQ12">
        <v>2</v>
      </c>
      <c r="BR12" s="107" t="e">
        <f>$H$29*H41</f>
        <v>#DIV/0!</v>
      </c>
    </row>
    <row r="13" spans="1:70" x14ac:dyDescent="0.25">
      <c r="A13" s="7" t="s">
        <v>8</v>
      </c>
      <c r="B13" s="168">
        <v>11.75</v>
      </c>
      <c r="C13" s="169">
        <v>12.5</v>
      </c>
      <c r="E13" s="192" t="s">
        <v>19</v>
      </c>
      <c r="F13" s="167"/>
      <c r="G13" s="167"/>
      <c r="H13" s="10"/>
      <c r="I13" s="10"/>
      <c r="J13" s="166"/>
      <c r="K13" s="166"/>
      <c r="L13" s="10"/>
      <c r="M13" s="10"/>
      <c r="O13" s="67">
        <v>0.125</v>
      </c>
      <c r="P13" s="16" t="str">
        <f>P2</f>
        <v>0,4</v>
      </c>
      <c r="Q13" s="16">
        <f t="shared" si="1"/>
        <v>0.05</v>
      </c>
      <c r="R13" s="157" t="e">
        <f t="shared" si="6"/>
        <v>#DIV/0!</v>
      </c>
      <c r="S13" s="176" t="e">
        <f t="shared" si="2"/>
        <v>#DIV/0!</v>
      </c>
      <c r="T13" s="177" t="e">
        <f>R13*PRODUCT(S5:S12)*PRODUCT(S14:S19)</f>
        <v>#DIV/0!</v>
      </c>
      <c r="U13" s="177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186" t="s">
        <v>52</v>
      </c>
      <c r="X13" s="15" t="s">
        <v>53</v>
      </c>
      <c r="Y13" s="69">
        <v>0.125</v>
      </c>
      <c r="Z13" s="19" t="str">
        <f>Z2</f>
        <v>0,4</v>
      </c>
      <c r="AA13" s="19">
        <f t="shared" si="3"/>
        <v>0.05</v>
      </c>
      <c r="AB13" s="157" t="e">
        <f t="shared" si="4"/>
        <v>#DIV/0!</v>
      </c>
      <c r="AC13" s="176" t="e">
        <f t="shared" si="5"/>
        <v>#DIV/0!</v>
      </c>
      <c r="AD13" s="177" t="e">
        <f>AB13*PRODUCT(AC5:AC12)*PRODUCT(AC14:AC19)</f>
        <v>#DIV/0!</v>
      </c>
      <c r="AE13" s="177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$H$34*H48</f>
        <v>#DIV/0!</v>
      </c>
      <c r="BP13">
        <f>BL7+1</f>
        <v>4</v>
      </c>
      <c r="BQ13">
        <v>3</v>
      </c>
      <c r="BR13" s="107" t="e">
        <f>$H$29*H42</f>
        <v>#DIV/0!</v>
      </c>
    </row>
    <row r="14" spans="1:70" x14ac:dyDescent="0.25">
      <c r="A14" s="7" t="s">
        <v>9</v>
      </c>
      <c r="B14" s="168">
        <v>9.25</v>
      </c>
      <c r="C14" s="169">
        <v>10.75</v>
      </c>
      <c r="E14" s="192" t="s">
        <v>20</v>
      </c>
      <c r="F14" s="167"/>
      <c r="G14" s="167"/>
      <c r="H14" s="10"/>
      <c r="I14" s="10"/>
      <c r="J14" s="166"/>
      <c r="K14" s="166"/>
      <c r="L14" s="10"/>
      <c r="M14" s="10"/>
      <c r="O14" s="67">
        <f>COUNTIF(F6:F18,"CAB")*0.095</f>
        <v>0</v>
      </c>
      <c r="P14" s="144">
        <v>0.95</v>
      </c>
      <c r="Q14" s="16">
        <f t="shared" si="1"/>
        <v>0</v>
      </c>
      <c r="R14" s="157" t="e">
        <f t="shared" si="6"/>
        <v>#DIV/0!</v>
      </c>
      <c r="S14" s="176" t="e">
        <f t="shared" si="2"/>
        <v>#DIV/0!</v>
      </c>
      <c r="T14" s="177" t="e">
        <f>R14*PRODUCT(S5:S13)*PRODUCT(S15:S19)</f>
        <v>#DIV/0!</v>
      </c>
      <c r="U14" s="177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186" t="s">
        <v>54</v>
      </c>
      <c r="X14" s="15" t="s">
        <v>55</v>
      </c>
      <c r="Y14" s="69">
        <f>COUNTIF(J6:J18,"CAB")*0.095</f>
        <v>0</v>
      </c>
      <c r="Z14" s="147">
        <v>0.95</v>
      </c>
      <c r="AA14" s="19">
        <f t="shared" si="3"/>
        <v>0</v>
      </c>
      <c r="AB14" s="157" t="e">
        <f t="shared" si="4"/>
        <v>#DIV/0!</v>
      </c>
      <c r="AC14" s="176" t="e">
        <f t="shared" si="5"/>
        <v>#DIV/0!</v>
      </c>
      <c r="AD14" s="177" t="e">
        <f>AB14*PRODUCT(AC5:AC13)*PRODUCT(AC15:AC19)</f>
        <v>#DIV/0!</v>
      </c>
      <c r="AE14" s="177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$H$26*H41</f>
        <v>#DIV/0!</v>
      </c>
      <c r="BL14">
        <f>BP39+1</f>
        <v>10</v>
      </c>
      <c r="BM14">
        <v>10</v>
      </c>
      <c r="BN14" s="107" t="e">
        <f>$H$35*H49</f>
        <v>#DIV/0!</v>
      </c>
      <c r="BP14">
        <f>BP10+1</f>
        <v>5</v>
      </c>
      <c r="BQ14">
        <v>0</v>
      </c>
      <c r="BR14" s="107" t="e">
        <f>$H$30*H39</f>
        <v>#DIV/0!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/>
      <c r="G15" s="167"/>
      <c r="H15" s="10"/>
      <c r="I15" s="10"/>
      <c r="J15" s="166"/>
      <c r="K15" s="166"/>
      <c r="L15" s="10"/>
      <c r="M15" s="10"/>
      <c r="O15" s="67"/>
      <c r="P15" s="144">
        <v>0.5</v>
      </c>
      <c r="Q15" s="16">
        <f t="shared" si="1"/>
        <v>0</v>
      </c>
      <c r="R15" s="157" t="e">
        <f t="shared" si="6"/>
        <v>#DIV/0!</v>
      </c>
      <c r="S15" s="176" t="e">
        <f t="shared" si="2"/>
        <v>#DIV/0!</v>
      </c>
      <c r="T15" s="177" t="e">
        <f>R15*PRODUCT(S5:S14)*PRODUCT(S16:S19)</f>
        <v>#DIV/0!</v>
      </c>
      <c r="U15" s="177" t="e">
        <f>R15*R16*PRODUCT(S5:S14)*PRODUCT(S17:S19)+R15*R17*PRODUCT(S5:S14)*S16*PRODUCT(S18:S19)+R15*R18*PRODUCT(S5:S14)*S16*S17*S19+R15*R19*PRODUCT(S5:S14)*S16*S17*S18</f>
        <v>#DIV/0!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 t="e">
        <f t="shared" si="4"/>
        <v>#DIV/0!</v>
      </c>
      <c r="AC15" s="176" t="e">
        <f t="shared" si="5"/>
        <v>#DIV/0!</v>
      </c>
      <c r="AD15" s="177" t="e">
        <f>AB15*PRODUCT(AC5:AC14)*PRODUCT(AC16:AC19)</f>
        <v>#DIV/0!</v>
      </c>
      <c r="AE15" s="177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$H$30*H40</f>
        <v>#DIV/0!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/>
      <c r="G16" s="167"/>
      <c r="H16" s="10"/>
      <c r="I16" s="10"/>
      <c r="J16" s="166"/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 t="e">
        <f t="shared" si="6"/>
        <v>#DIV/0!</v>
      </c>
      <c r="S16" s="176" t="e">
        <f t="shared" si="2"/>
        <v>#DIV/0!</v>
      </c>
      <c r="T16" s="177" t="e">
        <f>R16*PRODUCT(S5:S15)*PRODUCT(S17:S19)</f>
        <v>#DIV/0!</v>
      </c>
      <c r="U16" s="177" t="e">
        <f>R16*R17*PRODUCT(S5:S15)*PRODUCT(S18:S19)+R16*R18*PRODUCT(S5:S15)*S17*S19+R16*R19*PRODUCT(S5:S15)*S17*S18</f>
        <v>#DIV/0!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 t="e">
        <f t="shared" si="4"/>
        <v>#DIV/0!</v>
      </c>
      <c r="AC16" s="176" t="e">
        <f t="shared" si="5"/>
        <v>#DIV/0!</v>
      </c>
      <c r="AD16" s="177" t="e">
        <f>AB16*PRODUCT(AC5:AC15)*PRODUCT(AC17:AC19)</f>
        <v>#DIV/0!</v>
      </c>
      <c r="AE16" s="177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$H$30*H41</f>
        <v>#DIV/0!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/>
      <c r="G17" s="167"/>
      <c r="H17" s="10"/>
      <c r="I17" s="10"/>
      <c r="J17" s="166"/>
      <c r="K17" s="166"/>
      <c r="L17" s="10"/>
      <c r="M17" s="10"/>
      <c r="O17" s="67">
        <f>(0.02*2)*IF(COUNTBLANK(F14:F15)&lt;&gt;0, (2-COUNTBLANK(F14:F15))/2,1)</f>
        <v>0</v>
      </c>
      <c r="P17" s="16" t="str">
        <f>P3</f>
        <v>0,6</v>
      </c>
      <c r="Q17" s="16">
        <f t="shared" si="1"/>
        <v>0</v>
      </c>
      <c r="R17" s="157" t="e">
        <f t="shared" si="6"/>
        <v>#DIV/0!</v>
      </c>
      <c r="S17" s="176" t="e">
        <f t="shared" si="2"/>
        <v>#DIV/0!</v>
      </c>
      <c r="T17" s="177" t="e">
        <f>R17*PRODUCT(S5:S16)*PRODUCT(S18:S19)</f>
        <v>#DIV/0!</v>
      </c>
      <c r="U17" s="177" t="e">
        <f>R17*R18*PRODUCT(S5:S16)*S19+R17*R19*PRODUCT(S5:S16)*S18</f>
        <v>#DIV/0!</v>
      </c>
      <c r="W17" s="186" t="s">
        <v>60</v>
      </c>
      <c r="X17" s="15" t="s">
        <v>61</v>
      </c>
      <c r="Y17" s="69">
        <f>(0.02*2)*IF(COUNTBLANK(J14:J15)&lt;&gt;0, (2-COUNTBLANK(J14:J15))/2,1)</f>
        <v>0</v>
      </c>
      <c r="Z17" s="146" t="str">
        <f>Z3</f>
        <v>0,6</v>
      </c>
      <c r="AA17" s="19">
        <f t="shared" si="3"/>
        <v>0</v>
      </c>
      <c r="AB17" s="157" t="e">
        <f t="shared" si="4"/>
        <v>#DIV/0!</v>
      </c>
      <c r="AC17" s="176" t="e">
        <f t="shared" si="5"/>
        <v>#DIV/0!</v>
      </c>
      <c r="AD17" s="177" t="e">
        <f>AB17*PRODUCT(AC5:AC16)*PRODUCT(AC18:AC19)</f>
        <v>#DIV/0!</v>
      </c>
      <c r="AE17" s="177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$H$30*H42</f>
        <v>#DIV/0!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/>
      <c r="G18" s="167"/>
      <c r="H18" s="10"/>
      <c r="I18" s="10"/>
      <c r="J18" s="166"/>
      <c r="K18" s="166"/>
      <c r="L18" s="10"/>
      <c r="M18" s="10"/>
      <c r="O18" s="67">
        <v>0</v>
      </c>
      <c r="P18" s="144">
        <v>0.5</v>
      </c>
      <c r="Q18" s="16">
        <f t="shared" si="1"/>
        <v>0</v>
      </c>
      <c r="R18" s="157" t="e">
        <f t="shared" si="6"/>
        <v>#DIV/0!</v>
      </c>
      <c r="S18" s="176" t="e">
        <f t="shared" si="2"/>
        <v>#DIV/0!</v>
      </c>
      <c r="T18" s="177" t="e">
        <f>R18*PRODUCT(S5:S17)*PRODUCT(S19:S19)</f>
        <v>#DIV/0!</v>
      </c>
      <c r="U18" s="177" t="e">
        <f>R18*R19*PRODUCT(S5:S17)</f>
        <v>#DIV/0!</v>
      </c>
      <c r="W18" s="186" t="s">
        <v>62</v>
      </c>
      <c r="X18" s="15" t="s">
        <v>63</v>
      </c>
      <c r="Y18" s="69">
        <v>0</v>
      </c>
      <c r="Z18" s="146">
        <v>0.5</v>
      </c>
      <c r="AA18" s="19">
        <f t="shared" si="3"/>
        <v>0</v>
      </c>
      <c r="AB18" s="157" t="e">
        <f t="shared" si="4"/>
        <v>#DIV/0!</v>
      </c>
      <c r="AC18" s="176" t="e">
        <f t="shared" si="5"/>
        <v>#DIV/0!</v>
      </c>
      <c r="AD18" s="177" t="e">
        <f>AB18*PRODUCT(AC5:AC17)*PRODUCT(AC19:AC19)</f>
        <v>#DIV/0!</v>
      </c>
      <c r="AE18" s="177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$H$30*H43</f>
        <v>#DIV/0!</v>
      </c>
    </row>
    <row r="19" spans="1:70" x14ac:dyDescent="0.25">
      <c r="H19" s="13" t="s">
        <v>141</v>
      </c>
      <c r="L19" s="13" t="s">
        <v>141</v>
      </c>
      <c r="O19" s="67">
        <f>COUNTIF(F14:F18,"TEC")*0.06*IF(COUNTIF(J6:J13,"CAB")&lt;&gt;0,1,0)</f>
        <v>0</v>
      </c>
      <c r="P19" s="16" t="str">
        <f>P3</f>
        <v>0,6</v>
      </c>
      <c r="Q19" s="16">
        <f t="shared" si="1"/>
        <v>0</v>
      </c>
      <c r="R19" s="157" t="e">
        <f t="shared" si="6"/>
        <v>#DIV/0!</v>
      </c>
      <c r="S19" s="178" t="e">
        <f t="shared" si="2"/>
        <v>#DIV/0!</v>
      </c>
      <c r="T19" s="179" t="e">
        <f>R19*PRODUCT(S5:S18)</f>
        <v>#DIV/0!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COUNTIF(J14:J18,"TEC")*0.06*IF(COUNTIF(F6:F13,"CAB")&lt;&gt;0,1,0)</f>
        <v>0</v>
      </c>
      <c r="Z19" s="146" t="str">
        <f>Z3</f>
        <v>0,6</v>
      </c>
      <c r="AA19" s="19">
        <f t="shared" si="3"/>
        <v>0</v>
      </c>
      <c r="AB19" s="157" t="e">
        <f t="shared" si="4"/>
        <v>#DIV/0!</v>
      </c>
      <c r="AC19" s="178" t="e">
        <f t="shared" si="5"/>
        <v>#DIV/0!</v>
      </c>
      <c r="AD19" s="179" t="e">
        <f>AB19*PRODUCT(AC5:AC18)</f>
        <v>#DIV/0!</v>
      </c>
      <c r="AE19" s="179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$H$31*H40</f>
        <v>#DIV/0!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 t="e">
        <f>PRODUCT(S5:S19)</f>
        <v>#DIV/0!</v>
      </c>
      <c r="T20" s="181" t="e">
        <f>SUM(T5:T19)</f>
        <v>#DIV/0!</v>
      </c>
      <c r="U20" s="181" t="e">
        <f>SUM(U5:U19)</f>
        <v>#DIV/0!</v>
      </c>
      <c r="V20" s="181" t="e">
        <f>1-S20-T20-U20</f>
        <v>#DIV/0!</v>
      </c>
      <c r="W20" s="21"/>
      <c r="X20" s="22"/>
      <c r="Y20" s="22"/>
      <c r="Z20" s="22"/>
      <c r="AA20" s="22"/>
      <c r="AB20" s="23"/>
      <c r="AC20" s="184" t="e">
        <f>PRODUCT(AC5:AC19)</f>
        <v>#DIV/0!</v>
      </c>
      <c r="AD20" s="181" t="e">
        <f>SUM(AD5:AD19)</f>
        <v>#DIV/0!</v>
      </c>
      <c r="AE20" s="181" t="e">
        <f>SUM(AE5:AE19)</f>
        <v>#DIV/0!</v>
      </c>
      <c r="AF20" s="181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$H$31*H41</f>
        <v>#DIV/0!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 t="e">
        <f>1-T21-U21-V21</f>
        <v>#DIV/0!</v>
      </c>
      <c r="T21" s="183" t="e">
        <f>T20*V1</f>
        <v>#DIV/0!</v>
      </c>
      <c r="U21" s="183" t="e">
        <f>U20*V1</f>
        <v>#DIV/0!</v>
      </c>
      <c r="V21" s="183" t="e">
        <f>V20*V1</f>
        <v>#DIV/0!</v>
      </c>
      <c r="W21" s="21"/>
      <c r="X21" s="22"/>
      <c r="Y21" s="22"/>
      <c r="Z21" s="22"/>
      <c r="AA21" s="22"/>
      <c r="AB21" s="23"/>
      <c r="AC21" s="185" t="e">
        <f>1-AD21-AE21-AF21</f>
        <v>#DIV/0!</v>
      </c>
      <c r="AD21" s="183" t="e">
        <f>AD20*V1</f>
        <v>#DIV/0!</v>
      </c>
      <c r="AE21" s="183" t="e">
        <f>AE20*V1</f>
        <v>#DIV/0!</v>
      </c>
      <c r="AF21" s="183" t="e">
        <f>AF20*V1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$H$31*H42</f>
        <v>#DIV/0!</v>
      </c>
    </row>
    <row r="22" spans="1:70" x14ac:dyDescent="0.25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V22" s="59" t="e">
        <f>SUM(V25:V35)</f>
        <v>#DIV/0!</v>
      </c>
      <c r="AS22" s="82" t="e">
        <f>Y23+AA23+AC23+AE23+AG23+AI23+AK23+AM23+AO23+AQ23+AS23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$H$31*H43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H23" s="59" t="e">
        <f>SUM(H25:H35)</f>
        <v>#DIV/0!</v>
      </c>
      <c r="J23" s="59" t="e">
        <f>SUM(J25:J35)</f>
        <v>#DIV/0!</v>
      </c>
      <c r="K23" s="59"/>
      <c r="L23" s="59" t="e">
        <f>SUM(L25:L35)</f>
        <v>#DIV/0!</v>
      </c>
      <c r="N23" s="59" t="e">
        <f>SUM(N25:N35)</f>
        <v>#DIV/0!</v>
      </c>
      <c r="O23" s="34"/>
      <c r="P23" s="59" t="e">
        <f>SUM(P25:P35)</f>
        <v>#DIV/0!</v>
      </c>
      <c r="R23" s="59" t="e">
        <f>SUM(R25:R35)</f>
        <v>#DIV/0!</v>
      </c>
      <c r="T23" s="59" t="e">
        <f>SUM(T25:T35)</f>
        <v>#DIV/0!</v>
      </c>
      <c r="V23" s="59" t="e">
        <f>SUM(V25:V34)</f>
        <v>#DIV/0!</v>
      </c>
      <c r="Y23" s="80" t="e">
        <f>SUM(Y25:Y35)</f>
        <v>#DIV/0!</v>
      </c>
      <c r="Z23" s="81"/>
      <c r="AA23" s="80" t="e">
        <f>SUM(AA25:AA35)</f>
        <v>#DIV/0!</v>
      </c>
      <c r="AB23" s="81"/>
      <c r="AC23" s="80" t="e">
        <f>SUM(AC25:AC35)</f>
        <v>#DIV/0!</v>
      </c>
      <c r="AD23" s="81"/>
      <c r="AE23" s="80" t="e">
        <f>SUM(AE25:AE35)</f>
        <v>#DIV/0!</v>
      </c>
      <c r="AF23" s="81"/>
      <c r="AG23" s="80" t="e">
        <f>SUM(AG25:AG35)</f>
        <v>#DIV/0!</v>
      </c>
      <c r="AH23" s="81"/>
      <c r="AI23" s="80" t="e">
        <f>SUM(AI25:AI35)</f>
        <v>#DIV/0!</v>
      </c>
      <c r="AJ23" s="81"/>
      <c r="AK23" s="80" t="e">
        <f>SUM(AK25:AK35)</f>
        <v>#DIV/0!</v>
      </c>
      <c r="AL23" s="81"/>
      <c r="AM23" s="80" t="e">
        <f>SUM(AM25:AM35)</f>
        <v>#DIV/0!</v>
      </c>
      <c r="AN23" s="81"/>
      <c r="AO23" s="80" t="e">
        <f>SUM(AO25:AO35)</f>
        <v>#DIV/0!</v>
      </c>
      <c r="AP23" s="81"/>
      <c r="AQ23" s="80" t="e">
        <f>SUM(AQ25:AQ35)</f>
        <v>#DIV/0!</v>
      </c>
      <c r="AR23" s="81"/>
      <c r="AS23" s="80" t="e">
        <f>SUM(AS25:AS35)</f>
        <v>#DIV/0!</v>
      </c>
      <c r="BH23">
        <f t="shared" ref="BH23:BH30" si="8">BH15+1</f>
        <v>2</v>
      </c>
      <c r="BI23">
        <v>3</v>
      </c>
      <c r="BJ23" s="107" t="e">
        <f t="shared" ref="BJ23:BJ30" si="9">$H$27*H42</f>
        <v>#DIV/0!</v>
      </c>
      <c r="BP23">
        <f>BL9+1</f>
        <v>6</v>
      </c>
      <c r="BQ23">
        <v>5</v>
      </c>
      <c r="BR23" s="107" t="e">
        <f>$H$31*H44</f>
        <v>#DIV/0!</v>
      </c>
    </row>
    <row r="24" spans="1:70" ht="15.75" thickBot="1" x14ac:dyDescent="0.3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0">$H$32*H39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 t="e">
        <f>L25*J25</f>
        <v>#DIV/0!</v>
      </c>
      <c r="I25" s="97">
        <v>0</v>
      </c>
      <c r="J25" s="98" t="e">
        <f t="shared" ref="J25:J35" si="11">Y25+AA25+AC25+AE25+AG25+AI25+AK25+AM25+AO25+AQ25+AS25</f>
        <v>#DIV/0!</v>
      </c>
      <c r="K25" s="97">
        <v>0</v>
      </c>
      <c r="L25" s="98" t="e">
        <f>S21</f>
        <v>#DIV/0!</v>
      </c>
      <c r="M25" s="84">
        <v>0</v>
      </c>
      <c r="N25" s="71" t="e">
        <f>(1-$B$24)^$B$21</f>
        <v>#DIV/0!</v>
      </c>
      <c r="O25" s="70">
        <v>0</v>
      </c>
      <c r="P25" s="71" t="e">
        <f>N25</f>
        <v>#DIV/0!</v>
      </c>
      <c r="Q25" s="12">
        <v>0</v>
      </c>
      <c r="R25" s="73" t="e">
        <f>P25*N25</f>
        <v>#DIV/0!</v>
      </c>
      <c r="S25" s="70">
        <v>0</v>
      </c>
      <c r="T25" s="135" t="e">
        <f>(1-$B$33)^(INT(C23*2*(1-C31)))</f>
        <v>#DIV/0!</v>
      </c>
      <c r="U25" s="140">
        <v>0</v>
      </c>
      <c r="V25" s="86" t="e">
        <f>R25*T25</f>
        <v>#DIV/0!</v>
      </c>
      <c r="W25" s="136" t="e">
        <f>B31</f>
        <v>#DIV/0!</v>
      </c>
      <c r="X25" s="12">
        <v>0</v>
      </c>
      <c r="Y25" s="79" t="e">
        <f>V25</f>
        <v>#DIV/0!</v>
      </c>
      <c r="Z25" s="12">
        <v>0</v>
      </c>
      <c r="AA25" s="78" t="e">
        <f>((1-W25)^Z26)*V26</f>
        <v>#DIV/0!</v>
      </c>
      <c r="AB25" s="12">
        <v>0</v>
      </c>
      <c r="AC25" s="79" t="e">
        <f>(((1-$W$25)^AB27))*V27</f>
        <v>#DIV/0!</v>
      </c>
      <c r="AD25" s="12">
        <v>0</v>
      </c>
      <c r="AE25" s="79" t="e">
        <f>(((1-$W$25)^AB28))*V28</f>
        <v>#DIV/0!</v>
      </c>
      <c r="AF25" s="12">
        <v>0</v>
      </c>
      <c r="AG25" s="79" t="e">
        <f>(((1-$W$25)^AB29))*V29</f>
        <v>#DIV/0!</v>
      </c>
      <c r="AH25" s="12">
        <v>0</v>
      </c>
      <c r="AI25" s="79" t="e">
        <f>(((1-$W$25)^AB30))*V30</f>
        <v>#DIV/0!</v>
      </c>
      <c r="AJ25" s="12">
        <v>0</v>
      </c>
      <c r="AK25" s="79" t="e">
        <f>(((1-$W$25)^AB31))*V31</f>
        <v>#DIV/0!</v>
      </c>
      <c r="AL25" s="12">
        <v>0</v>
      </c>
      <c r="AM25" s="79" t="e">
        <f>(((1-$W$25)^AB32))*V32</f>
        <v>#DIV/0!</v>
      </c>
      <c r="AN25" s="12">
        <v>0</v>
      </c>
      <c r="AO25" s="79" t="e">
        <f>(((1-$W$25)^AB33))*V33</f>
        <v>#DIV/0!</v>
      </c>
      <c r="AP25" s="12">
        <v>0</v>
      </c>
      <c r="AQ25" s="79" t="e">
        <f>(((1-$W$25)^AB34))*V34</f>
        <v>#DIV/0!</v>
      </c>
      <c r="AR25" s="12">
        <v>0</v>
      </c>
      <c r="AS25" s="79" t="e">
        <f>(((1-$W$25)^AB35))*V35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0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 t="e">
        <f>L25*J26+L26*J25</f>
        <v>#DIV/0!</v>
      </c>
      <c r="I26" s="93">
        <v>1</v>
      </c>
      <c r="J26" s="86" t="e">
        <f t="shared" si="11"/>
        <v>#DIV/0!</v>
      </c>
      <c r="K26" s="93">
        <v>1</v>
      </c>
      <c r="L26" s="86" t="e">
        <f>T21</f>
        <v>#DIV/0!</v>
      </c>
      <c r="M26" s="85">
        <v>1</v>
      </c>
      <c r="N26" s="71" t="e">
        <f>(($B$24)^M26)*((1-($B$24))^($B$21-M26))*HLOOKUP($B$21,$AV$24:$BF$34,M26+1)</f>
        <v>#DIV/0!</v>
      </c>
      <c r="O26" s="72">
        <v>1</v>
      </c>
      <c r="P26" s="71" t="e">
        <f t="shared" ref="P26:P30" si="12">N26</f>
        <v>#DIV/0!</v>
      </c>
      <c r="Q26" s="28">
        <v>1</v>
      </c>
      <c r="R26" s="37" t="e">
        <f>N26*P25+P26*N25</f>
        <v>#DIV/0!</v>
      </c>
      <c r="S26" s="72">
        <v>1</v>
      </c>
      <c r="T26" s="135" t="e">
        <f t="shared" ref="T26:T35" si="13">(($B$33)^S26)*((1-($B$33))^(INT($C$23*2*(1-$C$31))-S26))*HLOOKUP(INT($C$23*2*(1-$C$31)),$AV$24:$BF$34,S26+1)</f>
        <v>#DIV/0!</v>
      </c>
      <c r="U26" s="93">
        <v>1</v>
      </c>
      <c r="V26" s="86" t="e">
        <f>R26*T25+T26*R25</f>
        <v>#DIV/0!</v>
      </c>
      <c r="W26" s="137"/>
      <c r="X26" s="28">
        <v>1</v>
      </c>
      <c r="Y26" s="73"/>
      <c r="Z26" s="28">
        <v>1</v>
      </c>
      <c r="AA26" s="79" t="e">
        <f>(1-((1-W25)^Z26))*V26</f>
        <v>#DIV/0!</v>
      </c>
      <c r="AB26" s="28">
        <v>1</v>
      </c>
      <c r="AC26" s="79" t="e">
        <f>((($W$25)^M26)*((1-($W$25))^($U$27-M26))*HLOOKUP($U$27,$AV$24:$BF$34,M26+1))*V27</f>
        <v>#DIV/0!</v>
      </c>
      <c r="AD26" s="28">
        <v>1</v>
      </c>
      <c r="AE26" s="79" t="e">
        <f>((($W$25)^M26)*((1-($W$25))^($U$28-M26))*HLOOKUP($U$28,$AV$24:$BF$34,M26+1))*V28</f>
        <v>#DIV/0!</v>
      </c>
      <c r="AF26" s="28">
        <v>1</v>
      </c>
      <c r="AG26" s="79" t="e">
        <f>((($W$25)^M26)*((1-($W$25))^($U$29-M26))*HLOOKUP($U$29,$AV$24:$BF$34,M26+1))*V29</f>
        <v>#DIV/0!</v>
      </c>
      <c r="AH26" s="28">
        <v>1</v>
      </c>
      <c r="AI26" s="79" t="e">
        <f>((($W$25)^M26)*((1-($W$25))^($U$30-M26))*HLOOKUP($U$30,$AV$24:$BF$34,M26+1))*V30</f>
        <v>#DIV/0!</v>
      </c>
      <c r="AJ26" s="28">
        <v>1</v>
      </c>
      <c r="AK26" s="79" t="e">
        <f>((($W$25)^M26)*((1-($W$25))^($U$31-M26))*HLOOKUP($U$31,$AV$24:$BF$34,M26+1))*V31</f>
        <v>#DIV/0!</v>
      </c>
      <c r="AL26" s="28">
        <v>1</v>
      </c>
      <c r="AM26" s="79" t="e">
        <f>((($W$25)^Q26)*((1-($W$25))^($U$32-Q26))*HLOOKUP($U$32,$AV$24:$BF$34,Q26+1))*V32</f>
        <v>#DIV/0!</v>
      </c>
      <c r="AN26" s="28">
        <v>1</v>
      </c>
      <c r="AO26" s="79" t="e">
        <f>((($W$25)^Q26)*((1-($W$25))^($U$33-Q26))*HLOOKUP($U$33,$AV$24:$BF$34,Q26+1))*V33</f>
        <v>#DIV/0!</v>
      </c>
      <c r="AP26" s="28">
        <v>1</v>
      </c>
      <c r="AQ26" s="79" t="e">
        <f>((($W$25)^Q26)*((1-($W$25))^($U$34-Q26))*HLOOKUP($U$34,$AV$24:$BF$34,Q26+1))*V34</f>
        <v>#DIV/0!</v>
      </c>
      <c r="AR26" s="28">
        <v>1</v>
      </c>
      <c r="AS26" s="79" t="e">
        <f>((($W$25)^Q26)*((1-($W$25))^($U$35-Q26))*HLOOKUP($U$35,$AV$24:$BF$34,Q26+1))*V35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0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2</v>
      </c>
      <c r="H27" s="128" t="e">
        <f>L25*J27+J26*L26+J25*L27</f>
        <v>#DIV/0!</v>
      </c>
      <c r="I27" s="93">
        <v>2</v>
      </c>
      <c r="J27" s="86" t="e">
        <f t="shared" si="11"/>
        <v>#DIV/0!</v>
      </c>
      <c r="K27" s="93">
        <v>2</v>
      </c>
      <c r="L27" s="86" t="e">
        <f>U21</f>
        <v>#DIV/0!</v>
      </c>
      <c r="M27" s="85">
        <v>2</v>
      </c>
      <c r="N27" s="71" t="e">
        <f>(($B$24)^M27)*((1-($B$24))^($B$21-M27))*HLOOKUP($B$21,$AV$24:$BF$34,M27+1)</f>
        <v>#DIV/0!</v>
      </c>
      <c r="O27" s="72">
        <v>2</v>
      </c>
      <c r="P27" s="71" t="e">
        <f t="shared" si="12"/>
        <v>#DIV/0!</v>
      </c>
      <c r="Q27" s="28">
        <v>2</v>
      </c>
      <c r="R27" s="37" t="e">
        <f>P25*N27+P26*N26+P27*N25</f>
        <v>#DIV/0!</v>
      </c>
      <c r="S27" s="72">
        <v>2</v>
      </c>
      <c r="T27" s="135" t="e">
        <f t="shared" si="13"/>
        <v>#DIV/0!</v>
      </c>
      <c r="U27" s="93">
        <v>2</v>
      </c>
      <c r="V27" s="86" t="e">
        <f>R27*T25+T26*R26+R25*T27</f>
        <v>#DIV/0!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 t="e">
        <f>((($W$25)^M27)*((1-($W$25))^($U$27-M27))*HLOOKUP($U$27,$AV$24:$BF$34,M27+1))*V27</f>
        <v>#DIV/0!</v>
      </c>
      <c r="AD27" s="28">
        <v>2</v>
      </c>
      <c r="AE27" s="79" t="e">
        <f>((($W$25)^M27)*((1-($W$25))^($U$28-M27))*HLOOKUP($U$28,$AV$24:$BF$34,M27+1))*V28</f>
        <v>#DIV/0!</v>
      </c>
      <c r="AF27" s="28">
        <v>2</v>
      </c>
      <c r="AG27" s="79" t="e">
        <f>((($W$25)^M27)*((1-($W$25))^($U$29-M27))*HLOOKUP($U$29,$AV$24:$BF$34,M27+1))*V29</f>
        <v>#DIV/0!</v>
      </c>
      <c r="AH27" s="28">
        <v>2</v>
      </c>
      <c r="AI27" s="79" t="e">
        <f>((($W$25)^M27)*((1-($W$25))^($U$30-M27))*HLOOKUP($U$30,$AV$24:$BF$34,M27+1))*V30</f>
        <v>#DIV/0!</v>
      </c>
      <c r="AJ27" s="28">
        <v>2</v>
      </c>
      <c r="AK27" s="79" t="e">
        <f>((($W$25)^M27)*((1-($W$25))^($U$31-M27))*HLOOKUP($U$31,$AV$24:$BF$34,M27+1))*V31</f>
        <v>#DIV/0!</v>
      </c>
      <c r="AL27" s="28">
        <v>2</v>
      </c>
      <c r="AM27" s="79" t="e">
        <f>((($W$25)^Q27)*((1-($W$25))^($U$32-Q27))*HLOOKUP($U$32,$AV$24:$BF$34,Q27+1))*V32</f>
        <v>#DIV/0!</v>
      </c>
      <c r="AN27" s="28">
        <v>2</v>
      </c>
      <c r="AO27" s="79" t="e">
        <f>((($W$25)^Q27)*((1-($W$25))^($U$33-Q27))*HLOOKUP($U$33,$AV$24:$BF$34,Q27+1))*V33</f>
        <v>#DIV/0!</v>
      </c>
      <c r="AP27" s="28">
        <v>2</v>
      </c>
      <c r="AQ27" s="79" t="e">
        <f>((($W$25)^Q27)*((1-($W$25))^($U$34-Q27))*HLOOKUP($U$34,$AV$24:$BF$34,Q27+1))*V34</f>
        <v>#DIV/0!</v>
      </c>
      <c r="AR27" s="28">
        <v>2</v>
      </c>
      <c r="AS27" s="79" t="e">
        <f>((($W$25)^Q27)*((1-($W$25))^($U$35-Q27))*HLOOKUP($U$35,$AV$24:$BF$34,Q27+1))*V35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0"/>
        <v>#DIV/0!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 t="e">
        <f>J28*L25+J27*L26+L28*J25+L27*J26</f>
        <v>#DIV/0!</v>
      </c>
      <c r="I28" s="93">
        <v>3</v>
      </c>
      <c r="J28" s="86" t="e">
        <f t="shared" si="11"/>
        <v>#DIV/0!</v>
      </c>
      <c r="K28" s="93">
        <v>3</v>
      </c>
      <c r="L28" s="86" t="e">
        <f>V21</f>
        <v>#DIV/0!</v>
      </c>
      <c r="M28" s="85">
        <v>3</v>
      </c>
      <c r="N28" s="71" t="e">
        <f>(($B$24)^M28)*((1-($B$24))^($B$21-M28))*HLOOKUP($B$21,$AV$24:$BF$34,M28+1)</f>
        <v>#DIV/0!</v>
      </c>
      <c r="O28" s="72">
        <v>3</v>
      </c>
      <c r="P28" s="71" t="e">
        <f t="shared" si="12"/>
        <v>#DIV/0!</v>
      </c>
      <c r="Q28" s="28">
        <v>3</v>
      </c>
      <c r="R28" s="37" t="e">
        <f>P25*N28+P26*N27+P27*N26+P28*N25</f>
        <v>#DIV/0!</v>
      </c>
      <c r="S28" s="72">
        <v>3</v>
      </c>
      <c r="T28" s="135" t="e">
        <f t="shared" si="13"/>
        <v>#DIV/0!</v>
      </c>
      <c r="U28" s="93">
        <v>3</v>
      </c>
      <c r="V28" s="86" t="e">
        <f>R28*T25+R27*T26+R26*T27+R25*T28</f>
        <v>#DIV/0!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 t="e">
        <f>((($W$25)^M28)*((1-($W$25))^($U$28-M28))*HLOOKUP($U$28,$AV$24:$BF$34,M28+1))*V28</f>
        <v>#DIV/0!</v>
      </c>
      <c r="AF28" s="28">
        <v>3</v>
      </c>
      <c r="AG28" s="79" t="e">
        <f>((($W$25)^M28)*((1-($W$25))^($U$29-M28))*HLOOKUP($U$29,$AV$24:$BF$34,M28+1))*V29</f>
        <v>#DIV/0!</v>
      </c>
      <c r="AH28" s="28">
        <v>3</v>
      </c>
      <c r="AI28" s="79" t="e">
        <f>((($W$25)^M28)*((1-($W$25))^($U$30-M28))*HLOOKUP($U$30,$AV$24:$BF$34,M28+1))*V30</f>
        <v>#DIV/0!</v>
      </c>
      <c r="AJ28" s="28">
        <v>3</v>
      </c>
      <c r="AK28" s="79" t="e">
        <f>((($W$25)^M28)*((1-($W$25))^($U$31-M28))*HLOOKUP($U$31,$AV$24:$BF$34,M28+1))*V31</f>
        <v>#DIV/0!</v>
      </c>
      <c r="AL28" s="28">
        <v>3</v>
      </c>
      <c r="AM28" s="79" t="e">
        <f>((($W$25)^Q28)*((1-($W$25))^($U$32-Q28))*HLOOKUP($U$32,$AV$24:$BF$34,Q28+1))*V32</f>
        <v>#DIV/0!</v>
      </c>
      <c r="AN28" s="28">
        <v>3</v>
      </c>
      <c r="AO28" s="79" t="e">
        <f>((($W$25)^Q28)*((1-($W$25))^($U$33-Q28))*HLOOKUP($U$33,$AV$24:$BF$34,Q28+1))*V33</f>
        <v>#DIV/0!</v>
      </c>
      <c r="AP28" s="28">
        <v>3</v>
      </c>
      <c r="AQ28" s="79" t="e">
        <f>((($W$25)^Q28)*((1-($W$25))^($U$34-Q28))*HLOOKUP($U$34,$AV$24:$BF$34,Q28+1))*V34</f>
        <v>#DIV/0!</v>
      </c>
      <c r="AR28" s="28">
        <v>3</v>
      </c>
      <c r="AS28" s="79" t="e">
        <f>((($W$25)^Q28)*((1-($W$25))^($U$35-Q28))*HLOOKUP($U$35,$AV$24:$BF$34,Q28+1))*V35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0"/>
        <v>#DIV/0!</v>
      </c>
    </row>
    <row r="29" spans="1:70" x14ac:dyDescent="0.25">
      <c r="A29" s="26" t="s">
        <v>27</v>
      </c>
      <c r="B29" s="123">
        <f>1/(1+EXP(-3.1416*4*((B14/(B14+C13))-(3.1416/6))))</f>
        <v>0.22523141403777475</v>
      </c>
      <c r="C29" s="118">
        <f>1/(1+EXP(-3.1416*4*((C14/(C14+B13))-(3.1416/6))))</f>
        <v>0.35989489168508015</v>
      </c>
      <c r="D29" s="153">
        <v>0.04</v>
      </c>
      <c r="E29" s="153">
        <v>0.04</v>
      </c>
      <c r="G29" s="87">
        <v>4</v>
      </c>
      <c r="H29" s="128" t="e">
        <f>J29*L25+J28*L26+J27*L27+J26*L28</f>
        <v>#DIV/0!</v>
      </c>
      <c r="I29" s="93">
        <v>4</v>
      </c>
      <c r="J29" s="86" t="e">
        <f t="shared" si="11"/>
        <v>#DIV/0!</v>
      </c>
      <c r="K29" s="93">
        <v>4</v>
      </c>
      <c r="L29" s="86"/>
      <c r="M29" s="85">
        <v>4</v>
      </c>
      <c r="N29" s="71" t="e">
        <f>(($B$24)^M29)*((1-($B$24))^($B$21-M29))*HLOOKUP($B$21,$AV$24:$BF$34,M29+1)</f>
        <v>#DIV/0!</v>
      </c>
      <c r="O29" s="72">
        <v>4</v>
      </c>
      <c r="P29" s="71" t="e">
        <f t="shared" si="12"/>
        <v>#DIV/0!</v>
      </c>
      <c r="Q29" s="28">
        <v>4</v>
      </c>
      <c r="R29" s="37" t="e">
        <f>P25*N29+P26*N28+P27*N27+P28*N26+P29*N25</f>
        <v>#DIV/0!</v>
      </c>
      <c r="S29" s="72">
        <v>4</v>
      </c>
      <c r="T29" s="135" t="e">
        <f t="shared" si="13"/>
        <v>#DIV/0!</v>
      </c>
      <c r="U29" s="93">
        <v>4</v>
      </c>
      <c r="V29" s="86" t="e">
        <f>T29*R25+T28*R26+T27*R27+T26*R28+T25*R29</f>
        <v>#DIV/0!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 t="e">
        <f>((($W$25)^M29)*((1-($W$25))^($U$29-M29))*HLOOKUP($U$29,$AV$24:$BF$34,M29+1))*V29</f>
        <v>#DIV/0!</v>
      </c>
      <c r="AH29" s="28">
        <v>4</v>
      </c>
      <c r="AI29" s="79" t="e">
        <f>((($W$25)^M29)*((1-($W$25))^($U$30-M29))*HLOOKUP($U$30,$AV$24:$BF$34,M29+1))*V30</f>
        <v>#DIV/0!</v>
      </c>
      <c r="AJ29" s="28">
        <v>4</v>
      </c>
      <c r="AK29" s="79" t="e">
        <f>((($W$25)^M29)*((1-($W$25))^($U$31-M29))*HLOOKUP($U$31,$AV$24:$BF$34,M29+1))*V31</f>
        <v>#DIV/0!</v>
      </c>
      <c r="AL29" s="28">
        <v>4</v>
      </c>
      <c r="AM29" s="79" t="e">
        <f>((($W$25)^Q29)*((1-($W$25))^($U$32-Q29))*HLOOKUP($U$32,$AV$24:$BF$34,Q29+1))*V32</f>
        <v>#DIV/0!</v>
      </c>
      <c r="AN29" s="28">
        <v>4</v>
      </c>
      <c r="AO29" s="79" t="e">
        <f>((($W$25)^Q29)*((1-($W$25))^($U$33-Q29))*HLOOKUP($U$33,$AV$24:$BF$34,Q29+1))*V33</f>
        <v>#DIV/0!</v>
      </c>
      <c r="AP29" s="28">
        <v>4</v>
      </c>
      <c r="AQ29" s="79" t="e">
        <f>((($W$25)^Q29)*((1-($W$25))^($U$34-Q29))*HLOOKUP($U$34,$AV$24:$BF$34,Q29+1))*V34</f>
        <v>#DIV/0!</v>
      </c>
      <c r="AR29" s="28">
        <v>4</v>
      </c>
      <c r="AS29" s="79" t="e">
        <f>((($W$25)^Q29)*((1-($W$25))^($U$35-Q29))*HLOOKUP($U$35,$AV$24:$BF$34,Q29+1))*V35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0"/>
        <v>#DIV/0!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 t="e">
        <f>J30*L25+J29*L26+J28*L27+J27*L28</f>
        <v>#DIV/0!</v>
      </c>
      <c r="I30" s="93">
        <v>5</v>
      </c>
      <c r="J30" s="86" t="e">
        <f t="shared" si="11"/>
        <v>#DIV/0!</v>
      </c>
      <c r="K30" s="93">
        <v>5</v>
      </c>
      <c r="L30" s="86"/>
      <c r="M30" s="85">
        <v>5</v>
      </c>
      <c r="N30" s="71" t="e">
        <f>(($B$24)^M30)*((1-($B$24))^($B$21-M30))*HLOOKUP($B$21,$AV$24:$BF$34,M30+1)</f>
        <v>#DIV/0!</v>
      </c>
      <c r="O30" s="72">
        <v>5</v>
      </c>
      <c r="P30" s="71" t="e">
        <f t="shared" si="12"/>
        <v>#DIV/0!</v>
      </c>
      <c r="Q30" s="28">
        <v>5</v>
      </c>
      <c r="R30" s="37" t="e">
        <f>P25*N30+P26*N29+P27*N28+P28*N27+P29*N26+P30*N25</f>
        <v>#DIV/0!</v>
      </c>
      <c r="S30" s="72">
        <v>5</v>
      </c>
      <c r="T30" s="135" t="e">
        <f t="shared" si="13"/>
        <v>#DIV/0!</v>
      </c>
      <c r="U30" s="93">
        <v>5</v>
      </c>
      <c r="V30" s="86" t="e">
        <f>T30*R25+T29*R26+T28*R27+T27*R28+T26*R29+T25*R30</f>
        <v>#DIV/0!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 t="e">
        <f>((($W$25)^M30)*((1-($W$25))^($U$30-M30))*HLOOKUP($U$30,$AV$24:$BF$34,M30+1))*V30</f>
        <v>#DIV/0!</v>
      </c>
      <c r="AJ30" s="28">
        <v>5</v>
      </c>
      <c r="AK30" s="79" t="e">
        <f>((($W$25)^M30)*((1-($W$25))^($U$31-M30))*HLOOKUP($U$31,$AV$24:$BF$34,M30+1))*V31</f>
        <v>#DIV/0!</v>
      </c>
      <c r="AL30" s="28">
        <v>5</v>
      </c>
      <c r="AM30" s="79" t="e">
        <f>((($W$25)^Q30)*((1-($W$25))^($U$32-Q30))*HLOOKUP($U$32,$AV$24:$BF$34,Q30+1))*V32</f>
        <v>#DIV/0!</v>
      </c>
      <c r="AN30" s="28">
        <v>5</v>
      </c>
      <c r="AO30" s="79" t="e">
        <f>((($W$25)^Q30)*((1-($W$25))^($U$33-Q30))*HLOOKUP($U$33,$AV$24:$BF$34,Q30+1))*V33</f>
        <v>#DIV/0!</v>
      </c>
      <c r="AP30" s="28">
        <v>5</v>
      </c>
      <c r="AQ30" s="79" t="e">
        <f>((($W$25)^Q30)*((1-($W$25))^($U$34-Q30))*HLOOKUP($U$34,$AV$24:$BF$34,Q30+1))*V34</f>
        <v>#DIV/0!</v>
      </c>
      <c r="AR30" s="28">
        <v>5</v>
      </c>
      <c r="AS30" s="79" t="e">
        <f>((($W$25)^Q30)*((1-($W$25))^($U$35-Q30))*HLOOKUP($U$35,$AV$24:$BF$34,Q30+1))*V35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0"/>
        <v>#DIV/0!</v>
      </c>
    </row>
    <row r="31" spans="1:70" x14ac:dyDescent="0.25">
      <c r="A31" s="189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6</v>
      </c>
      <c r="H31" s="128" t="e">
        <f>J31*L25+J30*L26+J29*L27+J28*L28</f>
        <v>#DIV/0!</v>
      </c>
      <c r="I31" s="93">
        <v>6</v>
      </c>
      <c r="J31" s="86" t="e">
        <f t="shared" si="11"/>
        <v>#DIV/0!</v>
      </c>
      <c r="K31" s="93">
        <v>6</v>
      </c>
      <c r="L31" s="86"/>
      <c r="M31" s="85"/>
      <c r="N31" s="73"/>
      <c r="O31" s="37"/>
      <c r="P31" s="37"/>
      <c r="Q31" s="28">
        <v>6</v>
      </c>
      <c r="R31" s="37" t="e">
        <f>P26*N30+P27*N29+P28*N28+P29*N27+P30*N26</f>
        <v>#DIV/0!</v>
      </c>
      <c r="S31" s="70">
        <v>6</v>
      </c>
      <c r="T31" s="135" t="e">
        <f t="shared" si="13"/>
        <v>#DIV/0!</v>
      </c>
      <c r="U31" s="93">
        <v>6</v>
      </c>
      <c r="V31" s="86" t="e">
        <f>T31*R25+T30*R26+T29*R27+T28*R28+T27*R29+T26*R30+T25*R31</f>
        <v>#DIV/0!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 t="e">
        <f>((($W$25)^Q31)*((1-($W$25))^($U$31-Q31))*HLOOKUP($U$31,$AV$24:$BF$34,Q31+1))*V31</f>
        <v>#DIV/0!</v>
      </c>
      <c r="AL31" s="28">
        <v>6</v>
      </c>
      <c r="AM31" s="79" t="e">
        <f>((($W$25)^Q31)*((1-($W$25))^($U$32-Q31))*HLOOKUP($U$32,$AV$24:$BF$34,Q31+1))*V32</f>
        <v>#DIV/0!</v>
      </c>
      <c r="AN31" s="28">
        <v>6</v>
      </c>
      <c r="AO31" s="79" t="e">
        <f>((($W$25)^Q31)*((1-($W$25))^($U$33-Q31))*HLOOKUP($U$33,$AV$24:$BF$34,Q31+1))*V33</f>
        <v>#DIV/0!</v>
      </c>
      <c r="AP31" s="28">
        <v>6</v>
      </c>
      <c r="AQ31" s="79" t="e">
        <f>((($W$25)^Q31)*((1-($W$25))^($U$34-Q31))*HLOOKUP($U$34,$AV$24:$BF$34,Q31+1))*V34</f>
        <v>#DIV/0!</v>
      </c>
      <c r="AR31" s="28">
        <v>6</v>
      </c>
      <c r="AS31" s="79" t="e">
        <f>((($W$25)^Q31)*((1-($W$25))^($U$35-Q31))*HLOOKUP($U$35,$AV$24:$BF$34,Q31+1))*V35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$H$28*H43</f>
        <v>#DIV/0!</v>
      </c>
      <c r="BP31">
        <f t="shared" ref="BP31:BP37" si="17">BP24+1</f>
        <v>8</v>
      </c>
      <c r="BQ31">
        <v>0</v>
      </c>
      <c r="BR31" s="107" t="e">
        <f t="shared" ref="BR31:BR38" si="18">$H$33*H39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 t="e">
        <f>J32*L25+J31*L26+J30*L27+J29*L28</f>
        <v>#DIV/0!</v>
      </c>
      <c r="I32" s="93">
        <v>7</v>
      </c>
      <c r="J32" s="86" t="e">
        <f t="shared" si="11"/>
        <v>#DIV/0!</v>
      </c>
      <c r="K32" s="93">
        <v>7</v>
      </c>
      <c r="L32" s="86"/>
      <c r="M32" s="85"/>
      <c r="N32" s="73"/>
      <c r="O32" s="37"/>
      <c r="P32" s="37"/>
      <c r="Q32" s="28">
        <v>7</v>
      </c>
      <c r="R32" s="37" t="e">
        <f>P27*N30+P28*N29+P29*N28+P30*N27</f>
        <v>#DIV/0!</v>
      </c>
      <c r="S32" s="72">
        <v>7</v>
      </c>
      <c r="T32" s="135" t="e">
        <f t="shared" si="13"/>
        <v>#DIV/0!</v>
      </c>
      <c r="U32" s="93">
        <v>7</v>
      </c>
      <c r="V32" s="86" t="e">
        <f>T32*R25+T31*R26+T30*R27+T29*R28+T28*R29+T27*R30+T26*R31+T25*R32</f>
        <v>#DIV/0!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 t="e">
        <f>((($W$25)^Q32)*((1-($W$25))^($U$32-Q32))*HLOOKUP($U$32,$AV$24:$BF$34,Q32+1))*V32</f>
        <v>#DIV/0!</v>
      </c>
      <c r="AN32" s="28">
        <v>7</v>
      </c>
      <c r="AO32" s="79" t="e">
        <f>((($W$25)^Q32)*((1-($W$25))^($U$33-Q32))*HLOOKUP($U$33,$AV$24:$BF$34,Q32+1))*V33</f>
        <v>#DIV/0!</v>
      </c>
      <c r="AP32" s="28">
        <v>7</v>
      </c>
      <c r="AQ32" s="79" t="e">
        <f>((($W$25)^Q32)*((1-($W$25))^($U$34-Q32))*HLOOKUP($U$34,$AV$24:$BF$34,Q32+1))*V34</f>
        <v>#DIV/0!</v>
      </c>
      <c r="AR32" s="28">
        <v>7</v>
      </c>
      <c r="AS32" s="79" t="e">
        <f>((($W$25)^Q32)*((1-($W$25))^($U$35-Q32))*HLOOKUP($U$35,$AV$24:$BF$34,Q32+1))*V35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 t="e">
        <f>J33*L25+J32*L26+J31*L27+J30*L28</f>
        <v>#DIV/0!</v>
      </c>
      <c r="I33" s="93">
        <v>8</v>
      </c>
      <c r="J33" s="86" t="e">
        <f t="shared" si="11"/>
        <v>#DIV/0!</v>
      </c>
      <c r="K33" s="93">
        <v>8</v>
      </c>
      <c r="L33" s="86"/>
      <c r="M33" s="85"/>
      <c r="N33" s="73"/>
      <c r="O33" s="37"/>
      <c r="P33" s="37"/>
      <c r="Q33" s="28">
        <v>8</v>
      </c>
      <c r="R33" s="37" t="e">
        <f>P28*N30+P29*N29+P30*N28</f>
        <v>#DIV/0!</v>
      </c>
      <c r="S33" s="72">
        <v>8</v>
      </c>
      <c r="T33" s="135" t="e">
        <f t="shared" si="13"/>
        <v>#DIV/0!</v>
      </c>
      <c r="U33" s="93">
        <v>8</v>
      </c>
      <c r="V33" s="86" t="e">
        <f>T33*R25+T32*R26+T31*R27+T30*R28+T29*R29+T28*R30+T27*R31+T26*R32+T25*R33</f>
        <v>#DIV/0!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 t="e">
        <f>((($W$25)^Q33)*((1-($W$25))^($U$33-Q33))*HLOOKUP($U$33,$AV$24:$BF$34,Q33+1))*V33</f>
        <v>#DIV/0!</v>
      </c>
      <c r="AP33" s="28">
        <v>8</v>
      </c>
      <c r="AQ33" s="79" t="e">
        <f>((($W$25)^Q33)*((1-($W$25))^($U$34-Q33))*HLOOKUP($U$34,$AV$24:$BF$34,Q33+1))*V34</f>
        <v>#DIV/0!</v>
      </c>
      <c r="AR33" s="28">
        <v>8</v>
      </c>
      <c r="AS33" s="79" t="e">
        <f>((($W$25)^Q33)*((1-($W$25))^($U$35-Q33))*HLOOKUP($U$35,$AV$24:$BF$34,Q33+1))*V35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x14ac:dyDescent="0.25">
      <c r="A34" s="40" t="s">
        <v>86</v>
      </c>
      <c r="B34" s="56" t="e">
        <f>B23*2</f>
        <v>#DIV/0!</v>
      </c>
      <c r="C34" s="57" t="e">
        <f>C23*2</f>
        <v>#DIV/0!</v>
      </c>
      <c r="G34" s="87">
        <v>9</v>
      </c>
      <c r="H34" s="128" t="e">
        <f>J34*L25+J33*L26+J32*L27+J31*L28</f>
        <v>#DIV/0!</v>
      </c>
      <c r="I34" s="93">
        <v>9</v>
      </c>
      <c r="J34" s="86" t="e">
        <f t="shared" si="11"/>
        <v>#DIV/0!</v>
      </c>
      <c r="K34" s="93">
        <v>9</v>
      </c>
      <c r="L34" s="86"/>
      <c r="M34" s="85"/>
      <c r="N34" s="73"/>
      <c r="O34" s="37"/>
      <c r="P34" s="37"/>
      <c r="Q34" s="28">
        <v>9</v>
      </c>
      <c r="R34" s="37" t="e">
        <f>P29*N30+P30*N29</f>
        <v>#DIV/0!</v>
      </c>
      <c r="S34" s="72">
        <v>9</v>
      </c>
      <c r="T34" s="135" t="e">
        <f t="shared" si="13"/>
        <v>#DIV/0!</v>
      </c>
      <c r="U34" s="93">
        <v>9</v>
      </c>
      <c r="V34" s="86" t="e">
        <f>T34*R25+T33*R26+T32*R27+T31*R28+T30*R29+T29*R30+T28*R31+T27*R32+T26*R33+T25*R34</f>
        <v>#DIV/0!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 t="e">
        <f>((($W$25)^Q34)*((1-($W$25))^($U$34-Q34))*HLOOKUP($U$34,$AV$24:$BF$34,Q34+1))*V34</f>
        <v>#DIV/0!</v>
      </c>
      <c r="AR34" s="28">
        <v>9</v>
      </c>
      <c r="AS34" s="79" t="e">
        <f>((($W$25)^Q34)*((1-($W$25))^($U$35-Q34))*HLOOKUP($U$35,$AV$24:$BF$34,Q34+1))*V35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ht="15.75" thickBot="1" x14ac:dyDescent="0.3">
      <c r="G35" s="88">
        <v>10</v>
      </c>
      <c r="H35" s="129" t="e">
        <f>J35*L25+J34*L26+J33*L27+J32*L28</f>
        <v>#DIV/0!</v>
      </c>
      <c r="I35" s="94">
        <v>10</v>
      </c>
      <c r="J35" s="89" t="e">
        <f t="shared" si="11"/>
        <v>#DIV/0!</v>
      </c>
      <c r="K35" s="94">
        <v>10</v>
      </c>
      <c r="L35" s="89"/>
      <c r="M35" s="85"/>
      <c r="N35" s="73"/>
      <c r="O35" s="37"/>
      <c r="P35" s="37"/>
      <c r="Q35" s="28">
        <v>10</v>
      </c>
      <c r="R35" s="37" t="e">
        <f>P30*N30</f>
        <v>#DIV/0!</v>
      </c>
      <c r="S35" s="72">
        <v>10</v>
      </c>
      <c r="T35" s="135" t="e">
        <f t="shared" si="13"/>
        <v>#DIV/0!</v>
      </c>
      <c r="U35" s="94">
        <v>10</v>
      </c>
      <c r="V35" s="89" t="e">
        <f>IF(((T35*R25+T34*R26+T33*R27+T32*R28+T31*R29+T30*R30+T29*R31+T28*R32+T27*R33+T26*R34+T25*R35)+V23)&lt;&gt;1,1-V23,(T35*R25+T34*R26+T33*R27+T32*R28+T31*R29+T30*R30+T29*R31+T28*R32+T27*R33+T26*R34+T25*R35))</f>
        <v>#DIV/0!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 t="e">
        <f>((($W$25)^Q35)*((1-($W$25))^($U$35-Q35))*HLOOKUP($U$35,$AV$24:$BF$34,Q35+1))*V35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x14ac:dyDescent="0.25">
      <c r="A36" s="1"/>
      <c r="B36" s="108" t="e">
        <f>SUM(B37:B39)</f>
        <v>#DIV/0!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 t="e">
        <f>SUM(V39:V49)</f>
        <v>#DIV/0!</v>
      </c>
      <c r="W36" s="13"/>
      <c r="X36" s="13"/>
      <c r="AS36" s="82" t="e">
        <f>Y37+AA37+AC37+AE37+AG37+AI37+AK37+AM37+AO37+AQ37+AS37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3"/>
      <c r="H37" s="59" t="e">
        <f>SUM(H39:H49)</f>
        <v>#DIV/0!</v>
      </c>
      <c r="I37" s="13"/>
      <c r="J37" s="59" t="e">
        <f>SUM(J39:J49)</f>
        <v>#DIV/0!</v>
      </c>
      <c r="K37" s="59"/>
      <c r="L37" s="59" t="e">
        <f>SUM(L39:L49)</f>
        <v>#DIV/0!</v>
      </c>
      <c r="M37" s="13"/>
      <c r="N37" s="74" t="e">
        <f>SUM(N39:N49)</f>
        <v>#DIV/0!</v>
      </c>
      <c r="O37" s="13"/>
      <c r="P37" s="74" t="e">
        <f>SUM(P39:P49)</f>
        <v>#DIV/0!</v>
      </c>
      <c r="Q37" s="13"/>
      <c r="R37" s="59" t="e">
        <f>SUM(R39:R49)</f>
        <v>#DIV/0!</v>
      </c>
      <c r="S37" s="13"/>
      <c r="T37" s="59" t="e">
        <f>SUM(T39:T49)</f>
        <v>#DIV/0!</v>
      </c>
      <c r="U37" s="13"/>
      <c r="V37" s="59" t="e">
        <f>SUM(V39:V48)</f>
        <v>#DIV/0!</v>
      </c>
      <c r="W37" s="13"/>
      <c r="X37" s="13"/>
      <c r="Y37" s="80" t="e">
        <f>SUM(Y39:Y49)</f>
        <v>#DIV/0!</v>
      </c>
      <c r="Z37" s="81"/>
      <c r="AA37" s="80" t="e">
        <f>SUM(AA39:AA49)</f>
        <v>#DIV/0!</v>
      </c>
      <c r="AB37" s="81"/>
      <c r="AC37" s="80" t="e">
        <f>SUM(AC39:AC49)</f>
        <v>#DIV/0!</v>
      </c>
      <c r="AD37" s="81"/>
      <c r="AE37" s="80" t="e">
        <f>SUM(AE39:AE49)</f>
        <v>#DIV/0!</v>
      </c>
      <c r="AF37" s="81"/>
      <c r="AG37" s="80" t="e">
        <f>SUM(AG39:AG49)</f>
        <v>#DIV/0!</v>
      </c>
      <c r="AH37" s="81"/>
      <c r="AI37" s="80" t="e">
        <f>SUM(AI39:AI49)</f>
        <v>#DIV/0!</v>
      </c>
      <c r="AJ37" s="81"/>
      <c r="AK37" s="80" t="e">
        <f>SUM(AK39:AK49)</f>
        <v>#DIV/0!</v>
      </c>
      <c r="AL37" s="81"/>
      <c r="AM37" s="80" t="e">
        <f>SUM(AM39:AM49)</f>
        <v>#DIV/0!</v>
      </c>
      <c r="AN37" s="81"/>
      <c r="AO37" s="80" t="e">
        <f>SUM(AO39:AO49)</f>
        <v>#DIV/0!</v>
      </c>
      <c r="AP37" s="81"/>
      <c r="AQ37" s="80" t="e">
        <f>SUM(AQ39:AQ49)</f>
        <v>#DIV/0!</v>
      </c>
      <c r="AR37" s="81"/>
      <c r="AS37" s="80" t="e">
        <f>SUM(AS39:AS49)</f>
        <v>#DIV/0!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ht="15.75" thickBot="1" x14ac:dyDescent="0.3">
      <c r="A38" s="110" t="s">
        <v>105</v>
      </c>
      <c r="B38" s="107" t="e">
        <f>SUM(BJ4:BJ59)</f>
        <v>#DIV/0!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 t="e">
        <f t="shared" ref="BJ38:BJ43" si="32">$H$29*H44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130">
        <v>0</v>
      </c>
      <c r="H39" s="131" t="e">
        <f>L39*J39</f>
        <v>#DIV/0!</v>
      </c>
      <c r="I39" s="97">
        <v>0</v>
      </c>
      <c r="J39" s="98" t="e">
        <f t="shared" ref="J39:J49" si="33">Y39+AA39+AC39+AE39+AG39+AI39+AK39+AM39+AO39+AQ39+AS39</f>
        <v>#DIV/0!</v>
      </c>
      <c r="K39" s="102">
        <v>0</v>
      </c>
      <c r="L39" s="98" t="e">
        <f>AC21</f>
        <v>#DIV/0!</v>
      </c>
      <c r="M39" s="84">
        <v>0</v>
      </c>
      <c r="N39" s="71" t="e">
        <f>(1-$C$24)^$B$21</f>
        <v>#DIV/0!</v>
      </c>
      <c r="O39" s="70">
        <v>0</v>
      </c>
      <c r="P39" s="71" t="e">
        <f>N39</f>
        <v>#DIV/0!</v>
      </c>
      <c r="Q39" s="12">
        <v>0</v>
      </c>
      <c r="R39" s="73" t="e">
        <f>P39*N39</f>
        <v>#DIV/0!</v>
      </c>
      <c r="S39" s="70">
        <v>0</v>
      </c>
      <c r="T39" s="135" t="e">
        <f>(1-$C$33)^(INT(B23*2*(1-B31)))</f>
        <v>#DIV/0!</v>
      </c>
      <c r="U39" s="140">
        <v>0</v>
      </c>
      <c r="V39" s="86" t="e">
        <f>R39*T39</f>
        <v>#DIV/0!</v>
      </c>
      <c r="W39" s="136" t="e">
        <f>C31</f>
        <v>#DIV/0!</v>
      </c>
      <c r="X39" s="12">
        <v>0</v>
      </c>
      <c r="Y39" s="79" t="e">
        <f>V39</f>
        <v>#DIV/0!</v>
      </c>
      <c r="Z39" s="12">
        <v>0</v>
      </c>
      <c r="AA39" s="78" t="e">
        <f>((1-W39)^Z40)*V40</f>
        <v>#DIV/0!</v>
      </c>
      <c r="AB39" s="12">
        <v>0</v>
      </c>
      <c r="AC39" s="79" t="e">
        <f>(((1-$W$39)^AB41))*V41</f>
        <v>#DIV/0!</v>
      </c>
      <c r="AD39" s="12">
        <v>0</v>
      </c>
      <c r="AE39" s="79" t="e">
        <f>(((1-$W$39)^AB42))*V42</f>
        <v>#DIV/0!</v>
      </c>
      <c r="AF39" s="12">
        <v>0</v>
      </c>
      <c r="AG39" s="79" t="e">
        <f>(((1-$W$39)^AB43))*V43</f>
        <v>#DIV/0!</v>
      </c>
      <c r="AH39" s="12">
        <v>0</v>
      </c>
      <c r="AI39" s="79" t="e">
        <f>(((1-$W$39)^AB44))*V44</f>
        <v>#DIV/0!</v>
      </c>
      <c r="AJ39" s="12">
        <v>0</v>
      </c>
      <c r="AK39" s="79" t="e">
        <f>(((1-$W$39)^AB45))*V45</f>
        <v>#DIV/0!</v>
      </c>
      <c r="AL39" s="12">
        <v>0</v>
      </c>
      <c r="AM39" s="79" t="e">
        <f>(((1-$W$39)^AB46))*V46</f>
        <v>#DIV/0!</v>
      </c>
      <c r="AN39" s="12">
        <v>0</v>
      </c>
      <c r="AO39" s="79" t="e">
        <f>(((1-$W$39)^AB47))*V47</f>
        <v>#DIV/0!</v>
      </c>
      <c r="AP39" s="12">
        <v>0</v>
      </c>
      <c r="AQ39" s="79" t="e">
        <f>(((1-$W$39)^AB48))*V48</f>
        <v>#DIV/0!</v>
      </c>
      <c r="AR39" s="12">
        <v>0</v>
      </c>
      <c r="AS39" s="79" t="e">
        <f>(((1-$W$39)^AB49))*V49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 t="e">
        <f t="shared" si="32"/>
        <v>#DIV/0!</v>
      </c>
      <c r="BP39">
        <f t="shared" ref="BP39:BP46" si="34">BP31+1</f>
        <v>9</v>
      </c>
      <c r="BQ39">
        <v>0</v>
      </c>
      <c r="BR39" s="107" t="e">
        <f t="shared" ref="BR39:BR47" si="35">$H$34*H39</f>
        <v>#DIV/0!</v>
      </c>
    </row>
    <row r="40" spans="1:70" x14ac:dyDescent="0.25">
      <c r="G40" s="91">
        <v>1</v>
      </c>
      <c r="H40" s="132" t="e">
        <f>L39*J40+L40*J39</f>
        <v>#DIV/0!</v>
      </c>
      <c r="I40" s="93">
        <v>1</v>
      </c>
      <c r="J40" s="86" t="e">
        <f t="shared" si="33"/>
        <v>#DIV/0!</v>
      </c>
      <c r="K40" s="95">
        <v>1</v>
      </c>
      <c r="L40" s="86" t="e">
        <f>AD21</f>
        <v>#DIV/0!</v>
      </c>
      <c r="M40" s="85">
        <v>1</v>
      </c>
      <c r="N40" s="71" t="e">
        <f>(($C$24)^M26)*((1-($C$24))^($B$21-M26))*HLOOKUP($B$21,$AV$24:$BF$34,M26+1)</f>
        <v>#DIV/0!</v>
      </c>
      <c r="O40" s="72">
        <v>1</v>
      </c>
      <c r="P40" s="71" t="e">
        <f t="shared" ref="P40:P44" si="36">N40</f>
        <v>#DIV/0!</v>
      </c>
      <c r="Q40" s="28">
        <v>1</v>
      </c>
      <c r="R40" s="37" t="e">
        <f>P40*N39+P39*N40</f>
        <v>#DIV/0!</v>
      </c>
      <c r="S40" s="72">
        <v>1</v>
      </c>
      <c r="T40" s="135" t="e">
        <f t="shared" ref="T40:T49" si="37">(($C$33)^S40)*((1-($C$33))^(INT($B$23*2*(1-$B$31))-S40))*HLOOKUP(INT($B$23*2*(1-$B$31)),$AV$24:$BF$34,S40+1)</f>
        <v>#DIV/0!</v>
      </c>
      <c r="U40" s="93">
        <v>1</v>
      </c>
      <c r="V40" s="86" t="e">
        <f>R40*T39+T40*R39</f>
        <v>#DIV/0!</v>
      </c>
      <c r="W40" s="137"/>
      <c r="X40" s="28">
        <v>1</v>
      </c>
      <c r="Y40" s="73"/>
      <c r="Z40" s="28">
        <v>1</v>
      </c>
      <c r="AA40" s="79" t="e">
        <f>(1-((1-W39)^Z40))*V40</f>
        <v>#DIV/0!</v>
      </c>
      <c r="AB40" s="28">
        <v>1</v>
      </c>
      <c r="AC40" s="79" t="e">
        <f>((($W$39)^M40)*((1-($W$39))^($U$27-M40))*HLOOKUP($U$27,$AV$24:$BF$34,M40+1))*V41</f>
        <v>#DIV/0!</v>
      </c>
      <c r="AD40" s="28">
        <v>1</v>
      </c>
      <c r="AE40" s="79" t="e">
        <f>((($W$39)^M40)*((1-($W$39))^($U$28-M40))*HLOOKUP($U$28,$AV$24:$BF$34,M40+1))*V42</f>
        <v>#DIV/0!</v>
      </c>
      <c r="AF40" s="28">
        <v>1</v>
      </c>
      <c r="AG40" s="79" t="e">
        <f>((($W$39)^M40)*((1-($W$39))^($U$29-M40))*HLOOKUP($U$29,$AV$24:$BF$34,M40+1))*V43</f>
        <v>#DIV/0!</v>
      </c>
      <c r="AH40" s="28">
        <v>1</v>
      </c>
      <c r="AI40" s="79" t="e">
        <f>((($W$39)^M40)*((1-($W$39))^($U$30-M40))*HLOOKUP($U$30,$AV$24:$BF$34,M40+1))*V44</f>
        <v>#DIV/0!</v>
      </c>
      <c r="AJ40" s="28">
        <v>1</v>
      </c>
      <c r="AK40" s="79" t="e">
        <f>((($W$39)^M40)*((1-($W$39))^($U$31-M40))*HLOOKUP($U$31,$AV$24:$BF$34,M40+1))*V45</f>
        <v>#DIV/0!</v>
      </c>
      <c r="AL40" s="28">
        <v>1</v>
      </c>
      <c r="AM40" s="79" t="e">
        <f>((($W$39)^Q40)*((1-($W$39))^($U$32-Q40))*HLOOKUP($U$32,$AV$24:$BF$34,Q40+1))*V46</f>
        <v>#DIV/0!</v>
      </c>
      <c r="AN40" s="28">
        <v>1</v>
      </c>
      <c r="AO40" s="79" t="e">
        <f>((($W$39)^Q40)*((1-($W$39))^($U$33-Q40))*HLOOKUP($U$33,$AV$24:$BF$34,Q40+1))*V47</f>
        <v>#DIV/0!</v>
      </c>
      <c r="AP40" s="28">
        <v>1</v>
      </c>
      <c r="AQ40" s="79" t="e">
        <f>((($W$39)^Q40)*((1-($W$39))^($U$34-Q40))*HLOOKUP($U$34,$AV$24:$BF$34,Q40+1))*V48</f>
        <v>#DIV/0!</v>
      </c>
      <c r="AR40" s="28">
        <v>1</v>
      </c>
      <c r="AS40" s="79" t="e">
        <f>((($W$39)^Q40)*((1-($W$39))^($U$35-Q40))*HLOOKUP($U$35,$AV$24:$BF$34,Q40+1))*V49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 t="e">
        <f t="shared" si="32"/>
        <v>#DIV/0!</v>
      </c>
      <c r="BP40">
        <f t="shared" si="34"/>
        <v>9</v>
      </c>
      <c r="BQ40">
        <v>1</v>
      </c>
      <c r="BR40" s="107" t="e">
        <f t="shared" si="35"/>
        <v>#DIV/0!</v>
      </c>
    </row>
    <row r="41" spans="1:70" x14ac:dyDescent="0.25">
      <c r="G41" s="91">
        <v>2</v>
      </c>
      <c r="H41" s="132" t="e">
        <f>L39*J41+J40*L40+J39*L41</f>
        <v>#DIV/0!</v>
      </c>
      <c r="I41" s="93">
        <v>2</v>
      </c>
      <c r="J41" s="86" t="e">
        <f t="shared" si="33"/>
        <v>#DIV/0!</v>
      </c>
      <c r="K41" s="95">
        <v>2</v>
      </c>
      <c r="L41" s="86" t="e">
        <f>AE21</f>
        <v>#DIV/0!</v>
      </c>
      <c r="M41" s="85">
        <v>2</v>
      </c>
      <c r="N41" s="71" t="e">
        <f>(($C$24)^M27)*((1-($C$24))^($B$21-M27))*HLOOKUP($B$21,$AV$24:$BF$34,M27+1)</f>
        <v>#DIV/0!</v>
      </c>
      <c r="O41" s="72">
        <v>2</v>
      </c>
      <c r="P41" s="71" t="e">
        <f t="shared" si="36"/>
        <v>#DIV/0!</v>
      </c>
      <c r="Q41" s="28">
        <v>2</v>
      </c>
      <c r="R41" s="37" t="e">
        <f>P41*N39+P40*N40+P39*N41</f>
        <v>#DIV/0!</v>
      </c>
      <c r="S41" s="72">
        <v>2</v>
      </c>
      <c r="T41" s="135" t="e">
        <f t="shared" si="37"/>
        <v>#DIV/0!</v>
      </c>
      <c r="U41" s="93">
        <v>2</v>
      </c>
      <c r="V41" s="86" t="e">
        <f>R41*T39+T40*R40+R39*T41</f>
        <v>#DIV/0!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 t="e">
        <f>((($W$39)^M41)*((1-($W$39))^($U$27-M41))*HLOOKUP($U$27,$AV$24:$BF$34,M41+1))*V41</f>
        <v>#DIV/0!</v>
      </c>
      <c r="AD41" s="28">
        <v>2</v>
      </c>
      <c r="AE41" s="79" t="e">
        <f>((($W$39)^M41)*((1-($W$39))^($U$28-M41))*HLOOKUP($U$28,$AV$24:$BF$34,M41+1))*V42</f>
        <v>#DIV/0!</v>
      </c>
      <c r="AF41" s="28">
        <v>2</v>
      </c>
      <c r="AG41" s="79" t="e">
        <f>((($W$39)^M41)*((1-($W$39))^($U$29-M41))*HLOOKUP($U$29,$AV$24:$BF$34,M41+1))*V43</f>
        <v>#DIV/0!</v>
      </c>
      <c r="AH41" s="28">
        <v>2</v>
      </c>
      <c r="AI41" s="79" t="e">
        <f>((($W$39)^M41)*((1-($W$39))^($U$30-M41))*HLOOKUP($U$30,$AV$24:$BF$34,M41+1))*V44</f>
        <v>#DIV/0!</v>
      </c>
      <c r="AJ41" s="28">
        <v>2</v>
      </c>
      <c r="AK41" s="79" t="e">
        <f>((($W$39)^M41)*((1-($W$39))^($U$31-M41))*HLOOKUP($U$31,$AV$24:$BF$34,M41+1))*V45</f>
        <v>#DIV/0!</v>
      </c>
      <c r="AL41" s="28">
        <v>2</v>
      </c>
      <c r="AM41" s="79" t="e">
        <f>((($W$39)^Q41)*((1-($W$39))^($U$32-Q41))*HLOOKUP($U$32,$AV$24:$BF$34,Q41+1))*V46</f>
        <v>#DIV/0!</v>
      </c>
      <c r="AN41" s="28">
        <v>2</v>
      </c>
      <c r="AO41" s="79" t="e">
        <f>((($W$39)^Q41)*((1-($W$39))^($U$33-Q41))*HLOOKUP($U$33,$AV$24:$BF$34,Q41+1))*V47</f>
        <v>#DIV/0!</v>
      </c>
      <c r="AP41" s="28">
        <v>2</v>
      </c>
      <c r="AQ41" s="79" t="e">
        <f>((($W$39)^Q41)*((1-($W$39))^($U$34-Q41))*HLOOKUP($U$34,$AV$24:$BF$34,Q41+1))*V48</f>
        <v>#DIV/0!</v>
      </c>
      <c r="AR41" s="28">
        <v>2</v>
      </c>
      <c r="AS41" s="79" t="e">
        <f>((($W$39)^Q41)*((1-($W$39))^($U$35-Q41))*HLOOKUP($U$35,$AV$24:$BF$34,Q41+1))*V49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 t="e">
        <f t="shared" si="32"/>
        <v>#DIV/0!</v>
      </c>
      <c r="BP41">
        <f t="shared" si="34"/>
        <v>9</v>
      </c>
      <c r="BQ41">
        <v>2</v>
      </c>
      <c r="BR41" s="107" t="e">
        <f t="shared" si="35"/>
        <v>#DIV/0!</v>
      </c>
    </row>
    <row r="42" spans="1:70" ht="15" customHeight="1" x14ac:dyDescent="0.25">
      <c r="G42" s="91">
        <v>3</v>
      </c>
      <c r="H42" s="132" t="e">
        <f>J42*L39+J41*L40+L42*J39+L41*J40</f>
        <v>#DIV/0!</v>
      </c>
      <c r="I42" s="93">
        <v>3</v>
      </c>
      <c r="J42" s="86" t="e">
        <f t="shared" si="33"/>
        <v>#DIV/0!</v>
      </c>
      <c r="K42" s="95">
        <v>3</v>
      </c>
      <c r="L42" s="86" t="e">
        <f>AF21</f>
        <v>#DIV/0!</v>
      </c>
      <c r="M42" s="85">
        <v>3</v>
      </c>
      <c r="N42" s="71" t="e">
        <f>(($C$24)^M28)*((1-($C$24))^($B$21-M28))*HLOOKUP($B$21,$AV$24:$BF$34,M28+1)</f>
        <v>#DIV/0!</v>
      </c>
      <c r="O42" s="72">
        <v>3</v>
      </c>
      <c r="P42" s="71" t="e">
        <f t="shared" si="36"/>
        <v>#DIV/0!</v>
      </c>
      <c r="Q42" s="28">
        <v>3</v>
      </c>
      <c r="R42" s="37" t="e">
        <f>P42*N39+P41*N40+P40*N41+P39*N42</f>
        <v>#DIV/0!</v>
      </c>
      <c r="S42" s="72">
        <v>3</v>
      </c>
      <c r="T42" s="135" t="e">
        <f t="shared" si="37"/>
        <v>#DIV/0!</v>
      </c>
      <c r="U42" s="93">
        <v>3</v>
      </c>
      <c r="V42" s="86" t="e">
        <f>R42*T39+R41*T40+R40*T41+R39*T42</f>
        <v>#DIV/0!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 t="e">
        <f>((($W$39)^M42)*((1-($W$39))^($U$28-M42))*HLOOKUP($U$28,$AV$24:$BF$34,M42+1))*V42</f>
        <v>#DIV/0!</v>
      </c>
      <c r="AF42" s="28">
        <v>3</v>
      </c>
      <c r="AG42" s="79" t="e">
        <f>((($W$39)^M42)*((1-($W$39))^($U$29-M42))*HLOOKUP($U$29,$AV$24:$BF$34,M42+1))*V43</f>
        <v>#DIV/0!</v>
      </c>
      <c r="AH42" s="28">
        <v>3</v>
      </c>
      <c r="AI42" s="79" t="e">
        <f>((($W$39)^M42)*((1-($W$39))^($U$30-M42))*HLOOKUP($U$30,$AV$24:$BF$34,M42+1))*V44</f>
        <v>#DIV/0!</v>
      </c>
      <c r="AJ42" s="28">
        <v>3</v>
      </c>
      <c r="AK42" s="79" t="e">
        <f>((($W$39)^M42)*((1-($W$39))^($U$31-M42))*HLOOKUP($U$31,$AV$24:$BF$34,M42+1))*V45</f>
        <v>#DIV/0!</v>
      </c>
      <c r="AL42" s="28">
        <v>3</v>
      </c>
      <c r="AM42" s="79" t="e">
        <f>((($W$39)^Q42)*((1-($W$39))^($U$32-Q42))*HLOOKUP($U$32,$AV$24:$BF$34,Q42+1))*V46</f>
        <v>#DIV/0!</v>
      </c>
      <c r="AN42" s="28">
        <v>3</v>
      </c>
      <c r="AO42" s="79" t="e">
        <f>((($W$39)^Q42)*((1-($W$39))^($U$33-Q42))*HLOOKUP($U$33,$AV$24:$BF$34,Q42+1))*V47</f>
        <v>#DIV/0!</v>
      </c>
      <c r="AP42" s="28">
        <v>3</v>
      </c>
      <c r="AQ42" s="79" t="e">
        <f>((($W$39)^Q42)*((1-($W$39))^($U$34-Q42))*HLOOKUP($U$34,$AV$24:$BF$34,Q42+1))*V48</f>
        <v>#DIV/0!</v>
      </c>
      <c r="AR42" s="28">
        <v>3</v>
      </c>
      <c r="AS42" s="79" t="e">
        <f>((($W$39)^Q42)*((1-($W$39))^($U$35-Q42))*HLOOKUP($U$35,$AV$24:$BF$34,Q42+1))*V49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 t="e">
        <f t="shared" si="32"/>
        <v>#DIV/0!</v>
      </c>
      <c r="BP42">
        <f t="shared" si="34"/>
        <v>9</v>
      </c>
      <c r="BQ42">
        <v>3</v>
      </c>
      <c r="BR42" s="107" t="e">
        <f t="shared" si="35"/>
        <v>#DIV/0!</v>
      </c>
    </row>
    <row r="43" spans="1:70" ht="15" customHeight="1" x14ac:dyDescent="0.25">
      <c r="G43" s="91">
        <v>4</v>
      </c>
      <c r="H43" s="132" t="e">
        <f>J43*L39+J42*L40+J41*L41+J40*L42</f>
        <v>#DIV/0!</v>
      </c>
      <c r="I43" s="93">
        <v>4</v>
      </c>
      <c r="J43" s="86" t="e">
        <f t="shared" si="33"/>
        <v>#DIV/0!</v>
      </c>
      <c r="K43" s="95">
        <v>4</v>
      </c>
      <c r="L43" s="86"/>
      <c r="M43" s="85">
        <v>4</v>
      </c>
      <c r="N43" s="71" t="e">
        <f>(($C$24)^M29)*((1-($C$24))^($B$21-M29))*HLOOKUP($B$21,$AV$24:$BF$34,M29+1)</f>
        <v>#DIV/0!</v>
      </c>
      <c r="O43" s="72">
        <v>4</v>
      </c>
      <c r="P43" s="71" t="e">
        <f t="shared" si="36"/>
        <v>#DIV/0!</v>
      </c>
      <c r="Q43" s="28">
        <v>4</v>
      </c>
      <c r="R43" s="37" t="e">
        <f>P43*N39+P42*N40+P41*N41+P40*N42+P39*N43</f>
        <v>#DIV/0!</v>
      </c>
      <c r="S43" s="72">
        <v>4</v>
      </c>
      <c r="T43" s="135" t="e">
        <f t="shared" si="37"/>
        <v>#DIV/0!</v>
      </c>
      <c r="U43" s="93">
        <v>4</v>
      </c>
      <c r="V43" s="86" t="e">
        <f>T43*R39+T42*R40+T41*R41+T40*R42+T39*R43</f>
        <v>#DIV/0!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 t="e">
        <f>((($W$39)^M43)*((1-($W$39))^($U$29-M43))*HLOOKUP($U$29,$AV$24:$BF$34,M43+1))*V43</f>
        <v>#DIV/0!</v>
      </c>
      <c r="AH43" s="28">
        <v>4</v>
      </c>
      <c r="AI43" s="79" t="e">
        <f>((($W$39)^M43)*((1-($W$39))^($U$30-M43))*HLOOKUP($U$30,$AV$24:$BF$34,M43+1))*V44</f>
        <v>#DIV/0!</v>
      </c>
      <c r="AJ43" s="28">
        <v>4</v>
      </c>
      <c r="AK43" s="79" t="e">
        <f>((($W$39)^M43)*((1-($W$39))^($U$31-M43))*HLOOKUP($U$31,$AV$24:$BF$34,M43+1))*V45</f>
        <v>#DIV/0!</v>
      </c>
      <c r="AL43" s="28">
        <v>4</v>
      </c>
      <c r="AM43" s="79" t="e">
        <f>((($W$39)^Q43)*((1-($W$39))^($U$32-Q43))*HLOOKUP($U$32,$AV$24:$BF$34,Q43+1))*V46</f>
        <v>#DIV/0!</v>
      </c>
      <c r="AN43" s="28">
        <v>4</v>
      </c>
      <c r="AO43" s="79" t="e">
        <f>((($W$39)^Q43)*((1-($W$39))^($U$33-Q43))*HLOOKUP($U$33,$AV$24:$BF$34,Q43+1))*V47</f>
        <v>#DIV/0!</v>
      </c>
      <c r="AP43" s="28">
        <v>4</v>
      </c>
      <c r="AQ43" s="79" t="e">
        <f>((($W$39)^Q43)*((1-($W$39))^($U$34-Q43))*HLOOKUP($U$34,$AV$24:$BF$34,Q43+1))*V48</f>
        <v>#DIV/0!</v>
      </c>
      <c r="AR43" s="28">
        <v>4</v>
      </c>
      <c r="AS43" s="79" t="e">
        <f>((($W$39)^Q43)*((1-($W$39))^($U$35-Q43))*HLOOKUP($U$35,$AV$24:$BF$34,Q43+1))*V49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 t="e">
        <f t="shared" si="32"/>
        <v>#DIV/0!</v>
      </c>
      <c r="BP43">
        <f t="shared" si="34"/>
        <v>9</v>
      </c>
      <c r="BQ43">
        <v>4</v>
      </c>
      <c r="BR43" s="107" t="e">
        <f t="shared" si="35"/>
        <v>#DIV/0!</v>
      </c>
    </row>
    <row r="44" spans="1:70" ht="15" customHeight="1" thickBot="1" x14ac:dyDescent="0.3">
      <c r="G44" s="91">
        <v>5</v>
      </c>
      <c r="H44" s="132" t="e">
        <f>J44*L39+J43*L40+J42*L41+J41*L42</f>
        <v>#DIV/0!</v>
      </c>
      <c r="I44" s="93">
        <v>5</v>
      </c>
      <c r="J44" s="86" t="e">
        <f t="shared" si="33"/>
        <v>#DIV/0!</v>
      </c>
      <c r="K44" s="95">
        <v>5</v>
      </c>
      <c r="L44" s="86"/>
      <c r="M44" s="85">
        <v>5</v>
      </c>
      <c r="N44" s="71" t="e">
        <f>(($C$24)^M30)*((1-($C$24))^($B$21-M30))*HLOOKUP($B$21,$AV$24:$BF$34,M30+1)</f>
        <v>#DIV/0!</v>
      </c>
      <c r="O44" s="72">
        <v>5</v>
      </c>
      <c r="P44" s="71" t="e">
        <f t="shared" si="36"/>
        <v>#DIV/0!</v>
      </c>
      <c r="Q44" s="28">
        <v>5</v>
      </c>
      <c r="R44" s="37" t="e">
        <f>P44*N39+P43*N40+P42*N41+P41*N42+P40*N43+P39*N44</f>
        <v>#DIV/0!</v>
      </c>
      <c r="S44" s="72">
        <v>5</v>
      </c>
      <c r="T44" s="135" t="e">
        <f t="shared" si="37"/>
        <v>#DIV/0!</v>
      </c>
      <c r="U44" s="93">
        <v>5</v>
      </c>
      <c r="V44" s="86" t="e">
        <f>T44*R39+T43*R40+T42*R41+T41*R42+T40*R43+T39*R44</f>
        <v>#DIV/0!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 t="e">
        <f>((($W$39)^M44)*((1-($W$39))^($U$30-M44))*HLOOKUP($U$30,$AV$24:$BF$34,M44+1))*V44</f>
        <v>#DIV/0!</v>
      </c>
      <c r="AJ44" s="28">
        <v>5</v>
      </c>
      <c r="AK44" s="79" t="e">
        <f>((($W$39)^M44)*((1-($W$39))^($U$31-M44))*HLOOKUP($U$31,$AV$24:$BF$34,M44+1))*V45</f>
        <v>#DIV/0!</v>
      </c>
      <c r="AL44" s="28">
        <v>5</v>
      </c>
      <c r="AM44" s="79" t="e">
        <f>((($W$39)^Q44)*((1-($W$39))^($U$32-Q44))*HLOOKUP($U$32,$AV$24:$BF$34,Q44+1))*V46</f>
        <v>#DIV/0!</v>
      </c>
      <c r="AN44" s="28">
        <v>5</v>
      </c>
      <c r="AO44" s="79" t="e">
        <f>((($W$39)^Q44)*((1-($W$39))^($U$33-Q44))*HLOOKUP($U$33,$AV$24:$BF$34,Q44+1))*V47</f>
        <v>#DIV/0!</v>
      </c>
      <c r="AP44" s="28">
        <v>5</v>
      </c>
      <c r="AQ44" s="79" t="e">
        <f>((($W$39)^Q44)*((1-($W$39))^($U$34-Q44))*HLOOKUP($U$34,$AV$24:$BF$34,Q44+1))*V48</f>
        <v>#DIV/0!</v>
      </c>
      <c r="AR44" s="28">
        <v>5</v>
      </c>
      <c r="AS44" s="79" t="e">
        <f>((($W$39)^Q44)*((1-($W$39))^($U$35-Q44))*HLOOKUP($U$35,$AV$24:$BF$34,Q44+1))*V49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$H$30*H45</f>
        <v>#DIV/0!</v>
      </c>
      <c r="BP44">
        <f t="shared" si="34"/>
        <v>9</v>
      </c>
      <c r="BQ44">
        <v>5</v>
      </c>
      <c r="BR44" s="107" t="e">
        <f t="shared" si="35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 t="e">
        <f>J45*L39+J44*L40+J43*L41+J42*L42</f>
        <v>#DIV/0!</v>
      </c>
      <c r="I45" s="93">
        <v>6</v>
      </c>
      <c r="J45" s="86" t="e">
        <f t="shared" si="33"/>
        <v>#DIV/0!</v>
      </c>
      <c r="K45" s="95">
        <v>6</v>
      </c>
      <c r="L45" s="86"/>
      <c r="M45" s="85"/>
      <c r="N45" s="37"/>
      <c r="O45" s="37"/>
      <c r="P45" s="37"/>
      <c r="Q45" s="28">
        <v>6</v>
      </c>
      <c r="R45" s="37" t="e">
        <f>P44*N40+P43*N41+P42*N42+P41*N43+P40*N44</f>
        <v>#DIV/0!</v>
      </c>
      <c r="S45" s="70">
        <v>6</v>
      </c>
      <c r="T45" s="135" t="e">
        <f t="shared" si="37"/>
        <v>#DIV/0!</v>
      </c>
      <c r="U45" s="93">
        <v>6</v>
      </c>
      <c r="V45" s="86" t="e">
        <f>T45*R39+T44*R40+T43*R41+T42*R42+T41*R43+T40*R44+T39*R45</f>
        <v>#DIV/0!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 t="e">
        <f>((($W$39)^Q45)*((1-($W$39))^($U$31-Q45))*HLOOKUP($U$31,$AV$24:$BF$34,Q45+1))*V45</f>
        <v>#DIV/0!</v>
      </c>
      <c r="AL45" s="28">
        <v>6</v>
      </c>
      <c r="AM45" s="79" t="e">
        <f>((($W$39)^Q45)*((1-($W$39))^($U$32-Q45))*HLOOKUP($U$32,$AV$24:$BF$34,Q45+1))*V46</f>
        <v>#DIV/0!</v>
      </c>
      <c r="AN45" s="28">
        <v>6</v>
      </c>
      <c r="AO45" s="79" t="e">
        <f>((($W$39)^Q45)*((1-($W$39))^($U$33-Q45))*HLOOKUP($U$33,$AV$24:$BF$34,Q45+1))*V47</f>
        <v>#DIV/0!</v>
      </c>
      <c r="AP45" s="28">
        <v>6</v>
      </c>
      <c r="AQ45" s="79" t="e">
        <f>((($W$39)^Q45)*((1-($W$39))^($U$34-Q45))*HLOOKUP($U$34,$AV$24:$BF$34,Q45+1))*V48</f>
        <v>#DIV/0!</v>
      </c>
      <c r="AR45" s="28">
        <v>6</v>
      </c>
      <c r="AS45" s="79" t="e">
        <f>((($W$39)^Q45)*((1-($W$39))^($U$35-Q45))*HLOOKUP($U$35,$AV$24:$BF$34,Q45+1))*V49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$H$30*H46</f>
        <v>#DIV/0!</v>
      </c>
      <c r="BP45">
        <f t="shared" si="34"/>
        <v>9</v>
      </c>
      <c r="BQ45">
        <v>6</v>
      </c>
      <c r="BR45" s="107" t="e">
        <f t="shared" si="35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 t="e">
        <f>J46*L39+J45*L40+J44*L41+J43*L42</f>
        <v>#DIV/0!</v>
      </c>
      <c r="I46" s="93">
        <v>7</v>
      </c>
      <c r="J46" s="86" t="e">
        <f t="shared" si="33"/>
        <v>#DIV/0!</v>
      </c>
      <c r="K46" s="95">
        <v>7</v>
      </c>
      <c r="L46" s="86"/>
      <c r="M46" s="85"/>
      <c r="N46" s="37"/>
      <c r="O46" s="37"/>
      <c r="P46" s="37"/>
      <c r="Q46" s="28">
        <v>7</v>
      </c>
      <c r="R46" s="37" t="e">
        <f>P44*N41+P43*N42+P42*N43+P41*N44</f>
        <v>#DIV/0!</v>
      </c>
      <c r="S46" s="72">
        <v>7</v>
      </c>
      <c r="T46" s="135" t="e">
        <f t="shared" si="37"/>
        <v>#DIV/0!</v>
      </c>
      <c r="U46" s="93">
        <v>7</v>
      </c>
      <c r="V46" s="86" t="e">
        <f>T46*R39+T45*R40+T44*R41+T43*R42+T42*R43+T41*R44+T40*R45+T39*R46</f>
        <v>#DIV/0!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 t="e">
        <f>((($W$39)^Q46)*((1-($W$39))^($U$32-Q46))*HLOOKUP($U$32,$AV$24:$BF$34,Q46+1))*V46</f>
        <v>#DIV/0!</v>
      </c>
      <c r="AN46" s="28">
        <v>7</v>
      </c>
      <c r="AO46" s="79" t="e">
        <f>((($W$39)^Q46)*((1-($W$39))^($U$33-Q46))*HLOOKUP($U$33,$AV$24:$BF$34,Q46+1))*V47</f>
        <v>#DIV/0!</v>
      </c>
      <c r="AP46" s="28">
        <v>7</v>
      </c>
      <c r="AQ46" s="79" t="e">
        <f>((($W$39)^Q46)*((1-($W$39))^($U$34-Q46))*HLOOKUP($U$34,$AV$24:$BF$34,Q46+1))*V48</f>
        <v>#DIV/0!</v>
      </c>
      <c r="AR46" s="28">
        <v>7</v>
      </c>
      <c r="AS46" s="79" t="e">
        <f>((($W$39)^Q46)*((1-($W$39))^($U$35-Q46))*HLOOKUP($U$35,$AV$24:$BF$34,Q46+1))*V49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$H$30*H47</f>
        <v>#DIV/0!</v>
      </c>
      <c r="BP46">
        <f t="shared" si="34"/>
        <v>9</v>
      </c>
      <c r="BQ46">
        <v>7</v>
      </c>
      <c r="BR46" s="107" t="e">
        <f t="shared" si="35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 t="e">
        <f>J47*L39+J46*L40+J45*L41+J44*L42</f>
        <v>#DIV/0!</v>
      </c>
      <c r="I47" s="93">
        <v>8</v>
      </c>
      <c r="J47" s="86" t="e">
        <f t="shared" si="33"/>
        <v>#DIV/0!</v>
      </c>
      <c r="K47" s="95">
        <v>8</v>
      </c>
      <c r="L47" s="86"/>
      <c r="M47" s="85"/>
      <c r="N47" s="37"/>
      <c r="O47" s="37"/>
      <c r="P47" s="37"/>
      <c r="Q47" s="28">
        <v>8</v>
      </c>
      <c r="R47" s="37" t="e">
        <f>P44*N42+P43*N43+P42*N44</f>
        <v>#DIV/0!</v>
      </c>
      <c r="S47" s="72">
        <v>8</v>
      </c>
      <c r="T47" s="135" t="e">
        <f t="shared" si="37"/>
        <v>#DIV/0!</v>
      </c>
      <c r="U47" s="93">
        <v>8</v>
      </c>
      <c r="V47" s="86" t="e">
        <f>T47*R39+T46*R40+T45*R41+T44*R42+T43*R43+T42*R44+T41*R45+T40*R46+T39*R47</f>
        <v>#DIV/0!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 t="e">
        <f>((($W$39)^Q47)*((1-($W$39))^($U$33-Q47))*HLOOKUP($U$33,$AV$24:$BF$34,Q47+1))*V47</f>
        <v>#DIV/0!</v>
      </c>
      <c r="AP47" s="28">
        <v>8</v>
      </c>
      <c r="AQ47" s="79" t="e">
        <f>((($W$39)^Q47)*((1-($W$39))^($U$34-Q47))*HLOOKUP($U$34,$AV$24:$BF$34,Q47+1))*V48</f>
        <v>#DIV/0!</v>
      </c>
      <c r="AR47" s="28">
        <v>8</v>
      </c>
      <c r="AS47" s="79" t="e">
        <f>((($W$39)^Q47)*((1-($W$39))^($U$35-Q47))*HLOOKUP($U$35,$AV$24:$BF$34,Q47+1))*V49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$H$30*H48</f>
        <v>#DIV/0!</v>
      </c>
      <c r="BP47">
        <f>BL12+1</f>
        <v>9</v>
      </c>
      <c r="BQ47">
        <v>8</v>
      </c>
      <c r="BR47" s="107" t="e">
        <f t="shared" si="35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 t="e">
        <f>J48*L39+J47*L40+J46*L41+J45*L42</f>
        <v>#DIV/0!</v>
      </c>
      <c r="I48" s="93">
        <v>9</v>
      </c>
      <c r="J48" s="86" t="e">
        <f t="shared" si="33"/>
        <v>#DIV/0!</v>
      </c>
      <c r="K48" s="95">
        <v>9</v>
      </c>
      <c r="L48" s="86"/>
      <c r="M48" s="85"/>
      <c r="N48" s="37"/>
      <c r="O48" s="37"/>
      <c r="P48" s="37"/>
      <c r="Q48" s="28">
        <v>9</v>
      </c>
      <c r="R48" s="37" t="e">
        <f>P44*N43+P43*N44</f>
        <v>#DIV/0!</v>
      </c>
      <c r="S48" s="72">
        <v>9</v>
      </c>
      <c r="T48" s="135" t="e">
        <f t="shared" si="37"/>
        <v>#DIV/0!</v>
      </c>
      <c r="U48" s="93">
        <v>9</v>
      </c>
      <c r="V48" s="86" t="e">
        <f>T48*R39+T47*R40+T46*R41+T45*R42+T44*R43+T43*R44+T42*R45+T41*R46+T40*R47+T39*R48</f>
        <v>#DIV/0!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 t="e">
        <f>((($W$39)^Q48)*((1-($W$39))^($U$34-Q48))*HLOOKUP($U$34,$AV$24:$BF$34,Q48+1))*V48</f>
        <v>#DIV/0!</v>
      </c>
      <c r="AR48" s="28">
        <v>9</v>
      </c>
      <c r="AS48" s="79" t="e">
        <f>((($W$39)^Q48)*((1-($W$39))^($U$35-Q48))*HLOOKUP($U$35,$AV$24:$BF$34,Q48+1))*V49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$H$30*H49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 t="e">
        <f>J49*L39+J48*L40+J47*L41+J46*L42</f>
        <v>#DIV/0!</v>
      </c>
      <c r="I49" s="94">
        <v>10</v>
      </c>
      <c r="J49" s="89" t="e">
        <f t="shared" si="33"/>
        <v>#DIV/0!</v>
      </c>
      <c r="K49" s="96">
        <v>10</v>
      </c>
      <c r="L49" s="89"/>
      <c r="M49" s="85"/>
      <c r="N49" s="37"/>
      <c r="O49" s="37"/>
      <c r="P49" s="37"/>
      <c r="Q49" s="28">
        <v>10</v>
      </c>
      <c r="R49" s="37" t="e">
        <f>P44*N44</f>
        <v>#DIV/0!</v>
      </c>
      <c r="S49" s="72">
        <v>10</v>
      </c>
      <c r="T49" s="135" t="e">
        <f t="shared" si="37"/>
        <v>#DIV/0!</v>
      </c>
      <c r="U49" s="94">
        <v>10</v>
      </c>
      <c r="V49" s="89" t="e">
        <f>IF(((T49*R39+T48*R40+T47*R41+T46*R42+T45*R43+T44*R44+T43*R45+T42*R46+T41*R47+T40*R48+T39*R49)+V37)&lt;&gt;1,1-V37,(T49*R39+T48*R40+T47*R41+T46*R42+T45*R43+T44*R44+T43*R45+T42*R46+T41*R47+T40*R48+T39*R49))</f>
        <v>#DIV/0!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 t="e">
        <f>((($W$39)^Q49)*((1-($W$39))^($U$35-Q49))*HLOOKUP($U$35,$AV$24:$BF$34,Q49+1))*V49</f>
        <v>#DIV/0!</v>
      </c>
      <c r="BH49">
        <f>BP14+1</f>
        <v>6</v>
      </c>
      <c r="BI49">
        <v>0</v>
      </c>
      <c r="BJ49" s="107" t="e">
        <f>$H$31*H39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 t="e">
        <f>$H$31*H46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 t="e">
        <f>$H$31*H47</f>
        <v>#DIV/0!</v>
      </c>
    </row>
    <row r="52" spans="1:62" x14ac:dyDescent="0.25">
      <c r="H52" s="107"/>
      <c r="BH52">
        <f>BH47+1</f>
        <v>6</v>
      </c>
      <c r="BI52">
        <v>9</v>
      </c>
      <c r="BJ52" s="107" t="e">
        <f>$H$31*H48</f>
        <v>#DIV/0!</v>
      </c>
    </row>
    <row r="53" spans="1:62" x14ac:dyDescent="0.25">
      <c r="BH53">
        <f>BH48+1</f>
        <v>6</v>
      </c>
      <c r="BI53">
        <v>10</v>
      </c>
      <c r="BJ53" s="107" t="e">
        <f>$H$31*H49</f>
        <v>#DIV/0!</v>
      </c>
    </row>
    <row r="54" spans="1:62" x14ac:dyDescent="0.25">
      <c r="BH54">
        <f>BH51+1</f>
        <v>7</v>
      </c>
      <c r="BI54">
        <v>8</v>
      </c>
      <c r="BJ54" s="107" t="e">
        <f>$H$32*H47</f>
        <v>#DIV/0!</v>
      </c>
    </row>
    <row r="55" spans="1:62" x14ac:dyDescent="0.25">
      <c r="BH55">
        <f>BH52+1</f>
        <v>7</v>
      </c>
      <c r="BI55">
        <v>9</v>
      </c>
      <c r="BJ55" s="107" t="e">
        <f>$H$32*H48</f>
        <v>#DIV/0!</v>
      </c>
    </row>
    <row r="56" spans="1:62" x14ac:dyDescent="0.25">
      <c r="BH56">
        <f>BH53+1</f>
        <v>7</v>
      </c>
      <c r="BI56">
        <v>10</v>
      </c>
      <c r="BJ56" s="107" t="e">
        <f>$H$32*H49</f>
        <v>#DIV/0!</v>
      </c>
    </row>
    <row r="57" spans="1:62" x14ac:dyDescent="0.25">
      <c r="BH57">
        <f>BH55+1</f>
        <v>8</v>
      </c>
      <c r="BI57">
        <v>9</v>
      </c>
      <c r="BJ57" s="107" t="e">
        <f>$H$33*H48</f>
        <v>#DIV/0!</v>
      </c>
    </row>
    <row r="58" spans="1:62" x14ac:dyDescent="0.25">
      <c r="BH58">
        <f>BH56+1</f>
        <v>8</v>
      </c>
      <c r="BI58">
        <v>10</v>
      </c>
      <c r="BJ58" s="107" t="e">
        <f>$H$33*H49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$H$34*H49</f>
        <v>#DIV/0!</v>
      </c>
    </row>
  </sheetData>
  <mergeCells count="2">
    <mergeCell ref="P1:Q1"/>
    <mergeCell ref="B3:C3"/>
  </mergeCells>
  <conditionalFormatting sqref="V25:V35 V39:V49">
    <cfRule type="cellIs" dxfId="41" priority="14" operator="greaterThan">
      <formula>0.15</formula>
    </cfRule>
  </conditionalFormatting>
  <conditionalFormatting sqref="V35">
    <cfRule type="cellIs" dxfId="40" priority="13" operator="greaterThan">
      <formula>0.15</formula>
    </cfRule>
  </conditionalFormatting>
  <conditionalFormatting sqref="V49">
    <cfRule type="cellIs" dxfId="39" priority="12" operator="greaterThan">
      <formula>0.15</formula>
    </cfRule>
  </conditionalFormatting>
  <conditionalFormatting sqref="V25:V35 V39:V49">
    <cfRule type="cellIs" dxfId="38" priority="11" operator="greaterThan">
      <formula>0.15</formula>
    </cfRule>
  </conditionalFormatting>
  <conditionalFormatting sqref="V35">
    <cfRule type="cellIs" dxfId="37" priority="10" operator="greaterThan">
      <formula>0.15</formula>
    </cfRule>
  </conditionalFormatting>
  <conditionalFormatting sqref="V49">
    <cfRule type="cellIs" dxfId="36" priority="9" operator="greaterThan">
      <formula>0.15</formula>
    </cfRule>
  </conditionalFormatting>
  <conditionalFormatting sqref="H25:H35">
    <cfRule type="cellIs" dxfId="35" priority="8" operator="greaterThan">
      <formula>0.15</formula>
    </cfRule>
  </conditionalFormatting>
  <conditionalFormatting sqref="H35">
    <cfRule type="cellIs" dxfId="34" priority="7" operator="greaterThan">
      <formula>0.15</formula>
    </cfRule>
  </conditionalFormatting>
  <conditionalFormatting sqref="H25:H35">
    <cfRule type="cellIs" dxfId="33" priority="6" operator="greaterThan">
      <formula>0.15</formula>
    </cfRule>
  </conditionalFormatting>
  <conditionalFormatting sqref="H35">
    <cfRule type="cellIs" dxfId="32" priority="5" operator="greaterThan">
      <formula>0.15</formula>
    </cfRule>
  </conditionalFormatting>
  <conditionalFormatting sqref="H39:H49">
    <cfRule type="cellIs" dxfId="31" priority="4" operator="greaterThan">
      <formula>0.15</formula>
    </cfRule>
  </conditionalFormatting>
  <conditionalFormatting sqref="H49">
    <cfRule type="cellIs" dxfId="30" priority="3" operator="greaterThan">
      <formula>0.15</formula>
    </cfRule>
  </conditionalFormatting>
  <conditionalFormatting sqref="H39:H49">
    <cfRule type="cellIs" dxfId="29" priority="2" operator="greaterThan">
      <formula>0.15</formula>
    </cfRule>
  </conditionalFormatting>
  <conditionalFormatting sqref="H49">
    <cfRule type="cellIs" dxfId="28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R59"/>
  <sheetViews>
    <sheetView zoomScale="80" zoomScaleNormal="80" workbookViewId="0">
      <selection activeCell="AH13" sqref="AH13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8.425781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8.85546875" bestFit="1" customWidth="1"/>
    <col min="20" max="20" width="9.140625" bestFit="1" customWidth="1"/>
    <col min="21" max="21" width="8.8554687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8.425781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8.8554687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93" t="s">
        <v>142</v>
      </c>
      <c r="B1" t="s">
        <v>146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U1" s="160" t="s">
        <v>145</v>
      </c>
      <c r="V1">
        <f>IF(B17="JC",IF(C17="JC",1.2,1.1),IF(C17="JC",1.1,1))</f>
        <v>1</v>
      </c>
      <c r="AF1">
        <f>COUNTA(J16:J18)</f>
        <v>2</v>
      </c>
    </row>
    <row r="2" spans="1:70" x14ac:dyDescent="0.25">
      <c r="A2" s="193" t="s">
        <v>143</v>
      </c>
      <c r="B2" t="s">
        <v>146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63" t="str">
        <f>IF(M1&lt;&gt;0,"SI","NO")</f>
        <v>NO</v>
      </c>
      <c r="O2" t="s">
        <v>148</v>
      </c>
      <c r="P2" s="165" t="s">
        <v>149</v>
      </c>
      <c r="R2" s="152">
        <v>7.3959748117051513E-2</v>
      </c>
      <c r="S2" s="153">
        <f>1+R2</f>
        <v>1.0739597481170515</v>
      </c>
      <c r="Y2" t="s">
        <v>148</v>
      </c>
      <c r="Z2" s="164" t="s">
        <v>149</v>
      </c>
    </row>
    <row r="3" spans="1:70" x14ac:dyDescent="0.25">
      <c r="A3" s="162" t="s">
        <v>108</v>
      </c>
      <c r="B3" s="198" t="s">
        <v>23</v>
      </c>
      <c r="C3" s="198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5" t="s">
        <v>138</v>
      </c>
      <c r="Q3" t="s">
        <v>133</v>
      </c>
      <c r="R3" s="165" t="s">
        <v>139</v>
      </c>
      <c r="Y3" t="s">
        <v>132</v>
      </c>
      <c r="Z3" s="164" t="s">
        <v>138</v>
      </c>
      <c r="AA3" t="s">
        <v>133</v>
      </c>
      <c r="AB3" s="164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93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AI4" s="194" t="s">
        <v>75</v>
      </c>
      <c r="BH4">
        <v>0</v>
      </c>
      <c r="BI4">
        <v>1</v>
      </c>
      <c r="BJ4" s="107">
        <f t="shared" ref="BJ4:BJ13" si="0">$H$25*H40</f>
        <v>2.7875104828975823E-2</v>
      </c>
      <c r="BL4">
        <v>0</v>
      </c>
      <c r="BM4">
        <v>0</v>
      </c>
      <c r="BN4" s="107">
        <f>H25*H39</f>
        <v>8.7694361109492951E-3</v>
      </c>
      <c r="BP4">
        <v>1</v>
      </c>
      <c r="BQ4">
        <v>0</v>
      </c>
      <c r="BR4" s="107">
        <f>$H$26*H39</f>
        <v>1.8212022839668579E-2</v>
      </c>
    </row>
    <row r="5" spans="1:70" x14ac:dyDescent="0.25">
      <c r="A5" s="188" t="s">
        <v>140</v>
      </c>
      <c r="B5" s="161">
        <v>352</v>
      </c>
      <c r="C5" s="161">
        <v>352</v>
      </c>
      <c r="E5" s="192" t="s">
        <v>15</v>
      </c>
      <c r="F5" s="167" t="s">
        <v>147</v>
      </c>
      <c r="G5" s="167">
        <v>12</v>
      </c>
      <c r="H5" s="10"/>
      <c r="I5" s="10"/>
      <c r="J5" s="166" t="s">
        <v>147</v>
      </c>
      <c r="K5" s="166">
        <v>12</v>
      </c>
      <c r="L5" s="10"/>
      <c r="M5" s="10"/>
      <c r="O5" s="67">
        <f>COUNTIF(F5:F10,"IMP")/(COUNTIF(J5:J10,"IMP")+COUNTIF(F5:F10,"IMP"))*AI5</f>
        <v>8.5000000000000006E-3</v>
      </c>
      <c r="P5" s="16" t="str">
        <f>P3</f>
        <v>0,6</v>
      </c>
      <c r="Q5" s="16">
        <f>P5*O5</f>
        <v>5.1000000000000004E-3</v>
      </c>
      <c r="R5" s="157">
        <f>IF($M$2="SI",Q5*$B$22/0.5*$S$1,Q5*$B$22/0.5*$S$2)</f>
        <v>5.1889213093234384E-3</v>
      </c>
      <c r="S5" s="176">
        <f>(1-R5)</f>
        <v>0.99481107869067653</v>
      </c>
      <c r="T5" s="177">
        <f>R5*PRODUCT(S6:S19)</f>
        <v>4.3557113599224902E-3</v>
      </c>
      <c r="U5" s="177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7.7788081849321851E-4</v>
      </c>
      <c r="V5" s="18"/>
      <c r="W5" s="186" t="s">
        <v>36</v>
      </c>
      <c r="X5" s="15" t="s">
        <v>37</v>
      </c>
      <c r="Y5" s="69">
        <f>COUNTIF(J5:J10,"IMP")/(COUNTIF(J5:J10,"IMP")+COUNTIF(F5:F10,"IMP"))*AI5</f>
        <v>8.5000000000000006E-3</v>
      </c>
      <c r="Z5" s="146" t="str">
        <f>Z3</f>
        <v>0,6</v>
      </c>
      <c r="AA5" s="19">
        <f>Z5*Y5</f>
        <v>5.1000000000000004E-3</v>
      </c>
      <c r="AB5" s="157">
        <f>IF($M$2="SI",AA5*$C$22/0.5*$S$1,AA5*$C$22/0.5*$S$2)</f>
        <v>5.7654681214704892E-3</v>
      </c>
      <c r="AC5" s="176">
        <f>(1-AB5)</f>
        <v>0.9942345318785295</v>
      </c>
      <c r="AD5" s="177">
        <f>AB5*PRODUCT(AC6:AC19)</f>
        <v>4.3341402357483516E-3</v>
      </c>
      <c r="AE5" s="177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1.2758487309103717E-3</v>
      </c>
      <c r="AF5" s="18"/>
      <c r="AI5" s="194">
        <v>1.7000000000000001E-2</v>
      </c>
      <c r="BH5">
        <v>0</v>
      </c>
      <c r="BI5">
        <v>2</v>
      </c>
      <c r="BJ5" s="107">
        <f t="shared" si="0"/>
        <v>4.0595710445274158E-2</v>
      </c>
      <c r="BL5">
        <v>1</v>
      </c>
      <c r="BM5">
        <v>1</v>
      </c>
      <c r="BN5" s="107">
        <f>$H$26*H40</f>
        <v>5.7889930365033357E-2</v>
      </c>
      <c r="BP5">
        <f>BP4+1</f>
        <v>2</v>
      </c>
      <c r="BQ5">
        <v>0</v>
      </c>
      <c r="BR5" s="107">
        <f>$H$27*H39</f>
        <v>1.73168669618609E-2</v>
      </c>
    </row>
    <row r="6" spans="1:70" x14ac:dyDescent="0.25">
      <c r="A6" s="2" t="s">
        <v>1</v>
      </c>
      <c r="B6" s="168">
        <v>9</v>
      </c>
      <c r="C6" s="169">
        <v>10</v>
      </c>
      <c r="E6" s="192" t="s">
        <v>17</v>
      </c>
      <c r="F6" s="167" t="s">
        <v>16</v>
      </c>
      <c r="G6" s="167"/>
      <c r="H6" s="10"/>
      <c r="I6" s="10"/>
      <c r="J6" s="166" t="s">
        <v>144</v>
      </c>
      <c r="K6" s="166"/>
      <c r="L6" s="10"/>
      <c r="M6" s="10"/>
      <c r="O6" s="67">
        <f>COUNTIF(F11:F18,"IMP")/(COUNTIF(J11:J18,"IMP")+COUNTIF(F11:F18,"IMP"))*AI6</f>
        <v>5.6666666666666671E-3</v>
      </c>
      <c r="P6" s="16" t="str">
        <f>P3</f>
        <v>0,6</v>
      </c>
      <c r="Q6" s="16">
        <f t="shared" ref="Q6:Q19" si="1">P6*O6</f>
        <v>3.4000000000000002E-3</v>
      </c>
      <c r="R6" s="157">
        <f>IF($M$2="SI",Q6*$B$22/0.5*$S$1,Q6*$B$22/0.5*$S$2)</f>
        <v>3.4592808728822924E-3</v>
      </c>
      <c r="S6" s="176">
        <f t="shared" ref="S6:S19" si="2">(1-R6)</f>
        <v>0.99654071912711772</v>
      </c>
      <c r="T6" s="177">
        <f>R6*S5*PRODUCT(S7:S19)</f>
        <v>2.8987675955848215E-3</v>
      </c>
      <c r="U6" s="177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5.0762466910210719E-4</v>
      </c>
      <c r="V6" s="18"/>
      <c r="W6" s="186" t="s">
        <v>38</v>
      </c>
      <c r="X6" s="15" t="s">
        <v>39</v>
      </c>
      <c r="Y6" s="69">
        <f>COUNTIF(J11:J18,"IMP")/(COUNTIF(J11:J18,"IMP")+COUNTIF(F11:F18,"IMP"))*AI6</f>
        <v>1.1333333333333334E-2</v>
      </c>
      <c r="Z6" s="146" t="str">
        <f>Z3</f>
        <v>0,6</v>
      </c>
      <c r="AA6" s="19">
        <f t="shared" ref="AA6:AA19" si="3">Z6*Y6</f>
        <v>6.8000000000000005E-3</v>
      </c>
      <c r="AB6" s="157">
        <f t="shared" ref="AB6:AB19" si="4">IF($M$2="SI",AA6*$C$22/0.5*$S$1,AA6*$C$22/0.5*$S$2)</f>
        <v>7.6872908286273181E-3</v>
      </c>
      <c r="AC6" s="176">
        <f t="shared" ref="AC6:AC19" si="5">(1-AB6)</f>
        <v>0.99231270917137271</v>
      </c>
      <c r="AD6" s="177">
        <f>AB6*AC5*PRODUCT(AC7:AC19)</f>
        <v>5.7900456157394236E-3</v>
      </c>
      <c r="AE6" s="177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1.6595716664577894E-3</v>
      </c>
      <c r="AF6" s="18"/>
      <c r="AI6" s="194">
        <v>1.7000000000000001E-2</v>
      </c>
      <c r="BH6">
        <v>0</v>
      </c>
      <c r="BI6">
        <v>3</v>
      </c>
      <c r="BJ6" s="107">
        <f t="shared" si="0"/>
        <v>3.5857782353040449E-2</v>
      </c>
      <c r="BL6">
        <f>BH14+1</f>
        <v>2</v>
      </c>
      <c r="BM6">
        <v>2</v>
      </c>
      <c r="BN6" s="107">
        <f>$H$27*H41</f>
        <v>8.0163708145989401E-2</v>
      </c>
      <c r="BP6">
        <f>BL5+1</f>
        <v>2</v>
      </c>
      <c r="BQ6">
        <v>1</v>
      </c>
      <c r="BR6" s="107">
        <f>$H$27*H40</f>
        <v>5.5044529176579766E-2</v>
      </c>
    </row>
    <row r="7" spans="1:70" x14ac:dyDescent="0.25">
      <c r="A7" s="5" t="s">
        <v>2</v>
      </c>
      <c r="B7" s="168">
        <v>9</v>
      </c>
      <c r="C7" s="169">
        <v>8</v>
      </c>
      <c r="E7" s="192" t="s">
        <v>18</v>
      </c>
      <c r="F7" s="167"/>
      <c r="G7" s="167"/>
      <c r="H7" s="10"/>
      <c r="I7" s="10"/>
      <c r="J7" s="166"/>
      <c r="K7" s="166"/>
      <c r="L7" s="10"/>
      <c r="M7" s="10"/>
      <c r="O7" s="67">
        <v>0</v>
      </c>
      <c r="P7" s="144">
        <v>0.5</v>
      </c>
      <c r="Q7" s="16">
        <f t="shared" si="1"/>
        <v>0</v>
      </c>
      <c r="R7" s="157">
        <f t="shared" ref="R7:R19" si="6">IF($M$2="SI",Q7*$B$22/0.5*$S$1,Q7*$B$22/0.5*$S$2)</f>
        <v>0</v>
      </c>
      <c r="S7" s="176">
        <f t="shared" si="2"/>
        <v>1</v>
      </c>
      <c r="T7" s="177">
        <f>R7*PRODUCT(S5:S6)*PRODUCT(S8:S19)</f>
        <v>0</v>
      </c>
      <c r="U7" s="177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0</v>
      </c>
      <c r="W7" s="186" t="s">
        <v>40</v>
      </c>
      <c r="X7" s="15" t="s">
        <v>41</v>
      </c>
      <c r="Y7" s="69">
        <v>0</v>
      </c>
      <c r="Z7" s="146">
        <v>0.5</v>
      </c>
      <c r="AA7" s="19">
        <f t="shared" si="3"/>
        <v>0</v>
      </c>
      <c r="AB7" s="157">
        <f t="shared" si="4"/>
        <v>0</v>
      </c>
      <c r="AC7" s="176">
        <f t="shared" si="5"/>
        <v>1</v>
      </c>
      <c r="AD7" s="177">
        <f>AB7*PRODUCT(AC5:AC6)*PRODUCT(AC8:AC19)</f>
        <v>0</v>
      </c>
      <c r="AE7" s="177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0</v>
      </c>
      <c r="AI7" s="194">
        <v>0</v>
      </c>
      <c r="BH7">
        <v>0</v>
      </c>
      <c r="BI7">
        <v>4</v>
      </c>
      <c r="BJ7" s="107">
        <f t="shared" si="0"/>
        <v>2.1432561757742281E-2</v>
      </c>
      <c r="BL7">
        <f>BH23+1</f>
        <v>3</v>
      </c>
      <c r="BM7">
        <v>3</v>
      </c>
      <c r="BN7" s="107">
        <f>$H$28*H42</f>
        <v>4.0800099536000126E-2</v>
      </c>
      <c r="BP7">
        <f>BP5+1</f>
        <v>3</v>
      </c>
      <c r="BQ7">
        <v>0</v>
      </c>
      <c r="BR7" s="107">
        <f>$H$28*H39</f>
        <v>9.9781370381090244E-3</v>
      </c>
    </row>
    <row r="8" spans="1:70" x14ac:dyDescent="0.25">
      <c r="A8" s="5" t="s">
        <v>3</v>
      </c>
      <c r="B8" s="168">
        <v>9</v>
      </c>
      <c r="C8" s="169">
        <v>8</v>
      </c>
      <c r="E8" s="192" t="s">
        <v>18</v>
      </c>
      <c r="F8" s="167" t="s">
        <v>16</v>
      </c>
      <c r="G8" s="167"/>
      <c r="H8" s="10"/>
      <c r="I8" s="10"/>
      <c r="J8" s="166" t="s">
        <v>144</v>
      </c>
      <c r="K8" s="166"/>
      <c r="L8" s="10"/>
      <c r="M8" s="10"/>
      <c r="O8" s="67">
        <f>COUNTIF(F6:F18,"IMP")/(COUNTIF(F6:F18,"IMP")+COUNTIF(J6:J18,"IMP"))*AI8</f>
        <v>5.6666666666666671E-3</v>
      </c>
      <c r="P8" s="16" t="str">
        <f>P3</f>
        <v>0,6</v>
      </c>
      <c r="Q8" s="16">
        <f t="shared" si="1"/>
        <v>3.4000000000000002E-3</v>
      </c>
      <c r="R8" s="157">
        <f t="shared" si="6"/>
        <v>3.4592808728822924E-3</v>
      </c>
      <c r="S8" s="176">
        <f t="shared" si="2"/>
        <v>0.99654071912711772</v>
      </c>
      <c r="T8" s="177">
        <f>R8*PRODUCT(S5:S7)*PRODUCT(S9:S19)</f>
        <v>2.8987675955848219E-3</v>
      </c>
      <c r="U8" s="177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4.9756220892775444E-4</v>
      </c>
      <c r="W8" s="186" t="s">
        <v>42</v>
      </c>
      <c r="X8" s="15" t="s">
        <v>43</v>
      </c>
      <c r="Y8" s="69">
        <f>COUNTIF(J6:J18,"IMP")/(COUNTIF(F6:F18,"IMP")+COUNTIF(J6:J18,"IMP"))*AI8</f>
        <v>1.1333333333333334E-2</v>
      </c>
      <c r="Z8" s="146" t="str">
        <f>Z3</f>
        <v>0,6</v>
      </c>
      <c r="AA8" s="19">
        <f t="shared" si="3"/>
        <v>6.8000000000000005E-3</v>
      </c>
      <c r="AB8" s="157">
        <f t="shared" si="4"/>
        <v>7.6872908286273181E-3</v>
      </c>
      <c r="AC8" s="176">
        <f t="shared" si="5"/>
        <v>0.99231270917137271</v>
      </c>
      <c r="AD8" s="177">
        <f>AB8*PRODUCT(AC5:AC7)*PRODUCT(AC9:AC19)</f>
        <v>5.7900456157394236E-3</v>
      </c>
      <c r="AE8" s="177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1.6147170917377143E-3</v>
      </c>
      <c r="AI8" s="194">
        <v>1.7000000000000001E-2</v>
      </c>
      <c r="BH8">
        <v>0</v>
      </c>
      <c r="BI8">
        <v>5</v>
      </c>
      <c r="BJ8" s="107">
        <f t="shared" si="0"/>
        <v>9.1573791367313365E-3</v>
      </c>
      <c r="BL8">
        <f>BH31+1</f>
        <v>4</v>
      </c>
      <c r="BM8">
        <v>4</v>
      </c>
      <c r="BN8" s="107">
        <f>$H$29*H43</f>
        <v>9.498333455123702E-3</v>
      </c>
      <c r="BP8">
        <f>BP6+1</f>
        <v>3</v>
      </c>
      <c r="BQ8">
        <v>1</v>
      </c>
      <c r="BR8" s="107">
        <f>$H$28*H40</f>
        <v>3.1717160877413185E-2</v>
      </c>
    </row>
    <row r="9" spans="1:70" x14ac:dyDescent="0.25">
      <c r="A9" s="5" t="s">
        <v>4</v>
      </c>
      <c r="B9" s="168">
        <v>9</v>
      </c>
      <c r="C9" s="169">
        <v>8</v>
      </c>
      <c r="E9" s="192" t="s">
        <v>18</v>
      </c>
      <c r="F9" s="167"/>
      <c r="G9" s="167"/>
      <c r="H9" s="10"/>
      <c r="I9" s="10"/>
      <c r="J9" s="166"/>
      <c r="K9" s="166"/>
      <c r="L9" s="10"/>
      <c r="M9" s="10"/>
      <c r="O9" s="67">
        <f>COUNTIF(J6:J13,"IMP")/(COUNTIF(J6:J13,"IMP")+COUNTIF(F6:F13,"IMP"))*AI9</f>
        <v>1.2500000000000001E-2</v>
      </c>
      <c r="P9" s="144">
        <v>0.5</v>
      </c>
      <c r="Q9" s="16">
        <f t="shared" si="1"/>
        <v>6.2500000000000003E-3</v>
      </c>
      <c r="R9" s="157">
        <f t="shared" si="6"/>
        <v>6.358972192798332E-3</v>
      </c>
      <c r="S9" s="176">
        <f t="shared" si="2"/>
        <v>0.99364102780720165</v>
      </c>
      <c r="T9" s="177">
        <f>R9*PRODUCT(S5:S8)*PRODUCT(S10:S19)</f>
        <v>5.3441671312964411E-3</v>
      </c>
      <c r="U9" s="177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8.8310465699495877E-4</v>
      </c>
      <c r="W9" s="187" t="s">
        <v>44</v>
      </c>
      <c r="X9" s="15" t="s">
        <v>45</v>
      </c>
      <c r="Y9" s="69">
        <f>COUNTIF(F6:F13,"IMP")/(COUNTIF(J6:J13,"IMP")+COUNTIF(F6:F13,"IMP"))*AI9</f>
        <v>1.2500000000000001E-2</v>
      </c>
      <c r="Z9" s="146">
        <v>0.5</v>
      </c>
      <c r="AA9" s="19">
        <f t="shared" si="3"/>
        <v>6.2500000000000003E-3</v>
      </c>
      <c r="AB9" s="157">
        <f t="shared" si="4"/>
        <v>7.0655246586648138E-3</v>
      </c>
      <c r="AC9" s="176">
        <f t="shared" si="5"/>
        <v>0.99293447534133517</v>
      </c>
      <c r="AD9" s="177">
        <f>AB9*PRODUCT(AC5:AC8)*PRODUCT(AC10:AC19)</f>
        <v>5.3184006838049589E-3</v>
      </c>
      <c r="AE9" s="177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1.4453409515524825E-3</v>
      </c>
      <c r="AI9" s="194">
        <v>2.5000000000000001E-2</v>
      </c>
      <c r="BH9">
        <v>0</v>
      </c>
      <c r="BI9">
        <v>6</v>
      </c>
      <c r="BJ9" s="107">
        <f t="shared" si="0"/>
        <v>2.8801751262564207E-3</v>
      </c>
      <c r="BL9">
        <f>BH38+1</f>
        <v>5</v>
      </c>
      <c r="BM9">
        <v>5</v>
      </c>
      <c r="BN9" s="107">
        <f>$H$30*H44</f>
        <v>1.1283449718393884E-3</v>
      </c>
      <c r="BP9">
        <f>BL6+1</f>
        <v>3</v>
      </c>
      <c r="BQ9">
        <v>2</v>
      </c>
      <c r="BR9" s="107">
        <f>$H$28*H41</f>
        <v>4.6191061415748268E-2</v>
      </c>
    </row>
    <row r="10" spans="1:70" x14ac:dyDescent="0.25">
      <c r="A10" s="6" t="s">
        <v>5</v>
      </c>
      <c r="B10" s="168">
        <v>7</v>
      </c>
      <c r="C10" s="169">
        <v>8</v>
      </c>
      <c r="E10" s="192" t="s">
        <v>17</v>
      </c>
      <c r="F10" s="167" t="s">
        <v>21</v>
      </c>
      <c r="G10" s="167"/>
      <c r="H10" s="10"/>
      <c r="I10" s="10"/>
      <c r="J10" s="166" t="s">
        <v>16</v>
      </c>
      <c r="K10" s="166"/>
      <c r="L10" s="10"/>
      <c r="M10" s="10"/>
      <c r="O10" s="67">
        <f>COUNTIF(F11:F18,"RAP")/(COUNTIF(F11:F18,"RAP")+COUNTIF(J11:J18,"RAP"))*AI10</f>
        <v>5.6666666666666671E-2</v>
      </c>
      <c r="P10" s="16" t="str">
        <f>R3</f>
        <v>0,72</v>
      </c>
      <c r="Q10" s="16">
        <f t="shared" si="1"/>
        <v>4.0800000000000003E-2</v>
      </c>
      <c r="R10" s="157">
        <f t="shared" si="6"/>
        <v>4.1511370474587507E-2</v>
      </c>
      <c r="S10" s="176">
        <f t="shared" si="2"/>
        <v>0.95848862952541247</v>
      </c>
      <c r="T10" s="177">
        <f>R10*PRODUCT(S5:S9)*PRODUCT(S11:S19)</f>
        <v>3.6166187332448405E-2</v>
      </c>
      <c r="U10" s="177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4.4100056954886075E-3</v>
      </c>
      <c r="W10" s="186" t="s">
        <v>46</v>
      </c>
      <c r="X10" s="15" t="s">
        <v>47</v>
      </c>
      <c r="Y10" s="69">
        <f>COUNTIF(J11:J18,"RAP")/(COUNTIF(F11:F18,"RAP")+COUNTIF(J11:J18,"RAP"))*AI10</f>
        <v>2.8333333333333335E-2</v>
      </c>
      <c r="Z10" s="146" t="str">
        <f>AB3</f>
        <v>0,72</v>
      </c>
      <c r="AA10" s="19">
        <f t="shared" si="3"/>
        <v>2.0400000000000001E-2</v>
      </c>
      <c r="AB10" s="157">
        <f t="shared" si="4"/>
        <v>2.3061872485881957E-2</v>
      </c>
      <c r="AC10" s="176">
        <f t="shared" si="5"/>
        <v>0.97693812751411802</v>
      </c>
      <c r="AD10" s="177">
        <f>AB10*PRODUCT(AC5:AC9)*PRODUCT(AC11:AC19)</f>
        <v>1.7643499693681019E-2</v>
      </c>
      <c r="AE10" s="177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4.3783412035393139E-3</v>
      </c>
      <c r="AI10" s="194">
        <v>8.5000000000000006E-2</v>
      </c>
      <c r="BH10">
        <v>0</v>
      </c>
      <c r="BI10">
        <v>7</v>
      </c>
      <c r="BJ10" s="107">
        <f t="shared" si="0"/>
        <v>6.764301732067301E-4</v>
      </c>
      <c r="BL10">
        <f>BH44+1</f>
        <v>6</v>
      </c>
      <c r="BM10">
        <v>6</v>
      </c>
      <c r="BN10" s="107">
        <f>$H$31*H45</f>
        <v>7.2504427151036204E-5</v>
      </c>
      <c r="BP10">
        <f>BP7+1</f>
        <v>4</v>
      </c>
      <c r="BQ10">
        <v>0</v>
      </c>
      <c r="BR10" s="107">
        <f>$H$29*H39</f>
        <v>3.8863776218962783E-3</v>
      </c>
    </row>
    <row r="11" spans="1:70" x14ac:dyDescent="0.25">
      <c r="A11" s="6" t="s">
        <v>6</v>
      </c>
      <c r="B11" s="168">
        <v>7</v>
      </c>
      <c r="C11" s="169">
        <v>8</v>
      </c>
      <c r="E11" s="192" t="s">
        <v>19</v>
      </c>
      <c r="F11" s="167" t="s">
        <v>147</v>
      </c>
      <c r="G11" s="167"/>
      <c r="H11" s="10"/>
      <c r="I11" s="10"/>
      <c r="J11" s="166" t="s">
        <v>147</v>
      </c>
      <c r="K11" s="166"/>
      <c r="L11" s="10"/>
      <c r="M11" s="10"/>
      <c r="O11" s="67">
        <f>COUNTIF(F11:F18,"RAP")/(COUNTIF(F11:F18,"RAP")+COUNTIF(J11:J18,"RAP"))*AI11</f>
        <v>5.6666666666666671E-2</v>
      </c>
      <c r="P11" s="16" t="str">
        <f>R3</f>
        <v>0,72</v>
      </c>
      <c r="Q11" s="16">
        <f t="shared" si="1"/>
        <v>4.0800000000000003E-2</v>
      </c>
      <c r="R11" s="157">
        <f t="shared" si="6"/>
        <v>4.1511370474587507E-2</v>
      </c>
      <c r="S11" s="176">
        <f t="shared" si="2"/>
        <v>0.95848862952541247</v>
      </c>
      <c r="T11" s="177">
        <f>R11*PRODUCT(S5:S10)*PRODUCT(S12:S19)</f>
        <v>3.6166187332448405E-2</v>
      </c>
      <c r="U11" s="177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2.8436772542696862E-3</v>
      </c>
      <c r="W11" s="186" t="s">
        <v>48</v>
      </c>
      <c r="X11" s="15" t="s">
        <v>49</v>
      </c>
      <c r="Y11" s="69">
        <f>COUNTIF(J11:J18,"RAP")/(COUNTIF(F11:F18,"RAP")+COUNTIF(J11:J18,"RAP"))*AI11</f>
        <v>2.8333333333333335E-2</v>
      </c>
      <c r="Z11" s="146" t="str">
        <f>AB3</f>
        <v>0,72</v>
      </c>
      <c r="AA11" s="19">
        <f t="shared" si="3"/>
        <v>2.0400000000000001E-2</v>
      </c>
      <c r="AB11" s="157">
        <f t="shared" si="4"/>
        <v>2.3061872485881957E-2</v>
      </c>
      <c r="AC11" s="176">
        <f t="shared" si="5"/>
        <v>0.97693812751411802</v>
      </c>
      <c r="AD11" s="177">
        <f>AB11*PRODUCT(AC5:AC10)*PRODUCT(AC12:AC19)</f>
        <v>1.7643499693681019E-2</v>
      </c>
      <c r="AE11" s="177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3.961843854648108E-3</v>
      </c>
      <c r="AI11" s="194">
        <v>8.5000000000000006E-2</v>
      </c>
      <c r="BH11">
        <v>0</v>
      </c>
      <c r="BI11">
        <v>8</v>
      </c>
      <c r="BJ11" s="107">
        <f t="shared" si="0"/>
        <v>1.1901206582912899E-4</v>
      </c>
      <c r="BL11">
        <f>BH50+1</f>
        <v>7</v>
      </c>
      <c r="BM11">
        <v>7</v>
      </c>
      <c r="BN11" s="107">
        <f>$H$32*H46</f>
        <v>2.5919366992506315E-6</v>
      </c>
      <c r="BP11">
        <f>BP8+1</f>
        <v>4</v>
      </c>
      <c r="BQ11">
        <v>1</v>
      </c>
      <c r="BR11" s="107">
        <f>$H$29*H40</f>
        <v>1.2353494825064346E-2</v>
      </c>
    </row>
    <row r="12" spans="1:70" x14ac:dyDescent="0.25">
      <c r="A12" s="6" t="s">
        <v>7</v>
      </c>
      <c r="B12" s="168">
        <v>7</v>
      </c>
      <c r="C12" s="169">
        <v>8</v>
      </c>
      <c r="E12" s="192" t="s">
        <v>19</v>
      </c>
      <c r="F12" s="167" t="s">
        <v>21</v>
      </c>
      <c r="G12" s="167"/>
      <c r="H12" s="10"/>
      <c r="I12" s="10"/>
      <c r="J12" s="166" t="s">
        <v>131</v>
      </c>
      <c r="K12" s="166"/>
      <c r="L12" s="10"/>
      <c r="M12" s="10"/>
      <c r="O12" s="67"/>
      <c r="P12" s="144">
        <v>0.5</v>
      </c>
      <c r="Q12" s="16">
        <f t="shared" si="1"/>
        <v>0</v>
      </c>
      <c r="R12" s="157">
        <f t="shared" si="6"/>
        <v>0</v>
      </c>
      <c r="S12" s="176">
        <f t="shared" si="2"/>
        <v>1</v>
      </c>
      <c r="T12" s="177">
        <f>R12*PRODUCT(S5:S11)*PRODUCT(S13:S19)</f>
        <v>0</v>
      </c>
      <c r="U12" s="177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0</v>
      </c>
      <c r="W12" s="187" t="s">
        <v>50</v>
      </c>
      <c r="X12" s="15" t="s">
        <v>51</v>
      </c>
      <c r="Y12" s="69"/>
      <c r="Z12" s="146">
        <v>0.5</v>
      </c>
      <c r="AA12" s="19">
        <f t="shared" si="3"/>
        <v>0</v>
      </c>
      <c r="AB12" s="157">
        <f t="shared" si="4"/>
        <v>0</v>
      </c>
      <c r="AC12" s="176">
        <f t="shared" si="5"/>
        <v>1</v>
      </c>
      <c r="AD12" s="177">
        <f>AB12*PRODUCT(AC5:AC11)*PRODUCT(AC13:AC19)</f>
        <v>0</v>
      </c>
      <c r="AE12" s="177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0</v>
      </c>
      <c r="AI12" s="194">
        <v>0</v>
      </c>
      <c r="BH12">
        <v>0</v>
      </c>
      <c r="BI12">
        <v>9</v>
      </c>
      <c r="BJ12" s="107">
        <f t="shared" si="0"/>
        <v>1.5572741090141039E-5</v>
      </c>
      <c r="BL12">
        <f>BH54+1</f>
        <v>8</v>
      </c>
      <c r="BM12">
        <v>8</v>
      </c>
      <c r="BN12" s="107">
        <f>$H$33*H47</f>
        <v>5.1857756378439711E-8</v>
      </c>
      <c r="BP12">
        <f>BP9+1</f>
        <v>4</v>
      </c>
      <c r="BQ12">
        <v>2</v>
      </c>
      <c r="BR12" s="107">
        <f>$H$29*H41</f>
        <v>1.799092423086435E-2</v>
      </c>
    </row>
    <row r="13" spans="1:70" x14ac:dyDescent="0.25">
      <c r="A13" s="7" t="s">
        <v>8</v>
      </c>
      <c r="B13" s="168">
        <v>11</v>
      </c>
      <c r="C13" s="169">
        <v>12.5</v>
      </c>
      <c r="E13" s="192" t="s">
        <v>19</v>
      </c>
      <c r="F13" s="167" t="s">
        <v>16</v>
      </c>
      <c r="G13" s="167"/>
      <c r="H13" s="10"/>
      <c r="I13" s="10"/>
      <c r="J13" s="166" t="s">
        <v>16</v>
      </c>
      <c r="K13" s="166"/>
      <c r="L13" s="10"/>
      <c r="M13" s="10"/>
      <c r="O13" s="67">
        <f>AI13</f>
        <v>0.125</v>
      </c>
      <c r="P13" s="16" t="str">
        <f>P2</f>
        <v>0,4</v>
      </c>
      <c r="Q13" s="16">
        <f t="shared" si="1"/>
        <v>0.05</v>
      </c>
      <c r="R13" s="157">
        <f t="shared" si="6"/>
        <v>5.0871777542386656E-2</v>
      </c>
      <c r="S13" s="176">
        <f t="shared" si="2"/>
        <v>0.9491282224576133</v>
      </c>
      <c r="T13" s="177">
        <f>R13*PRODUCT(S5:S12)*PRODUCT(S14:S19)</f>
        <v>4.4758409626593998E-2</v>
      </c>
      <c r="U13" s="177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1.1202868025658767E-3</v>
      </c>
      <c r="W13" s="186" t="s">
        <v>52</v>
      </c>
      <c r="X13" s="15" t="s">
        <v>53</v>
      </c>
      <c r="Y13" s="69">
        <f>AI13</f>
        <v>0.125</v>
      </c>
      <c r="Z13" s="19" t="str">
        <f>Z2</f>
        <v>0,4</v>
      </c>
      <c r="AA13" s="19">
        <f t="shared" si="3"/>
        <v>0.05</v>
      </c>
      <c r="AB13" s="157">
        <f t="shared" si="4"/>
        <v>5.652419726931851E-2</v>
      </c>
      <c r="AC13" s="176">
        <f t="shared" si="5"/>
        <v>0.94347580273068155</v>
      </c>
      <c r="AD13" s="177">
        <f>AB13*PRODUCT(AC5:AC12)*PRODUCT(AC14:AC19)</f>
        <v>4.4777605338427985E-2</v>
      </c>
      <c r="AE13" s="177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7.3721481180665438E-3</v>
      </c>
      <c r="AI13" s="194">
        <v>0.125</v>
      </c>
      <c r="BH13">
        <v>0</v>
      </c>
      <c r="BI13">
        <v>10</v>
      </c>
      <c r="BJ13" s="107">
        <f t="shared" si="0"/>
        <v>1.4841842985286412E-6</v>
      </c>
      <c r="BL13">
        <f>BH57+1</f>
        <v>9</v>
      </c>
      <c r="BM13">
        <v>9</v>
      </c>
      <c r="BN13" s="107">
        <f>$H$34*H48</f>
        <v>5.7200612492715432E-10</v>
      </c>
      <c r="BP13">
        <f>BL7+1</f>
        <v>4</v>
      </c>
      <c r="BQ13">
        <v>3</v>
      </c>
      <c r="BR13" s="107">
        <f>$H$29*H42</f>
        <v>1.5891202255717014E-2</v>
      </c>
    </row>
    <row r="14" spans="1:70" x14ac:dyDescent="0.25">
      <c r="A14" s="7" t="s">
        <v>9</v>
      </c>
      <c r="B14" s="168">
        <v>9</v>
      </c>
      <c r="C14" s="169">
        <v>10.75</v>
      </c>
      <c r="E14" s="192" t="s">
        <v>20</v>
      </c>
      <c r="F14" s="167" t="s">
        <v>123</v>
      </c>
      <c r="G14" s="167"/>
      <c r="H14" s="10"/>
      <c r="I14" s="10"/>
      <c r="J14" s="166" t="s">
        <v>144</v>
      </c>
      <c r="K14" s="166"/>
      <c r="L14" s="10"/>
      <c r="M14" s="10"/>
      <c r="O14" s="67">
        <f>IF(COUNTIF(F6:F18,"CAB")&gt;0,AI14,0)</f>
        <v>0</v>
      </c>
      <c r="P14" s="144">
        <v>0.95</v>
      </c>
      <c r="Q14" s="16">
        <f t="shared" si="1"/>
        <v>0</v>
      </c>
      <c r="R14" s="157">
        <f t="shared" si="6"/>
        <v>0</v>
      </c>
      <c r="S14" s="176">
        <f t="shared" si="2"/>
        <v>1</v>
      </c>
      <c r="T14" s="177">
        <f>R14*PRODUCT(S5:S13)*PRODUCT(S15:S19)</f>
        <v>0</v>
      </c>
      <c r="U14" s="177">
        <f>R14*R15*PRODUCT(S5:S13)*PRODUCT(S16:S19)+R14*R16*PRODUCT(S5:S13)*S15*PRODUCT(S17:S19)+R14*R17*PRODUCT(S5:S13)*PRODUCT(S15:S16)*PRODUCT(S18:S19)+R14*R18*PRODUCT(S5:S13)*PRODUCT(S15:S17)*PRODUCT(S19)+R14*R19*PRODUCT(S5:S13)*PRODUCT(S15:S18)</f>
        <v>0</v>
      </c>
      <c r="W14" s="186" t="s">
        <v>54</v>
      </c>
      <c r="X14" s="15" t="s">
        <v>55</v>
      </c>
      <c r="Y14" s="69">
        <f>IF(COUNTIF(J6:J18,"CAB")&gt;0,AI14,0)</f>
        <v>9.5000000000000001E-2</v>
      </c>
      <c r="Z14" s="146">
        <v>0.95</v>
      </c>
      <c r="AA14" s="19">
        <f t="shared" si="3"/>
        <v>9.0249999999999997E-2</v>
      </c>
      <c r="AB14" s="157">
        <f t="shared" si="4"/>
        <v>0.10202617607111991</v>
      </c>
      <c r="AC14" s="176">
        <f t="shared" si="5"/>
        <v>0.89797382392888014</v>
      </c>
      <c r="AD14" s="177">
        <f>AB14*PRODUCT(AC5:AC13)*PRODUCT(AC15:AC19)</f>
        <v>8.4919056388441425E-2</v>
      </c>
      <c r="AE14" s="177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4.3326526549414546E-3</v>
      </c>
      <c r="AI14" s="194">
        <v>9.5000000000000001E-2</v>
      </c>
      <c r="BH14">
        <v>1</v>
      </c>
      <c r="BI14">
        <v>2</v>
      </c>
      <c r="BJ14" s="107">
        <f t="shared" ref="BJ14:BJ22" si="7">$H$26*H41</f>
        <v>8.4307587907368031E-2</v>
      </c>
      <c r="BL14">
        <f>BP39+1</f>
        <v>10</v>
      </c>
      <c r="BM14">
        <v>10</v>
      </c>
      <c r="BN14" s="107">
        <f>$H$35*H49</f>
        <v>3.3350589403888591E-12</v>
      </c>
      <c r="BP14">
        <f>BP10+1</f>
        <v>5</v>
      </c>
      <c r="BQ14">
        <v>0</v>
      </c>
      <c r="BR14" s="107">
        <f>$H$30*H39</f>
        <v>1.0805437881201817E-3</v>
      </c>
    </row>
    <row r="15" spans="1:70" x14ac:dyDescent="0.25">
      <c r="A15" s="189" t="s">
        <v>71</v>
      </c>
      <c r="B15" s="170">
        <v>7.75</v>
      </c>
      <c r="C15" s="171">
        <v>8.25</v>
      </c>
      <c r="E15" s="192" t="s">
        <v>20</v>
      </c>
      <c r="F15" s="167" t="s">
        <v>123</v>
      </c>
      <c r="G15" s="167"/>
      <c r="H15" s="10"/>
      <c r="I15" s="10"/>
      <c r="J15" s="166" t="s">
        <v>123</v>
      </c>
      <c r="K15" s="166"/>
      <c r="L15" s="10"/>
      <c r="M15" s="10"/>
      <c r="O15" s="67"/>
      <c r="P15" s="144">
        <v>0.5</v>
      </c>
      <c r="Q15" s="16">
        <f t="shared" si="1"/>
        <v>0</v>
      </c>
      <c r="R15" s="157">
        <f t="shared" si="6"/>
        <v>0</v>
      </c>
      <c r="S15" s="176">
        <f t="shared" si="2"/>
        <v>1</v>
      </c>
      <c r="T15" s="177">
        <f>R15*PRODUCT(S5:S14)*PRODUCT(S16:S19)</f>
        <v>0</v>
      </c>
      <c r="U15" s="177">
        <f>R15*R16*PRODUCT(S5:S14)*PRODUCT(S17:S19)+R15*R17*PRODUCT(S5:S14)*S16*PRODUCT(S18:S19)+R15*R18*PRODUCT(S5:S14)*S16*S17*S19+R15*R19*PRODUCT(S5:S14)*S16*S17*S18</f>
        <v>0</v>
      </c>
      <c r="W15" s="186" t="s">
        <v>56</v>
      </c>
      <c r="X15" s="15" t="s">
        <v>57</v>
      </c>
      <c r="Y15" s="69"/>
      <c r="Z15" s="146">
        <v>0.5</v>
      </c>
      <c r="AA15" s="19">
        <f t="shared" si="3"/>
        <v>0</v>
      </c>
      <c r="AB15" s="157">
        <f t="shared" si="4"/>
        <v>0</v>
      </c>
      <c r="AC15" s="176">
        <f t="shared" si="5"/>
        <v>1</v>
      </c>
      <c r="AD15" s="177">
        <f>AB15*PRODUCT(AC5:AC14)*PRODUCT(AC16:AC19)</f>
        <v>0</v>
      </c>
      <c r="AE15" s="177">
        <f>AB15*AB16*PRODUCT(AC5:AC14)*PRODUCT(AC17:AC19)+AB15*AB17*PRODUCT(AC5:AC14)*AC16*PRODUCT(AC18:AC19)+AB15*AB18*PRODUCT(AC5:AC14)*AC16*AC17*AC19+AB15*AB19*PRODUCT(AC5:AC14)*AC16*AC17*AC18</f>
        <v>0</v>
      </c>
      <c r="AI15" s="194">
        <v>0</v>
      </c>
      <c r="BH15">
        <v>1</v>
      </c>
      <c r="BI15">
        <v>3</v>
      </c>
      <c r="BJ15" s="107">
        <f t="shared" si="7"/>
        <v>7.4468043661104391E-2</v>
      </c>
      <c r="BP15">
        <f>BP11+1</f>
        <v>5</v>
      </c>
      <c r="BQ15">
        <v>1</v>
      </c>
      <c r="BR15" s="107">
        <f>$H$30*H40</f>
        <v>3.434687360176021E-3</v>
      </c>
    </row>
    <row r="16" spans="1:70" x14ac:dyDescent="0.25">
      <c r="A16" s="189" t="s">
        <v>82</v>
      </c>
      <c r="B16" s="52">
        <f>AVERAGE(G5:G18)</f>
        <v>12</v>
      </c>
      <c r="C16" s="54">
        <f>AVERAGE(K5:K18)</f>
        <v>12</v>
      </c>
      <c r="E16" s="192" t="s">
        <v>22</v>
      </c>
      <c r="F16" s="167" t="s">
        <v>16</v>
      </c>
      <c r="G16" s="167"/>
      <c r="H16" s="10"/>
      <c r="I16" s="10"/>
      <c r="J16" s="166" t="s">
        <v>21</v>
      </c>
      <c r="K16" s="166"/>
      <c r="L16" s="10"/>
      <c r="M16" s="10"/>
      <c r="O16" s="67">
        <f>COUNTA(L6:L13)*0.03</f>
        <v>0</v>
      </c>
      <c r="P16" s="144">
        <v>0.25</v>
      </c>
      <c r="Q16" s="16">
        <f t="shared" si="1"/>
        <v>0</v>
      </c>
      <c r="R16" s="157">
        <f t="shared" si="6"/>
        <v>0</v>
      </c>
      <c r="S16" s="176">
        <f t="shared" si="2"/>
        <v>1</v>
      </c>
      <c r="T16" s="177">
        <f>R16*PRODUCT(S5:S15)*PRODUCT(S17:S19)</f>
        <v>0</v>
      </c>
      <c r="U16" s="177">
        <f>R16*R17*PRODUCT(S5:S15)*PRODUCT(S18:S19)+R16*R18*PRODUCT(S5:S15)*S17*S19+R16*R19*PRODUCT(S5:S15)*S17*S18</f>
        <v>0</v>
      </c>
      <c r="W16" s="187" t="s">
        <v>58</v>
      </c>
      <c r="X16" s="15" t="s">
        <v>59</v>
      </c>
      <c r="Y16" s="69">
        <f>COUNTA(H6:H13)*0.03</f>
        <v>0</v>
      </c>
      <c r="Z16" s="146">
        <v>0.25</v>
      </c>
      <c r="AA16" s="19">
        <f t="shared" si="3"/>
        <v>0</v>
      </c>
      <c r="AB16" s="157">
        <f t="shared" si="4"/>
        <v>0</v>
      </c>
      <c r="AC16" s="176">
        <f t="shared" si="5"/>
        <v>1</v>
      </c>
      <c r="AD16" s="177">
        <f>AB16*PRODUCT(AC5:AC15)*PRODUCT(AC17:AC19)</f>
        <v>0</v>
      </c>
      <c r="AE16" s="177">
        <f>AB16*AB17*PRODUCT(AC5:AC15)*PRODUCT(AC18:AC19)+AB16*AB18*PRODUCT(AC5:AC15)*AC17*AC19+AB16*AB19*PRODUCT(AC5:AC15)*AC17*AC18</f>
        <v>0</v>
      </c>
      <c r="AI16" s="194">
        <v>0</v>
      </c>
      <c r="BH16">
        <v>1</v>
      </c>
      <c r="BI16">
        <v>4</v>
      </c>
      <c r="BJ16" s="107">
        <f t="shared" si="7"/>
        <v>4.4510308223496074E-2</v>
      </c>
      <c r="BP16">
        <f>BP12+1</f>
        <v>5</v>
      </c>
      <c r="BQ16">
        <v>2</v>
      </c>
      <c r="BR16" s="107">
        <f>$H$30*H41</f>
        <v>5.0020824818140007E-3</v>
      </c>
    </row>
    <row r="17" spans="1:70" x14ac:dyDescent="0.25">
      <c r="A17" s="188" t="s">
        <v>10</v>
      </c>
      <c r="B17" s="172" t="s">
        <v>11</v>
      </c>
      <c r="C17" s="173" t="s">
        <v>11</v>
      </c>
      <c r="E17" s="192" t="s">
        <v>22</v>
      </c>
      <c r="F17" s="167" t="s">
        <v>16</v>
      </c>
      <c r="G17" s="167"/>
      <c r="H17" s="10"/>
      <c r="I17" s="10"/>
      <c r="J17" s="166"/>
      <c r="K17" s="166"/>
      <c r="L17" s="10"/>
      <c r="M17" s="10"/>
      <c r="O17" s="67">
        <f>(AI17*2)*IF(COUNTBLANK(F14:F15)&lt;&gt;0, (2-COUNTBLANK(F14:F15))/2,1)</f>
        <v>0.04</v>
      </c>
      <c r="P17" s="16" t="str">
        <f>P3</f>
        <v>0,6</v>
      </c>
      <c r="Q17" s="16">
        <f t="shared" si="1"/>
        <v>2.4E-2</v>
      </c>
      <c r="R17" s="157">
        <f t="shared" si="6"/>
        <v>2.4418453220345592E-2</v>
      </c>
      <c r="S17" s="176">
        <f t="shared" si="2"/>
        <v>0.97558154677965436</v>
      </c>
      <c r="T17" s="177">
        <f>R17*PRODUCT(S5:S16)*PRODUCT(S18:S19)</f>
        <v>2.0901487483430861E-2</v>
      </c>
      <c r="U17" s="177">
        <f>R17*R18*PRODUCT(S5:S16)*S19+R17*R19*PRODUCT(S5:S16)*S18</f>
        <v>0</v>
      </c>
      <c r="W17" s="186" t="s">
        <v>60</v>
      </c>
      <c r="X17" s="15" t="s">
        <v>61</v>
      </c>
      <c r="Y17" s="69">
        <f>(AI17*2)*IF(COUNTBLANK(J14:J15)&lt;&gt;0, (2-COUNTBLANK(J14:J15))/2,1)</f>
        <v>0.04</v>
      </c>
      <c r="Z17" s="146" t="str">
        <f>Z3</f>
        <v>0,6</v>
      </c>
      <c r="AA17" s="19">
        <f t="shared" si="3"/>
        <v>2.4E-2</v>
      </c>
      <c r="AB17" s="157">
        <f t="shared" si="4"/>
        <v>2.7131614689272884E-2</v>
      </c>
      <c r="AC17" s="176">
        <f t="shared" si="5"/>
        <v>0.97286838531072717</v>
      </c>
      <c r="AD17" s="177">
        <f>AB17*PRODUCT(AC5:AC16)*PRODUCT(AC18:AC19)</f>
        <v>2.084389022593032E-2</v>
      </c>
      <c r="AE17" s="177">
        <f>AB17*AB18*PRODUCT(AC5:AC16)*AC19+AB17*AB19*PRODUCT(AC5:AC16)*AC18</f>
        <v>4.8217549839201906E-4</v>
      </c>
      <c r="AI17" s="194">
        <v>0.02</v>
      </c>
      <c r="BH17">
        <v>1</v>
      </c>
      <c r="BI17">
        <v>5</v>
      </c>
      <c r="BJ17" s="107">
        <f t="shared" si="7"/>
        <v>1.9017687782846765E-2</v>
      </c>
      <c r="BP17">
        <f>BP13+1</f>
        <v>5</v>
      </c>
      <c r="BQ17">
        <v>3</v>
      </c>
      <c r="BR17" s="107">
        <f>$H$30*H42</f>
        <v>4.4182890994514659E-3</v>
      </c>
    </row>
    <row r="18" spans="1:70" x14ac:dyDescent="0.25">
      <c r="A18" s="188" t="s">
        <v>12</v>
      </c>
      <c r="B18" s="172">
        <v>20</v>
      </c>
      <c r="C18" s="173">
        <v>20</v>
      </c>
      <c r="E18" s="192" t="s">
        <v>22</v>
      </c>
      <c r="F18" s="167" t="s">
        <v>16</v>
      </c>
      <c r="G18" s="167"/>
      <c r="H18" s="10"/>
      <c r="I18" s="10"/>
      <c r="J18" s="166" t="s">
        <v>147</v>
      </c>
      <c r="K18" s="166"/>
      <c r="L18" s="10"/>
      <c r="M18" s="10"/>
      <c r="O18" s="67">
        <f>IF(COUNTIF(F14:F18,"CAB")&gt;0,(AI18*2)*IF(COUNTBLANK(F14:F15)&lt;&gt;0, (2-COUNTBLANK(F14:F15))/2,1),0)</f>
        <v>0</v>
      </c>
      <c r="P18" s="144">
        <f>P14</f>
        <v>0.95</v>
      </c>
      <c r="Q18" s="16">
        <f t="shared" si="1"/>
        <v>0</v>
      </c>
      <c r="R18" s="157">
        <f t="shared" si="6"/>
        <v>0</v>
      </c>
      <c r="S18" s="176">
        <f t="shared" si="2"/>
        <v>1</v>
      </c>
      <c r="T18" s="177">
        <f>R18*PRODUCT(S5:S17)*PRODUCT(S19:S19)</f>
        <v>0</v>
      </c>
      <c r="U18" s="177">
        <f>R18*R19*PRODUCT(S5:S17)</f>
        <v>0</v>
      </c>
      <c r="W18" s="186" t="s">
        <v>62</v>
      </c>
      <c r="X18" s="15" t="s">
        <v>63</v>
      </c>
      <c r="Y18" s="69">
        <f>IF(COUNTIF(J14:J18,"CAB")&gt;0,(AI18*2)*IF(COUNTBLANK(J14:J15)&lt;&gt;0, (2-COUNTBLANK(J14:J15))/2,1),0)</f>
        <v>0.04</v>
      </c>
      <c r="Z18" s="146">
        <v>0.5</v>
      </c>
      <c r="AA18" s="19">
        <f t="shared" si="3"/>
        <v>0.02</v>
      </c>
      <c r="AB18" s="157">
        <f t="shared" si="4"/>
        <v>2.2609678907727405E-2</v>
      </c>
      <c r="AC18" s="176">
        <f t="shared" si="5"/>
        <v>0.97739032109227264</v>
      </c>
      <c r="AD18" s="177">
        <f>AB18*PRODUCT(AC5:AC17)*PRODUCT(AC19:AC19)</f>
        <v>1.7289545938543264E-2</v>
      </c>
      <c r="AE18" s="177">
        <f>AB18*AB19*PRODUCT(AC5:AC17)</f>
        <v>0</v>
      </c>
      <c r="AI18" s="194">
        <v>0.02</v>
      </c>
      <c r="BH18">
        <v>1</v>
      </c>
      <c r="BI18">
        <v>6</v>
      </c>
      <c r="BJ18" s="107">
        <f t="shared" si="7"/>
        <v>5.9814353531961731E-3</v>
      </c>
      <c r="BP18">
        <f>BL8+1</f>
        <v>5</v>
      </c>
      <c r="BQ18">
        <v>4</v>
      </c>
      <c r="BR18" s="107">
        <f>$H$30*H43</f>
        <v>2.6408563991834172E-3</v>
      </c>
    </row>
    <row r="19" spans="1:70" x14ac:dyDescent="0.25">
      <c r="H19" s="13" t="s">
        <v>141</v>
      </c>
      <c r="L19" s="13" t="s">
        <v>141</v>
      </c>
      <c r="O19" s="67">
        <f>IF(AND(F14="TEC",J10="CAB"),AI19,IF(AND(F15="TEC",J6="CAB"),AI19,IF(AND(OR(F16="TEC",F17="TEC",F18="TEC"),OR(J7="CAB",J8="CAB",J9="CAB")),AI19,IF(AND(OR(F11="TEC",F12="TEC",F13="TEC"),OR(J11="CAB",J12="CAB",J13="CAB")),AI19,0))))</f>
        <v>0</v>
      </c>
      <c r="P19" s="16" t="str">
        <f>P3</f>
        <v>0,6</v>
      </c>
      <c r="Q19" s="16">
        <f t="shared" si="1"/>
        <v>0</v>
      </c>
      <c r="R19" s="157">
        <f t="shared" si="6"/>
        <v>0</v>
      </c>
      <c r="S19" s="178">
        <f t="shared" si="2"/>
        <v>1</v>
      </c>
      <c r="T19" s="179">
        <f>R19*PRODUCT(S5:S18)</f>
        <v>0</v>
      </c>
      <c r="U19" s="179">
        <v>0</v>
      </c>
      <c r="V19" s="1" t="s">
        <v>66</v>
      </c>
      <c r="W19" s="186" t="s">
        <v>64</v>
      </c>
      <c r="X19" s="15" t="s">
        <v>65</v>
      </c>
      <c r="Y19" s="69">
        <f>IF(AND(J14="TEC",F10="CAB"),AI19,IF(AND(J15="TEC",F6="CAB"),AI19,IF(AND(OR(J16="TEC",J17="TEC",J18="TEC"),OR(F7="CAB",F8="CAB",F9="CAB")),AI19,IF(AND(OR(J11="TEC",J12="TEC",J13="TEC"),OR(F11="CAB",F12="CAB",F13="CAB")),AI19,0))))</f>
        <v>0</v>
      </c>
      <c r="Z19" s="146" t="str">
        <f>Z3</f>
        <v>0,6</v>
      </c>
      <c r="AA19" s="19">
        <f t="shared" si="3"/>
        <v>0</v>
      </c>
      <c r="AB19" s="157">
        <f t="shared" si="4"/>
        <v>0</v>
      </c>
      <c r="AC19" s="178">
        <f t="shared" si="5"/>
        <v>1</v>
      </c>
      <c r="AD19" s="179">
        <f>AB19*PRODUCT(AC5:AC18)</f>
        <v>0</v>
      </c>
      <c r="AE19" s="179">
        <v>0</v>
      </c>
      <c r="AF19" s="1" t="s">
        <v>66</v>
      </c>
      <c r="AI19" s="194">
        <v>0.06</v>
      </c>
      <c r="BH19">
        <v>1</v>
      </c>
      <c r="BI19">
        <v>7</v>
      </c>
      <c r="BJ19" s="107">
        <f t="shared" si="7"/>
        <v>1.4047837977290867E-3</v>
      </c>
      <c r="BP19">
        <f>BP15+1</f>
        <v>6</v>
      </c>
      <c r="BQ19">
        <v>1</v>
      </c>
      <c r="BR19" s="107">
        <f>$H$31*H40</f>
        <v>7.0171722857245461E-4</v>
      </c>
    </row>
    <row r="20" spans="1:70" x14ac:dyDescent="0.25">
      <c r="A20" s="190" t="s">
        <v>81</v>
      </c>
      <c r="B20">
        <f>IF(B17="Pres",IF(C17="Pres",2,1),IF(C17="Pres",1,0))</f>
        <v>0</v>
      </c>
      <c r="D20" s="36"/>
      <c r="O20" s="22"/>
      <c r="P20" s="22"/>
      <c r="Q20" s="22"/>
      <c r="S20" s="180">
        <f>PRODUCT(S5:S19)</f>
        <v>0.83506949867287583</v>
      </c>
      <c r="T20" s="181">
        <f>SUM(T5:T19)</f>
        <v>0.15348968545731023</v>
      </c>
      <c r="U20" s="181">
        <f>SUM(U5:U19)</f>
        <v>1.1040142105842209E-2</v>
      </c>
      <c r="V20" s="181">
        <f>1-S20-T20-U20</f>
        <v>4.0067376397172685E-4</v>
      </c>
      <c r="W20" s="21"/>
      <c r="X20" s="22"/>
      <c r="Y20" s="22"/>
      <c r="Z20" s="22"/>
      <c r="AA20" s="22"/>
      <c r="AB20" s="23"/>
      <c r="AC20" s="184">
        <f>PRODUCT(AC5:AC19)</f>
        <v>0.74740711380190727</v>
      </c>
      <c r="AD20" s="181">
        <f>SUM(AD5:AD19)</f>
        <v>0.22434972942973719</v>
      </c>
      <c r="AE20" s="181">
        <f>SUM(AE5:AE19)</f>
        <v>2.6522639770245798E-2</v>
      </c>
      <c r="AF20" s="181">
        <f>1-AC20-AD20-AE20</f>
        <v>1.720516998109739E-3</v>
      </c>
      <c r="BH20">
        <v>1</v>
      </c>
      <c r="BI20">
        <v>8</v>
      </c>
      <c r="BJ20" s="107">
        <f t="shared" si="7"/>
        <v>2.4715961592673149E-4</v>
      </c>
      <c r="BP20">
        <f>BP16+1</f>
        <v>6</v>
      </c>
      <c r="BQ20">
        <v>2</v>
      </c>
      <c r="BR20" s="107">
        <f>$H$31*H41</f>
        <v>1.0219408895630791E-3</v>
      </c>
    </row>
    <row r="21" spans="1:70" x14ac:dyDescent="0.25">
      <c r="A21" s="190" t="s">
        <v>78</v>
      </c>
      <c r="B21" s="191">
        <f>5-B20</f>
        <v>5</v>
      </c>
      <c r="C21" s="35"/>
      <c r="D21" s="24"/>
      <c r="E21" s="24"/>
      <c r="O21" s="22"/>
      <c r="P21" s="22"/>
      <c r="Q21" s="22"/>
      <c r="S21" s="182">
        <f>1-T21-U21-V21</f>
        <v>0.83506949867287583</v>
      </c>
      <c r="T21" s="183">
        <f>T20*V1</f>
        <v>0.15348968545731023</v>
      </c>
      <c r="U21" s="183">
        <f>U20*V1</f>
        <v>1.1040142105842209E-2</v>
      </c>
      <c r="V21" s="183">
        <f>V20*V1</f>
        <v>4.0067376397172685E-4</v>
      </c>
      <c r="W21" s="21"/>
      <c r="X21" s="22"/>
      <c r="Y21" s="22"/>
      <c r="Z21" s="22"/>
      <c r="AA21" s="22"/>
      <c r="AB21" s="23"/>
      <c r="AC21" s="185">
        <f>1-AD21-AE21-AF21</f>
        <v>0.74740711380190727</v>
      </c>
      <c r="AD21" s="183">
        <f>AD20*V1</f>
        <v>0.22434972942973719</v>
      </c>
      <c r="AE21" s="183">
        <f>AE20*V1</f>
        <v>2.6522639770245798E-2</v>
      </c>
      <c r="AF21" s="183">
        <f>AF20*V1</f>
        <v>1.720516998109739E-3</v>
      </c>
      <c r="BH21" s="18">
        <v>1</v>
      </c>
      <c r="BI21">
        <v>9</v>
      </c>
      <c r="BJ21" s="107">
        <f t="shared" si="7"/>
        <v>3.2340861239160444E-5</v>
      </c>
      <c r="BP21">
        <f>BP17+1</f>
        <v>6</v>
      </c>
      <c r="BQ21">
        <v>3</v>
      </c>
      <c r="BR21" s="107">
        <f>$H$31*H42</f>
        <v>9.0267009971471755E-4</v>
      </c>
    </row>
    <row r="22" spans="1:70" x14ac:dyDescent="0.25">
      <c r="A22" s="26" t="s">
        <v>77</v>
      </c>
      <c r="B22" s="62">
        <f>(B6)/((B6)+(C6))</f>
        <v>0.47368421052631576</v>
      </c>
      <c r="C22" s="63">
        <f>1-B22</f>
        <v>0.52631578947368429</v>
      </c>
      <c r="D22" s="24"/>
      <c r="E22" s="24"/>
      <c r="V22" s="59">
        <f>SUM(V25:V35)</f>
        <v>1</v>
      </c>
      <c r="AS22" s="82">
        <f>Y23+AA23+AC23+AE23+AG23+AI23+AK23+AM23+AO23+AQ23+AS23</f>
        <v>1</v>
      </c>
      <c r="BH22">
        <v>1</v>
      </c>
      <c r="BI22">
        <v>10</v>
      </c>
      <c r="BJ22" s="107">
        <f t="shared" si="7"/>
        <v>3.0822960565653854E-6</v>
      </c>
      <c r="BP22">
        <f>BP18+1</f>
        <v>6</v>
      </c>
      <c r="BQ22">
        <v>4</v>
      </c>
      <c r="BR22" s="107">
        <f>$H$31*H43</f>
        <v>5.3953511314574207E-4</v>
      </c>
    </row>
    <row r="23" spans="1:70" ht="15.75" thickBot="1" x14ac:dyDescent="0.3">
      <c r="A23" s="40" t="s">
        <v>67</v>
      </c>
      <c r="B23" s="56">
        <f>((B22^2.8)/((B22^2.8)+(C22^2.8)))*B21</f>
        <v>2.1338895849549826</v>
      </c>
      <c r="C23" s="57">
        <f>B21-B23</f>
        <v>2.8661104150450174</v>
      </c>
      <c r="D23" s="151">
        <f>SUM(D25:D30)</f>
        <v>1</v>
      </c>
      <c r="E23" s="151">
        <f>SUM(E25:E30)</f>
        <v>1</v>
      </c>
      <c r="H23" s="59">
        <f>SUM(H25:H35)</f>
        <v>0.99999998555225222</v>
      </c>
      <c r="J23" s="59">
        <f>SUM(J25:J35)</f>
        <v>0.99999999999999989</v>
      </c>
      <c r="K23" s="59"/>
      <c r="L23" s="59">
        <f>SUM(L25:L35)</f>
        <v>1</v>
      </c>
      <c r="N23" s="59">
        <f>SUM(N25:N35)</f>
        <v>1.0000000000000002</v>
      </c>
      <c r="O23" s="34"/>
      <c r="P23" s="59">
        <f>SUM(P25:P35)</f>
        <v>1.0000000000000002</v>
      </c>
      <c r="R23" s="59">
        <f>SUM(R25:R35)</f>
        <v>1</v>
      </c>
      <c r="T23" s="59">
        <f>SUM(T25:T35)</f>
        <v>1</v>
      </c>
      <c r="V23" s="59">
        <f>SUM(V25:V34)</f>
        <v>0.99975813565668914</v>
      </c>
      <c r="Y23" s="80">
        <f>SUM(Y25:Y35)</f>
        <v>3.7731004883405344E-3</v>
      </c>
      <c r="Z23" s="81"/>
      <c r="AA23" s="80">
        <f>SUM(AA25:AA35)</f>
        <v>2.8148540579964569E-2</v>
      </c>
      <c r="AB23" s="81"/>
      <c r="AC23" s="80">
        <f>SUM(AC25:AC35)</f>
        <v>9.4540965211025202E-2</v>
      </c>
      <c r="AD23" s="81"/>
      <c r="AE23" s="80">
        <f>SUM(AE25:AE35)</f>
        <v>0.18828113238782931</v>
      </c>
      <c r="AF23" s="81"/>
      <c r="AG23" s="80">
        <f>SUM(AG25:AG35)</f>
        <v>0.24628757091290551</v>
      </c>
      <c r="AH23" s="81"/>
      <c r="AI23" s="80">
        <f>SUM(AI25:AI35)</f>
        <v>0.22120189162163784</v>
      </c>
      <c r="AJ23" s="81"/>
      <c r="AK23" s="80">
        <f>SUM(AK25:AK35)</f>
        <v>0.13825350881016671</v>
      </c>
      <c r="AL23" s="81"/>
      <c r="AM23" s="80">
        <f>SUM(AM25:AM35)</f>
        <v>5.9467002659498752E-2</v>
      </c>
      <c r="AN23" s="81"/>
      <c r="AO23" s="80">
        <f>SUM(AO25:AO35)</f>
        <v>1.6906172264115515E-2</v>
      </c>
      <c r="AP23" s="81"/>
      <c r="AQ23" s="80">
        <f>SUM(AQ25:AQ35)</f>
        <v>2.8982507212050802E-3</v>
      </c>
      <c r="AR23" s="81"/>
      <c r="AS23" s="80">
        <f>SUM(AS25:AS35)</f>
        <v>2.4186434331086013E-4</v>
      </c>
      <c r="BH23">
        <f t="shared" ref="BH23:BH30" si="8">BH15+1</f>
        <v>2</v>
      </c>
      <c r="BI23">
        <v>3</v>
      </c>
      <c r="BJ23" s="107">
        <f t="shared" ref="BJ23:BJ30" si="9">$H$27*H42</f>
        <v>7.0807796384954491E-2</v>
      </c>
      <c r="BP23">
        <f>BL9+1</f>
        <v>6</v>
      </c>
      <c r="BQ23">
        <v>5</v>
      </c>
      <c r="BR23" s="107">
        <f>$H$31*H44</f>
        <v>2.3052436029351528E-4</v>
      </c>
    </row>
    <row r="24" spans="1:70" ht="15.75" thickBot="1" x14ac:dyDescent="0.3">
      <c r="A24" s="26" t="s">
        <v>76</v>
      </c>
      <c r="B24" s="64">
        <f>B23/B21</f>
        <v>0.42677791699099654</v>
      </c>
      <c r="C24" s="65">
        <f>C23/B21</f>
        <v>0.57322208300900346</v>
      </c>
      <c r="D24" s="13" t="s">
        <v>79</v>
      </c>
      <c r="E24" s="13" t="s">
        <v>80</v>
      </c>
      <c r="G24" s="99" t="s">
        <v>103</v>
      </c>
      <c r="H24" s="100" t="s">
        <v>75</v>
      </c>
      <c r="I24" s="99" t="s">
        <v>100</v>
      </c>
      <c r="J24" s="101" t="s">
        <v>101</v>
      </c>
      <c r="K24" s="99" t="s">
        <v>102</v>
      </c>
      <c r="L24" s="101" t="s">
        <v>75</v>
      </c>
      <c r="M24" s="83" t="s">
        <v>99</v>
      </c>
      <c r="N24" s="27" t="s">
        <v>74</v>
      </c>
      <c r="O24" s="27" t="s">
        <v>126</v>
      </c>
      <c r="P24" s="27" t="s">
        <v>75</v>
      </c>
      <c r="Q24" s="27" t="s">
        <v>87</v>
      </c>
      <c r="R24" s="27" t="s">
        <v>75</v>
      </c>
      <c r="S24" s="27" t="s">
        <v>83</v>
      </c>
      <c r="T24" s="134" t="s">
        <v>75</v>
      </c>
      <c r="U24" s="138" t="s">
        <v>85</v>
      </c>
      <c r="V24" s="139" t="s">
        <v>74</v>
      </c>
      <c r="W24" s="83" t="s">
        <v>73</v>
      </c>
      <c r="X24" s="27" t="s">
        <v>88</v>
      </c>
      <c r="Y24" s="27" t="s">
        <v>75</v>
      </c>
      <c r="Z24" s="27" t="s">
        <v>89</v>
      </c>
      <c r="AA24" s="27" t="s">
        <v>75</v>
      </c>
      <c r="AB24" s="27" t="s">
        <v>90</v>
      </c>
      <c r="AC24" s="27" t="s">
        <v>75</v>
      </c>
      <c r="AD24" s="27" t="s">
        <v>91</v>
      </c>
      <c r="AE24" s="27" t="s">
        <v>75</v>
      </c>
      <c r="AF24" s="27" t="s">
        <v>92</v>
      </c>
      <c r="AG24" s="27" t="s">
        <v>75</v>
      </c>
      <c r="AH24" s="27" t="s">
        <v>93</v>
      </c>
      <c r="AI24" s="27" t="s">
        <v>75</v>
      </c>
      <c r="AJ24" s="27" t="s">
        <v>94</v>
      </c>
      <c r="AK24" s="27" t="s">
        <v>75</v>
      </c>
      <c r="AL24" s="27" t="s">
        <v>95</v>
      </c>
      <c r="AM24" s="27" t="s">
        <v>75</v>
      </c>
      <c r="AN24" s="27" t="s">
        <v>96</v>
      </c>
      <c r="AO24" s="27" t="s">
        <v>75</v>
      </c>
      <c r="AP24" s="27" t="s">
        <v>97</v>
      </c>
      <c r="AQ24" s="27" t="s">
        <v>75</v>
      </c>
      <c r="AR24" s="27" t="s">
        <v>98</v>
      </c>
      <c r="AS24" s="27" t="s">
        <v>75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>
        <f t="shared" si="9"/>
        <v>4.2322541143470872E-2</v>
      </c>
      <c r="BP24">
        <f>BH49+1</f>
        <v>7</v>
      </c>
      <c r="BQ24">
        <v>0</v>
      </c>
      <c r="BR24" s="107">
        <f t="shared" ref="BR24:BR30" si="10">$H$32*H39</f>
        <v>3.3602615891524603E-5</v>
      </c>
    </row>
    <row r="25" spans="1:70" x14ac:dyDescent="0.25">
      <c r="A25" s="26" t="s">
        <v>69</v>
      </c>
      <c r="B25" s="117">
        <f>1/(1+EXP(-3.1416*4*((B11/(B11+C8))-(3.1416/6))))</f>
        <v>0.32839636256027932</v>
      </c>
      <c r="C25" s="118">
        <f>1/(1+EXP(-3.1416*4*((C11/(C11+B8))-(3.1416/6))))</f>
        <v>0.33935563523733447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126">
        <v>0</v>
      </c>
      <c r="H25" s="127">
        <f>L25*J25</f>
        <v>0.14738075169875151</v>
      </c>
      <c r="I25" s="97">
        <v>0</v>
      </c>
      <c r="J25" s="98">
        <f t="shared" ref="J25:J35" si="11">Y25+AA25+AC25+AE25+AG25+AI25+AK25+AM25+AO25+AQ25+AS25</f>
        <v>0.17648920471047572</v>
      </c>
      <c r="K25" s="97">
        <v>0</v>
      </c>
      <c r="L25" s="98">
        <f>S21</f>
        <v>0.83506949867287583</v>
      </c>
      <c r="M25" s="84">
        <v>0</v>
      </c>
      <c r="N25" s="71">
        <f>(1-$B$24)^$B$21</f>
        <v>6.1889156665255927E-2</v>
      </c>
      <c r="O25" s="70">
        <v>0</v>
      </c>
      <c r="P25" s="71">
        <f>N25</f>
        <v>6.1889156665255927E-2</v>
      </c>
      <c r="Q25" s="12">
        <v>0</v>
      </c>
      <c r="R25" s="73">
        <f>P25*N25</f>
        <v>3.830267712736592E-3</v>
      </c>
      <c r="S25" s="70">
        <v>0</v>
      </c>
      <c r="T25" s="135">
        <f>(1-$B$33)^(INT(C23*2*(1-C31)))</f>
        <v>0.98507487500000002</v>
      </c>
      <c r="U25" s="140">
        <v>0</v>
      </c>
      <c r="V25" s="86">
        <f>R25*T25</f>
        <v>3.7731004883405344E-3</v>
      </c>
      <c r="W25" s="136">
        <f>B31</f>
        <v>0.37202183834290609</v>
      </c>
      <c r="X25" s="12">
        <v>0</v>
      </c>
      <c r="Y25" s="79">
        <f>V25</f>
        <v>3.7731004883405344E-3</v>
      </c>
      <c r="Z25" s="12">
        <v>0</v>
      </c>
      <c r="AA25" s="78">
        <f>((1-W25)^Z26)*V26</f>
        <v>1.7676668766736257E-2</v>
      </c>
      <c r="AB25" s="12">
        <v>0</v>
      </c>
      <c r="AC25" s="79">
        <f>(((1-$W$25)^AB27))*V27</f>
        <v>3.7282850908643514E-2</v>
      </c>
      <c r="AD25" s="12">
        <v>0</v>
      </c>
      <c r="AE25" s="79">
        <f>(((1-$W$25)^AB28))*V28</f>
        <v>4.6627316867003415E-2</v>
      </c>
      <c r="AF25" s="12">
        <v>0</v>
      </c>
      <c r="AG25" s="79">
        <f>(((1-$W$25)^AB29))*V29</f>
        <v>3.830193014890438E-2</v>
      </c>
      <c r="AH25" s="12">
        <v>0</v>
      </c>
      <c r="AI25" s="79">
        <f>(((1-$W$25)^AB30))*V30</f>
        <v>2.1602874477469437E-2</v>
      </c>
      <c r="AJ25" s="12">
        <v>0</v>
      </c>
      <c r="AK25" s="79">
        <f>(((1-$W$25)^AB31))*V31</f>
        <v>8.4789760607709031E-3</v>
      </c>
      <c r="AL25" s="12">
        <v>0</v>
      </c>
      <c r="AM25" s="79">
        <f>(((1-$W$25)^AB32))*V32</f>
        <v>2.2902760787731325E-3</v>
      </c>
      <c r="AN25" s="12">
        <v>0</v>
      </c>
      <c r="AO25" s="79">
        <f>(((1-$W$25)^AB33))*V33</f>
        <v>4.0888541446675481E-4</v>
      </c>
      <c r="AP25" s="12">
        <v>0</v>
      </c>
      <c r="AQ25" s="79">
        <f>(((1-$W$25)^AB34))*V34</f>
        <v>4.4018660506926467E-5</v>
      </c>
      <c r="AR25" s="12">
        <v>0</v>
      </c>
      <c r="AS25" s="79">
        <f>(((1-$W$25)^AB35))*V35</f>
        <v>2.3068388604300221E-6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>
        <f t="shared" si="9"/>
        <v>1.8082931926729225E-2</v>
      </c>
      <c r="BP25">
        <f>BP19+1</f>
        <v>7</v>
      </c>
      <c r="BQ25">
        <v>1</v>
      </c>
      <c r="BR25" s="107">
        <f t="shared" si="10"/>
        <v>1.0681147894270499E-4</v>
      </c>
    </row>
    <row r="26" spans="1:70" x14ac:dyDescent="0.25">
      <c r="A26" s="40" t="s">
        <v>24</v>
      </c>
      <c r="B26" s="119">
        <f>1/(1+EXP(-3.1416*4*((B10/(B10+C9))-(3.1416/6))))</f>
        <v>0.32839636256027932</v>
      </c>
      <c r="C26" s="120">
        <f>1/(1+EXP(-3.1416*4*((C10/(C10+B9))-(3.1416/6))))</f>
        <v>0.33935563523733447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1</v>
      </c>
      <c r="H26" s="128">
        <f>L25*J26+L26*J25</f>
        <v>0.30607459614351773</v>
      </c>
      <c r="I26" s="93">
        <v>1</v>
      </c>
      <c r="J26" s="86">
        <f t="shared" si="11"/>
        <v>0.3340863533745036</v>
      </c>
      <c r="K26" s="93">
        <v>1</v>
      </c>
      <c r="L26" s="86">
        <f>T21</f>
        <v>0.15348968545731023</v>
      </c>
      <c r="M26" s="85">
        <v>1</v>
      </c>
      <c r="N26" s="71">
        <f>(($B$24)^M26)*((1-($B$24))^($B$21-M26))*HLOOKUP($B$21,$AV$24:$BF$34,M26+1)</f>
        <v>0.23038998451768047</v>
      </c>
      <c r="O26" s="72">
        <v>1</v>
      </c>
      <c r="P26" s="71">
        <f t="shared" ref="P26:P30" si="12">N26</f>
        <v>0.23038998451768047</v>
      </c>
      <c r="Q26" s="28">
        <v>1</v>
      </c>
      <c r="R26" s="37">
        <f>N26*P25+P26*N25</f>
        <v>2.8517283691841228E-2</v>
      </c>
      <c r="S26" s="72">
        <v>1</v>
      </c>
      <c r="T26" s="135">
        <f t="shared" ref="T26:T35" si="13">(($B$33)^S26)*((1-($B$33))^(INT($C$23*2*(1-$C$31))-S26))*HLOOKUP(INT($C$23*2*(1-$C$31)),$AV$24:$BF$34,S26+1)</f>
        <v>1.4850375000000002E-2</v>
      </c>
      <c r="U26" s="93">
        <v>1</v>
      </c>
      <c r="V26" s="86">
        <f>R26*T25+T26*R25</f>
        <v>2.8148540579964569E-2</v>
      </c>
      <c r="W26" s="137"/>
      <c r="X26" s="28">
        <v>1</v>
      </c>
      <c r="Y26" s="73"/>
      <c r="Z26" s="28">
        <v>1</v>
      </c>
      <c r="AA26" s="79">
        <f>(1-((1-W25)^Z26))*V26</f>
        <v>1.0471871813228312E-2</v>
      </c>
      <c r="AB26" s="28">
        <v>1</v>
      </c>
      <c r="AC26" s="79">
        <f>((($W$25)^M26)*((1-($W$25))^($U$27-M26))*HLOOKUP($U$27,$AV$24:$BF$34,M26+1))*V27</f>
        <v>4.417362125172674E-2</v>
      </c>
      <c r="AD26" s="28">
        <v>1</v>
      </c>
      <c r="AE26" s="79">
        <f>((($W$25)^M26)*((1-($W$25))^($U$28-M26))*HLOOKUP($U$28,$AV$24:$BF$34,M26+1))*V28</f>
        <v>8.286775494908892E-2</v>
      </c>
      <c r="AF26" s="28">
        <v>1</v>
      </c>
      <c r="AG26" s="79">
        <f>((($W$25)^M26)*((1-($W$25))^($U$29-M26))*HLOOKUP($U$29,$AV$24:$BF$34,M26+1))*V29</f>
        <v>9.0762101844284876E-2</v>
      </c>
      <c r="AH26" s="28">
        <v>1</v>
      </c>
      <c r="AI26" s="79">
        <f>((($W$25)^M26)*((1-($W$25))^($U$30-M26))*HLOOKUP($U$30,$AV$24:$BF$34,M26+1))*V30</f>
        <v>6.3989017192827735E-2</v>
      </c>
      <c r="AJ26" s="28">
        <v>1</v>
      </c>
      <c r="AK26" s="79">
        <f>((($W$25)^M26)*((1-($W$25))^($U$31-M26))*HLOOKUP($U$31,$AV$24:$BF$34,M26+1))*V31</f>
        <v>3.0138286207945401E-2</v>
      </c>
      <c r="AL26" s="28">
        <v>1</v>
      </c>
      <c r="AM26" s="79">
        <f>((($W$25)^Q26)*((1-($W$25))^($U$32-Q26))*HLOOKUP($U$32,$AV$24:$BF$34,Q26+1))*V32</f>
        <v>9.4975102386163808E-3</v>
      </c>
      <c r="AN26" s="28">
        <v>1</v>
      </c>
      <c r="AO26" s="79">
        <f>((($W$25)^Q26)*((1-($W$25))^($U$33-Q26))*HLOOKUP($U$33,$AV$24:$BF$34,Q26+1))*V33</f>
        <v>1.9378292157182994E-3</v>
      </c>
      <c r="AP26" s="28">
        <v>1</v>
      </c>
      <c r="AQ26" s="79">
        <f>((($W$25)^Q26)*((1-($W$25))^($U$34-Q26))*HLOOKUP($U$34,$AV$24:$BF$34,Q26+1))*V34</f>
        <v>2.3469466938101871E-4</v>
      </c>
      <c r="AR26" s="28">
        <v>1</v>
      </c>
      <c r="AS26" s="79">
        <f>((($W$25)^Q26)*((1-($W$25))^($U$35-Q26))*HLOOKUP($U$35,$AV$24:$BF$34,Q26+1))*V35</f>
        <v>1.3665991685975964E-5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>
        <f t="shared" si="9"/>
        <v>5.6874363251212855E-3</v>
      </c>
      <c r="BP26">
        <f>BP20+1</f>
        <v>7</v>
      </c>
      <c r="BQ26">
        <v>2</v>
      </c>
      <c r="BR26" s="107">
        <f t="shared" si="10"/>
        <v>1.555541368541237E-4</v>
      </c>
    </row>
    <row r="27" spans="1:70" x14ac:dyDescent="0.25">
      <c r="A27" s="26" t="s">
        <v>25</v>
      </c>
      <c r="B27" s="119">
        <f>1/(1+EXP(-3.1416*4*((B12/(B12+C7))-(3.1416/6))))</f>
        <v>0.32839636256027932</v>
      </c>
      <c r="C27" s="120">
        <f>1/(1+EXP(-3.1416*4*((C12/(C12+B7))-(3.1416/6))))</f>
        <v>0.33935563523733447</v>
      </c>
      <c r="D27" s="153">
        <f>D26</f>
        <v>0.25700000000000001</v>
      </c>
      <c r="E27" s="153">
        <f>E26</f>
        <v>0.25700000000000001</v>
      </c>
      <c r="G27" s="87">
        <v>2</v>
      </c>
      <c r="H27" s="128">
        <f>L25*J27+J26*L26+J25*L27</f>
        <v>0.29103044227892333</v>
      </c>
      <c r="I27" s="93">
        <v>2</v>
      </c>
      <c r="J27" s="86">
        <f t="shared" si="11"/>
        <v>0.2847705100733125</v>
      </c>
      <c r="K27" s="93">
        <v>2</v>
      </c>
      <c r="L27" s="86">
        <f>U21</f>
        <v>1.1040142105842209E-2</v>
      </c>
      <c r="M27" s="85">
        <v>2</v>
      </c>
      <c r="N27" s="71">
        <f>(($B$24)^M27)*((1-($B$24))^($B$21-M27))*HLOOKUP($B$21,$AV$24:$BF$34,M27+1)</f>
        <v>0.34306200197977804</v>
      </c>
      <c r="O27" s="72">
        <v>2</v>
      </c>
      <c r="P27" s="71">
        <f t="shared" si="12"/>
        <v>0.34306200197977804</v>
      </c>
      <c r="Q27" s="28">
        <v>2</v>
      </c>
      <c r="R27" s="37">
        <f>P25*N27+P26*N26+P27*N25</f>
        <v>9.5543180938902683E-2</v>
      </c>
      <c r="S27" s="72">
        <v>2</v>
      </c>
      <c r="T27" s="135">
        <f t="shared" si="13"/>
        <v>7.4625000000000011E-5</v>
      </c>
      <c r="U27" s="93">
        <v>2</v>
      </c>
      <c r="V27" s="86">
        <f>R27*T25+T26*R26+R25*T27</f>
        <v>9.454096521102523E-2</v>
      </c>
      <c r="W27" s="137"/>
      <c r="X27" s="28">
        <v>2</v>
      </c>
      <c r="Y27" s="73"/>
      <c r="Z27" s="28">
        <v>2</v>
      </c>
      <c r="AA27" s="79"/>
      <c r="AB27" s="28">
        <v>2</v>
      </c>
      <c r="AC27" s="79">
        <f>((($W$25)^M27)*((1-($W$25))^($U$27-M27))*HLOOKUP($U$27,$AV$24:$BF$34,M27+1))*V27</f>
        <v>1.3084493050654962E-2</v>
      </c>
      <c r="AD27" s="28">
        <v>2</v>
      </c>
      <c r="AE27" s="79">
        <f>((($W$25)^M27)*((1-($W$25))^($U$28-M27))*HLOOKUP($U$28,$AV$24:$BF$34,M27+1))*V28</f>
        <v>4.9091857675686842E-2</v>
      </c>
      <c r="AF27" s="28">
        <v>2</v>
      </c>
      <c r="AG27" s="79">
        <f>((($W$25)^M27)*((1-($W$25))^($U$29-M27))*HLOOKUP($U$29,$AV$24:$BF$34,M27+1))*V29</f>
        <v>8.06528460103072E-2</v>
      </c>
      <c r="AH27" s="28">
        <v>2</v>
      </c>
      <c r="AI27" s="79">
        <f>((($W$25)^M27)*((1-($W$25))^($U$30-M27))*HLOOKUP($U$30,$AV$24:$BF$34,M27+1))*V30</f>
        <v>7.5815731384717922E-2</v>
      </c>
      <c r="AJ27" s="28">
        <v>2</v>
      </c>
      <c r="AK27" s="79">
        <f>((($W$25)^M27)*((1-($W$25))^($U$31-M27))*HLOOKUP($U$31,$AV$24:$BF$34,M27+1))*V31</f>
        <v>4.463571077853358E-2</v>
      </c>
      <c r="AL27" s="28">
        <v>2</v>
      </c>
      <c r="AM27" s="79">
        <f>((($W$25)^Q27)*((1-($W$25))^($U$32-Q27))*HLOOKUP($U$32,$AV$24:$BF$34,Q27+1))*V32</f>
        <v>1.6879318904946157E-2</v>
      </c>
      <c r="AN27" s="28">
        <v>2</v>
      </c>
      <c r="AO27" s="79">
        <f>((($W$25)^Q27)*((1-($W$25))^($U$33-Q27))*HLOOKUP($U$33,$AV$24:$BF$34,Q27+1))*V33</f>
        <v>4.0179769128168936E-3</v>
      </c>
      <c r="AP27" s="28">
        <v>2</v>
      </c>
      <c r="AQ27" s="79">
        <f>((($W$25)^Q27)*((1-($W$25))^($U$34-Q27))*HLOOKUP($U$34,$AV$24:$BF$34,Q27+1))*V34</f>
        <v>5.5614381316707897E-4</v>
      </c>
      <c r="AR27" s="28">
        <v>2</v>
      </c>
      <c r="AS27" s="79">
        <f>((($W$25)^Q27)*((1-($W$25))^($U$35-Q27))*HLOOKUP($U$35,$AV$24:$BF$34,Q27+1))*V35</f>
        <v>3.6431542481843528E-5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>
        <f t="shared" si="9"/>
        <v>1.3357359777995423E-3</v>
      </c>
      <c r="BP27">
        <f>BP21+1</f>
        <v>7</v>
      </c>
      <c r="BQ27">
        <v>3</v>
      </c>
      <c r="BR27" s="107">
        <f t="shared" si="10"/>
        <v>1.3739940309579095E-4</v>
      </c>
    </row>
    <row r="28" spans="1:70" x14ac:dyDescent="0.25">
      <c r="A28" s="26" t="s">
        <v>26</v>
      </c>
      <c r="B28" s="174">
        <v>0.9</v>
      </c>
      <c r="C28" s="175">
        <v>0.9</v>
      </c>
      <c r="D28" s="153">
        <v>8.5000000000000006E-2</v>
      </c>
      <c r="E28" s="153">
        <v>8.5000000000000006E-2</v>
      </c>
      <c r="G28" s="87">
        <v>3</v>
      </c>
      <c r="H28" s="128">
        <f>J28*L25+J27*L26+L28*J25+L27*J26</f>
        <v>0.16769440117062107</v>
      </c>
      <c r="I28" s="93">
        <v>3</v>
      </c>
      <c r="J28" s="86">
        <f t="shared" si="11"/>
        <v>0.14397123824087624</v>
      </c>
      <c r="K28" s="93">
        <v>3</v>
      </c>
      <c r="L28" s="86">
        <f>V21</f>
        <v>4.0067376397172685E-4</v>
      </c>
      <c r="M28" s="85">
        <v>3</v>
      </c>
      <c r="N28" s="71">
        <f>(($B$24)^M28)*((1-($B$24))^($B$21-M28))*HLOOKUP($B$21,$AV$24:$BF$34,M28+1)</f>
        <v>0.25541808479383232</v>
      </c>
      <c r="O28" s="72">
        <v>3</v>
      </c>
      <c r="P28" s="71">
        <f t="shared" si="12"/>
        <v>0.25541808479383232</v>
      </c>
      <c r="Q28" s="28">
        <v>3</v>
      </c>
      <c r="R28" s="37">
        <f>P25*N28+P26*N27+P27*N26+P28*N25</f>
        <v>0.18969131837934131</v>
      </c>
      <c r="S28" s="72">
        <v>3</v>
      </c>
      <c r="T28" s="135">
        <f t="shared" si="13"/>
        <v>1.2500000000000002E-7</v>
      </c>
      <c r="U28" s="93">
        <v>3</v>
      </c>
      <c r="V28" s="86">
        <f>R28*T25+R27*T26+R26*T27+R25*T28</f>
        <v>0.18828113238782934</v>
      </c>
      <c r="W28" s="137"/>
      <c r="X28" s="28">
        <v>3</v>
      </c>
      <c r="Y28" s="73"/>
      <c r="Z28" s="28">
        <v>3</v>
      </c>
      <c r="AA28" s="79"/>
      <c r="AB28" s="28">
        <v>3</v>
      </c>
      <c r="AC28" s="79"/>
      <c r="AD28" s="28">
        <v>3</v>
      </c>
      <c r="AE28" s="79">
        <f>((($W$25)^M28)*((1-($W$25))^($U$28-M28))*HLOOKUP($U$28,$AV$24:$BF$34,M28+1))*V28</f>
        <v>9.6942028960501376E-3</v>
      </c>
      <c r="AF28" s="28">
        <v>3</v>
      </c>
      <c r="AG28" s="79">
        <f>((($W$25)^M28)*((1-($W$25))^($U$29-M28))*HLOOKUP($U$29,$AV$24:$BF$34,M28+1))*V29</f>
        <v>3.1853145934423711E-2</v>
      </c>
      <c r="AH28" s="28">
        <v>3</v>
      </c>
      <c r="AI28" s="79">
        <f>((($W$25)^M28)*((1-($W$25))^($U$30-M28))*HLOOKUP($U$30,$AV$24:$BF$34,M28+1))*V30</f>
        <v>4.4914153846732106E-2</v>
      </c>
      <c r="AJ28" s="28">
        <v>3</v>
      </c>
      <c r="AK28" s="79">
        <f>((($W$25)^M28)*((1-($W$25))^($U$31-M28))*HLOOKUP($U$31,$AV$24:$BF$34,M28+1))*V31</f>
        <v>3.5256978014976903E-2</v>
      </c>
      <c r="AL28" s="28">
        <v>3</v>
      </c>
      <c r="AM28" s="79">
        <f>((($W$25)^Q28)*((1-($W$25))^($U$32-Q28))*HLOOKUP($U$32,$AV$24:$BF$34,Q28+1))*V32</f>
        <v>1.6665853560958517E-2</v>
      </c>
      <c r="AN28" s="28">
        <v>3</v>
      </c>
      <c r="AO28" s="79">
        <f>((($W$25)^Q28)*((1-($W$25))^($U$33-Q28))*HLOOKUP($U$33,$AV$24:$BF$34,Q28+1))*V33</f>
        <v>4.7605959849976879E-3</v>
      </c>
      <c r="AP28" s="28">
        <v>3</v>
      </c>
      <c r="AQ28" s="79">
        <f>((($W$25)^Q28)*((1-($W$25))^($U$34-Q28))*HLOOKUP($U$34,$AV$24:$BF$34,Q28+1))*V34</f>
        <v>7.6875470875210938E-4</v>
      </c>
      <c r="AR28" s="28">
        <v>3</v>
      </c>
      <c r="AS28" s="79">
        <f>((($W$25)^Q28)*((1-($W$25))^($U$35-Q28))*HLOOKUP($U$35,$AV$24:$BF$34,Q28+1))*V35</f>
        <v>5.7553293985038817E-5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>
        <f t="shared" si="9"/>
        <v>2.3501124641823332E-4</v>
      </c>
      <c r="BP28">
        <f>BP22+1</f>
        <v>7</v>
      </c>
      <c r="BQ28">
        <v>4</v>
      </c>
      <c r="BR28" s="107">
        <f t="shared" si="10"/>
        <v>8.212502277285335E-5</v>
      </c>
    </row>
    <row r="29" spans="1:70" x14ac:dyDescent="0.25">
      <c r="A29" s="26" t="s">
        <v>27</v>
      </c>
      <c r="B29" s="123">
        <f>1/(1+EXP(-3.1416*4*((B14/(B14+C13))-(3.1416/6))))</f>
        <v>0.21091587975125142</v>
      </c>
      <c r="C29" s="118">
        <f>1/(1+EXP(-3.1416*4*((C14/(C14+B13))-(3.1416/6))))</f>
        <v>0.40883398126688669</v>
      </c>
      <c r="D29" s="153">
        <v>0.04</v>
      </c>
      <c r="E29" s="153">
        <v>0.04</v>
      </c>
      <c r="G29" s="87">
        <v>4</v>
      </c>
      <c r="H29" s="128">
        <f>J29*L25+J28*L26+J27*L27+J26*L28</f>
        <v>6.531517512113745E-2</v>
      </c>
      <c r="I29" s="93">
        <v>4</v>
      </c>
      <c r="J29" s="86">
        <f t="shared" si="11"/>
        <v>4.782752642343932E-2</v>
      </c>
      <c r="K29" s="93">
        <v>4</v>
      </c>
      <c r="L29" s="86"/>
      <c r="M29" s="85">
        <v>4</v>
      </c>
      <c r="N29" s="71">
        <f>(($B$24)^M29)*((1-($B$24))^($B$21-M29))*HLOOKUP($B$21,$AV$24:$BF$34,M29+1)</f>
        <v>9.508251812101709E-2</v>
      </c>
      <c r="O29" s="72">
        <v>4</v>
      </c>
      <c r="P29" s="71">
        <f t="shared" si="12"/>
        <v>9.508251812101709E-2</v>
      </c>
      <c r="Q29" s="28">
        <v>4</v>
      </c>
      <c r="R29" s="37">
        <f>P25*N29+P26*N28+P27*N27+P28*N26+P29*N25</f>
        <v>0.24715222812498383</v>
      </c>
      <c r="S29" s="72">
        <v>4</v>
      </c>
      <c r="T29" s="135">
        <f t="shared" si="13"/>
        <v>0</v>
      </c>
      <c r="U29" s="93">
        <v>4</v>
      </c>
      <c r="V29" s="86">
        <f>T29*R25+T28*R26+T27*R27+T26*R28+T25*R29</f>
        <v>0.24628757091290557</v>
      </c>
      <c r="W29" s="137"/>
      <c r="X29" s="28">
        <v>4</v>
      </c>
      <c r="Y29" s="73"/>
      <c r="Z29" s="28">
        <v>4</v>
      </c>
      <c r="AA29" s="79"/>
      <c r="AB29" s="28">
        <v>4</v>
      </c>
      <c r="AC29" s="79"/>
      <c r="AD29" s="28">
        <v>4</v>
      </c>
      <c r="AE29" s="79"/>
      <c r="AF29" s="28">
        <v>4</v>
      </c>
      <c r="AG29" s="79">
        <f>((($W$25)^M29)*((1-($W$25))^($U$29-M29))*HLOOKUP($U$29,$AV$24:$BF$34,M29+1))*V29</f>
        <v>4.7175469749853646E-3</v>
      </c>
      <c r="AH29" s="28">
        <v>4</v>
      </c>
      <c r="AI29" s="79">
        <f>((($W$25)^M29)*((1-($W$25))^($U$30-M29))*HLOOKUP($U$30,$AV$24:$BF$34,M29+1))*V30</f>
        <v>1.3303843271863109E-2</v>
      </c>
      <c r="AJ29" s="28">
        <v>4</v>
      </c>
      <c r="AK29" s="79">
        <f>((($W$25)^M29)*((1-($W$25))^($U$31-M29))*HLOOKUP($U$31,$AV$24:$BF$34,M29+1))*V31</f>
        <v>1.5664994313977391E-2</v>
      </c>
      <c r="AL29" s="28">
        <v>4</v>
      </c>
      <c r="AM29" s="79">
        <f>((($W$25)^Q29)*((1-($W$25))^($U$32-Q29))*HLOOKUP($U$32,$AV$24:$BF$34,Q29+1))*V32</f>
        <v>9.8730526917383231E-3</v>
      </c>
      <c r="AN29" s="28">
        <v>4</v>
      </c>
      <c r="AO29" s="79">
        <f>((($W$25)^Q29)*((1-($W$25))^($U$33-Q29))*HLOOKUP($U$33,$AV$24:$BF$34,Q29+1))*V33</f>
        <v>3.5252931114541151E-3</v>
      </c>
      <c r="AP29" s="28">
        <v>4</v>
      </c>
      <c r="AQ29" s="79">
        <f>((($W$25)^Q29)*((1-($W$25))^($U$34-Q29))*HLOOKUP($U$34,$AV$24:$BF$34,Q29+1))*V34</f>
        <v>6.8312934457000576E-4</v>
      </c>
      <c r="AR29" s="28">
        <v>4</v>
      </c>
      <c r="AS29" s="79">
        <f>((($W$25)^Q29)*((1-($W$25))^($U$35-Q29))*HLOOKUP($U$35,$AV$24:$BF$34,Q29+1))*V35</f>
        <v>5.9666714851012349E-5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>
        <f t="shared" si="9"/>
        <v>3.0751245835838019E-5</v>
      </c>
      <c r="BP29">
        <f>BP23+1</f>
        <v>7</v>
      </c>
      <c r="BQ29">
        <v>5</v>
      </c>
      <c r="BR29" s="107">
        <f t="shared" si="10"/>
        <v>3.5089131138140463E-5</v>
      </c>
    </row>
    <row r="30" spans="1:70" x14ac:dyDescent="0.25">
      <c r="A30" s="26" t="s">
        <v>136</v>
      </c>
      <c r="B30" s="174">
        <v>0.15</v>
      </c>
      <c r="C30" s="175">
        <v>0.15</v>
      </c>
      <c r="D30" s="153">
        <f>IF(B17="TL",0.875*B32,0.001)</f>
        <v>1E-3</v>
      </c>
      <c r="E30" s="153">
        <f>IF(C17="TL",0.875*C32,0.001)</f>
        <v>1E-3</v>
      </c>
      <c r="G30" s="87">
        <v>5</v>
      </c>
      <c r="H30" s="128">
        <f>J30*L25+J29*L26+J28*L27+J27*L28</f>
        <v>1.8159817087638242E-2</v>
      </c>
      <c r="I30" s="93">
        <v>5</v>
      </c>
      <c r="J30" s="86">
        <f t="shared" si="11"/>
        <v>1.0915525131401687E-2</v>
      </c>
      <c r="K30" s="93">
        <v>5</v>
      </c>
      <c r="L30" s="86"/>
      <c r="M30" s="85">
        <v>5</v>
      </c>
      <c r="N30" s="71">
        <f>(($B$24)^M30)*((1-($B$24))^($B$21-M30))*HLOOKUP($B$21,$AV$24:$BF$34,M30+1)</f>
        <v>1.4158253922436198E-2</v>
      </c>
      <c r="O30" s="72">
        <v>5</v>
      </c>
      <c r="P30" s="71">
        <f t="shared" si="12"/>
        <v>1.4158253922436198E-2</v>
      </c>
      <c r="Q30" s="28">
        <v>5</v>
      </c>
      <c r="R30" s="37">
        <f>P25*N30+P26*N29+P27*N28+P28*N27+P29*N26+P30*N25</f>
        <v>0.2208130835682563</v>
      </c>
      <c r="S30" s="72">
        <v>5</v>
      </c>
      <c r="T30" s="135">
        <f t="shared" si="13"/>
        <v>0</v>
      </c>
      <c r="U30" s="93">
        <v>5</v>
      </c>
      <c r="V30" s="86">
        <f>T30*R25+T29*R26+T28*R27+T27*R28+T26*R29+T25*R30</f>
        <v>0.22120189162163786</v>
      </c>
      <c r="W30" s="137"/>
      <c r="X30" s="28">
        <v>5</v>
      </c>
      <c r="Y30" s="73"/>
      <c r="Z30" s="28">
        <v>5</v>
      </c>
      <c r="AA30" s="79"/>
      <c r="AB30" s="28">
        <v>5</v>
      </c>
      <c r="AC30" s="79"/>
      <c r="AD30" s="28">
        <v>5</v>
      </c>
      <c r="AE30" s="79"/>
      <c r="AF30" s="28">
        <v>5</v>
      </c>
      <c r="AG30" s="79"/>
      <c r="AH30" s="28">
        <v>5</v>
      </c>
      <c r="AI30" s="79">
        <f>((($W$25)^M30)*((1-($W$25))^($U$30-M30))*HLOOKUP($U$30,$AV$24:$BF$34,M30+1))*V30</f>
        <v>1.5762714480275135E-3</v>
      </c>
      <c r="AJ30" s="28">
        <v>5</v>
      </c>
      <c r="AK30" s="79">
        <f>((($W$25)^M30)*((1-($W$25))^($U$31-M30))*HLOOKUP($U$31,$AV$24:$BF$34,M30+1))*V31</f>
        <v>3.7120526401357595E-3</v>
      </c>
      <c r="AL30" s="28">
        <v>5</v>
      </c>
      <c r="AM30" s="79">
        <f>((($W$25)^Q30)*((1-($W$25))^($U$32-Q30))*HLOOKUP($U$32,$AV$24:$BF$34,Q30+1))*V32</f>
        <v>3.5093493086555748E-3</v>
      </c>
      <c r="AN30" s="28">
        <v>5</v>
      </c>
      <c r="AO30" s="79">
        <f>((($W$25)^Q30)*((1-($W$25))^($U$33-Q30))*HLOOKUP($U$33,$AV$24:$BF$34,Q30+1))*V33</f>
        <v>1.6707409322133436E-3</v>
      </c>
      <c r="AP30" s="28">
        <v>5</v>
      </c>
      <c r="AQ30" s="79">
        <f>((($W$25)^Q30)*((1-($W$25))^($U$34-Q30))*HLOOKUP($U$34,$AV$24:$BF$34,Q30+1))*V34</f>
        <v>4.0469406439596885E-4</v>
      </c>
      <c r="AR30" s="28">
        <v>5</v>
      </c>
      <c r="AS30" s="79">
        <f>((($W$25)^Q30)*((1-($W$25))^($U$35-Q30))*HLOOKUP($U$35,$AV$24:$BF$34,Q30+1))*V35</f>
        <v>4.2416737973527924E-5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>
        <f t="shared" si="9"/>
        <v>2.9307952893816262E-6</v>
      </c>
      <c r="BP30">
        <f>BL10+1</f>
        <v>7</v>
      </c>
      <c r="BQ30">
        <v>6</v>
      </c>
      <c r="BR30" s="107">
        <f t="shared" si="10"/>
        <v>1.1036219118704688E-5</v>
      </c>
    </row>
    <row r="31" spans="1:70" x14ac:dyDescent="0.25">
      <c r="A31" s="189" t="s">
        <v>68</v>
      </c>
      <c r="B31" s="60">
        <f>(B25*D25)+(B26*D26)+(B27*D27)+(B28*D28)+(B29*D29)+(B30*D30)/(B25+B26+B27+B28+B29+B30)</f>
        <v>0.37202183834290609</v>
      </c>
      <c r="C31" s="61">
        <f>(C25*E25)+(C26*E26)+(C27*E27)+(C28*E28)+(C29*E29)+(C30*E30)/(C25+C26+C27+C28+C29+C30)</f>
        <v>0.38951074399685026</v>
      </c>
      <c r="G31" s="87">
        <v>6</v>
      </c>
      <c r="H31" s="128">
        <f>J31*L25+J30*L26+J29*L27+J28*L28</f>
        <v>3.7101066798310152E-3</v>
      </c>
      <c r="I31" s="93">
        <v>6</v>
      </c>
      <c r="J31" s="86">
        <f t="shared" si="11"/>
        <v>1.7351585429694668E-3</v>
      </c>
      <c r="K31" s="93">
        <v>6</v>
      </c>
      <c r="L31" s="86"/>
      <c r="M31" s="85"/>
      <c r="N31" s="73"/>
      <c r="O31" s="37"/>
      <c r="P31" s="37"/>
      <c r="Q31" s="28">
        <v>6</v>
      </c>
      <c r="R31" s="37">
        <f>P26*N30+P27*N29+P28*N28+P29*N27+P30*N26</f>
        <v>0.13700063588347353</v>
      </c>
      <c r="S31" s="70">
        <v>6</v>
      </c>
      <c r="T31" s="135">
        <f t="shared" si="13"/>
        <v>0</v>
      </c>
      <c r="U31" s="93">
        <v>6</v>
      </c>
      <c r="V31" s="86">
        <f>T31*R25+T30*R26+T29*R27+T28*R28+T27*R29+T26*R30+T25*R31</f>
        <v>0.13825350881016676</v>
      </c>
      <c r="W31" s="137"/>
      <c r="X31" s="28">
        <v>6</v>
      </c>
      <c r="Y31" s="73"/>
      <c r="Z31" s="28">
        <v>6</v>
      </c>
      <c r="AA31" s="79"/>
      <c r="AB31" s="28">
        <v>6</v>
      </c>
      <c r="AC31" s="79"/>
      <c r="AD31" s="28">
        <v>6</v>
      </c>
      <c r="AE31" s="79"/>
      <c r="AF31" s="28">
        <v>6</v>
      </c>
      <c r="AG31" s="79"/>
      <c r="AH31" s="28">
        <v>6</v>
      </c>
      <c r="AI31" s="79"/>
      <c r="AJ31" s="28">
        <v>6</v>
      </c>
      <c r="AK31" s="79">
        <f>((($W$25)^Q31)*((1-($W$25))^($U$31-Q31))*HLOOKUP($U$31,$AV$24:$BF$34,Q31+1))*V31</f>
        <v>3.6651079382678064E-4</v>
      </c>
      <c r="AL31" s="28">
        <v>6</v>
      </c>
      <c r="AM31" s="79">
        <f>((($W$25)^Q31)*((1-($W$25))^($U$32-Q31))*HLOOKUP($U$32,$AV$24:$BF$34,Q31+1))*V32</f>
        <v>6.9299362138559449E-4</v>
      </c>
      <c r="AN31" s="28">
        <v>6</v>
      </c>
      <c r="AO31" s="79">
        <f>((($W$25)^Q31)*((1-($W$25))^($U$33-Q31))*HLOOKUP($U$33,$AV$24:$BF$34,Q31+1))*V33</f>
        <v>4.9488354129752828E-4</v>
      </c>
      <c r="AP31" s="28">
        <v>6</v>
      </c>
      <c r="AQ31" s="79">
        <f>((($W$25)^Q31)*((1-($W$25))^($U$34-Q31))*HLOOKUP($U$34,$AV$24:$BF$34,Q31+1))*V34</f>
        <v>1.5983043041472406E-4</v>
      </c>
      <c r="AR31" s="28">
        <v>6</v>
      </c>
      <c r="AS31" s="79">
        <f>((($W$25)^Q31)*((1-($W$25))^($U$35-Q31))*HLOOKUP($U$35,$AV$24:$BF$34,Q31+1))*V35</f>
        <v>2.0940156044839525E-5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>
        <f t="shared" ref="BJ31:BJ37" si="16">$H$28*H43</f>
        <v>2.438663508015879E-2</v>
      </c>
      <c r="BP31">
        <f t="shared" ref="BP31:BP37" si="17">BP24+1</f>
        <v>8</v>
      </c>
      <c r="BQ31">
        <v>0</v>
      </c>
      <c r="BR31" s="107">
        <f t="shared" ref="BR31:BR38" si="18">$H$33*H39</f>
        <v>3.8211527398476095E-6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7</v>
      </c>
      <c r="H32" s="128">
        <f>J32*L25+J31*L26+J30*L27+J29*L28</f>
        <v>5.6473172578951742E-4</v>
      </c>
      <c r="I32" s="93">
        <v>7</v>
      </c>
      <c r="J32" s="86">
        <f t="shared" si="11"/>
        <v>1.9008070995135939E-4</v>
      </c>
      <c r="K32" s="93">
        <v>7</v>
      </c>
      <c r="L32" s="86"/>
      <c r="M32" s="85"/>
      <c r="N32" s="73"/>
      <c r="O32" s="37"/>
      <c r="P32" s="37"/>
      <c r="Q32" s="28">
        <v>7</v>
      </c>
      <c r="R32" s="37">
        <f>P27*N30+P28*N29+P29*N28+P30*N27</f>
        <v>5.8285907222028095E-2</v>
      </c>
      <c r="S32" s="72">
        <v>7</v>
      </c>
      <c r="T32" s="135">
        <f t="shared" si="13"/>
        <v>0</v>
      </c>
      <c r="U32" s="93">
        <v>7</v>
      </c>
      <c r="V32" s="86">
        <f>T32*R25+T31*R26+T30*R27+T29*R28+T28*R29+T27*R30+T26*R31+T25*R32</f>
        <v>5.9467002659498766E-2</v>
      </c>
      <c r="W32" s="137"/>
      <c r="X32" s="28">
        <v>7</v>
      </c>
      <c r="Y32" s="73"/>
      <c r="Z32" s="28">
        <v>7</v>
      </c>
      <c r="AA32" s="79"/>
      <c r="AB32" s="28">
        <v>7</v>
      </c>
      <c r="AC32" s="79"/>
      <c r="AD32" s="28">
        <v>7</v>
      </c>
      <c r="AE32" s="79"/>
      <c r="AF32" s="28">
        <v>7</v>
      </c>
      <c r="AG32" s="79"/>
      <c r="AH32" s="28">
        <v>7</v>
      </c>
      <c r="AI32" s="79"/>
      <c r="AJ32" s="28">
        <v>7</v>
      </c>
      <c r="AK32" s="79"/>
      <c r="AL32" s="28">
        <v>7</v>
      </c>
      <c r="AM32" s="79">
        <f>((($W$25)^Q32)*((1-($W$25))^($U$32-Q32))*HLOOKUP($U$32,$AV$24:$BF$34,Q32+1))*V32</f>
        <v>5.8648254425071328E-5</v>
      </c>
      <c r="AN32" s="28">
        <v>7</v>
      </c>
      <c r="AO32" s="79">
        <f>((($W$25)^Q32)*((1-($W$25))^($U$33-Q32))*HLOOKUP($U$33,$AV$24:$BF$34,Q32+1))*V33</f>
        <v>8.3764279915783552E-5</v>
      </c>
      <c r="AP32" s="28">
        <v>7</v>
      </c>
      <c r="AQ32" s="79">
        <f>((($W$25)^Q32)*((1-($W$25))^($U$34-Q32))*HLOOKUP($U$34,$AV$24:$BF$34,Q32+1))*V34</f>
        <v>4.0579489299291777E-5</v>
      </c>
      <c r="AR32" s="28">
        <v>7</v>
      </c>
      <c r="AS32" s="79">
        <f>((($W$25)^Q32)*((1-($W$25))^($U$35-Q32))*HLOOKUP($U$35,$AV$24:$BF$34,Q32+1))*V35</f>
        <v>7.0886863112126929E-6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>
        <f t="shared" si="16"/>
        <v>1.0419550673519256E-2</v>
      </c>
      <c r="BP32">
        <f t="shared" si="17"/>
        <v>8</v>
      </c>
      <c r="BQ32">
        <v>1</v>
      </c>
      <c r="BR32" s="107">
        <f t="shared" si="18"/>
        <v>1.214616673674016E-5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8</v>
      </c>
      <c r="H33" s="128">
        <f>J33*L25+J32*L26+J31*L27+J30*L28</f>
        <v>6.4218993790413949E-5</v>
      </c>
      <c r="I33" s="93">
        <v>8</v>
      </c>
      <c r="J33" s="86">
        <f t="shared" si="11"/>
        <v>1.3787599710083673E-5</v>
      </c>
      <c r="K33" s="93">
        <v>8</v>
      </c>
      <c r="L33" s="86"/>
      <c r="M33" s="85"/>
      <c r="N33" s="73"/>
      <c r="O33" s="37"/>
      <c r="P33" s="37"/>
      <c r="Q33" s="28">
        <v>8</v>
      </c>
      <c r="R33" s="37">
        <f>P28*N30+P29*N29+P30*N28</f>
        <v>1.6273233454020378E-2</v>
      </c>
      <c r="S33" s="72">
        <v>8</v>
      </c>
      <c r="T33" s="135">
        <f t="shared" si="13"/>
        <v>0</v>
      </c>
      <c r="U33" s="93">
        <v>8</v>
      </c>
      <c r="V33" s="86">
        <f>T33*R25+T32*R26+T31*R27+T30*R28+T29*R29+T28*R30+T27*R31+T26*R32+T25*R33</f>
        <v>1.6906172264115518E-2</v>
      </c>
      <c r="W33" s="137"/>
      <c r="X33" s="28">
        <v>8</v>
      </c>
      <c r="Y33" s="73"/>
      <c r="Z33" s="28">
        <v>8</v>
      </c>
      <c r="AA33" s="79"/>
      <c r="AB33" s="28">
        <v>8</v>
      </c>
      <c r="AC33" s="79"/>
      <c r="AD33" s="28">
        <v>8</v>
      </c>
      <c r="AE33" s="79"/>
      <c r="AF33" s="28">
        <v>8</v>
      </c>
      <c r="AG33" s="79"/>
      <c r="AH33" s="28">
        <v>8</v>
      </c>
      <c r="AI33" s="79"/>
      <c r="AJ33" s="28">
        <v>8</v>
      </c>
      <c r="AK33" s="79"/>
      <c r="AL33" s="28">
        <v>8</v>
      </c>
      <c r="AM33" s="79"/>
      <c r="AN33" s="28">
        <v>8</v>
      </c>
      <c r="AO33" s="79">
        <f>((($W$25)^Q33)*((1-($W$25))^($U$33-Q33))*HLOOKUP($U$33,$AV$24:$BF$34,Q33+1))*V33</f>
        <v>6.2028712351058608E-6</v>
      </c>
      <c r="AP33" s="28">
        <v>8</v>
      </c>
      <c r="AQ33" s="79">
        <f>((($W$25)^Q33)*((1-($W$25))^($U$34-Q33))*HLOOKUP($U$34,$AV$24:$BF$34,Q33+1))*V34</f>
        <v>6.0099447440587116E-6</v>
      </c>
      <c r="AR33" s="28">
        <v>8</v>
      </c>
      <c r="AS33" s="79">
        <f>((($W$25)^Q33)*((1-($W$25))^($U$35-Q33))*HLOOKUP($U$35,$AV$24:$BF$34,Q33+1))*V35</f>
        <v>1.5747837309191023E-6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>
        <f t="shared" si="16"/>
        <v>3.2771527997857261E-3</v>
      </c>
      <c r="BP33">
        <f t="shared" si="17"/>
        <v>8</v>
      </c>
      <c r="BQ33">
        <v>2</v>
      </c>
      <c r="BR33" s="107">
        <f t="shared" si="18"/>
        <v>1.7688983445621743E-5</v>
      </c>
    </row>
    <row r="34" spans="1:70" x14ac:dyDescent="0.25">
      <c r="A34" s="40" t="s">
        <v>86</v>
      </c>
      <c r="B34" s="56">
        <f>B23*2</f>
        <v>4.2677791699099652</v>
      </c>
      <c r="C34" s="57">
        <f>C23*2</f>
        <v>5.7322208300900348</v>
      </c>
      <c r="G34" s="87">
        <v>9</v>
      </c>
      <c r="H34" s="128">
        <f>J34*L25+J33*L26+J32*L27+J31*L28</f>
        <v>5.4134780884159974E-6</v>
      </c>
      <c r="I34" s="93">
        <v>9</v>
      </c>
      <c r="J34" s="86">
        <f t="shared" si="11"/>
        <v>6.0291172478750003E-7</v>
      </c>
      <c r="K34" s="93">
        <v>9</v>
      </c>
      <c r="L34" s="86"/>
      <c r="M34" s="85"/>
      <c r="N34" s="73"/>
      <c r="O34" s="37"/>
      <c r="P34" s="37"/>
      <c r="Q34" s="28">
        <v>9</v>
      </c>
      <c r="R34" s="37">
        <f>P29*N30+P30*N29</f>
        <v>2.6924048702840022E-3</v>
      </c>
      <c r="S34" s="72">
        <v>9</v>
      </c>
      <c r="T34" s="135">
        <f t="shared" si="13"/>
        <v>0</v>
      </c>
      <c r="U34" s="93">
        <v>9</v>
      </c>
      <c r="V34" s="86">
        <f>T34*R25+T33*R26+T32*R27+T31*R28+T30*R29+T29*R30+T28*R31+T27*R32+T26*R33+T25*R34</f>
        <v>2.8982507212050816E-3</v>
      </c>
      <c r="W34" s="137"/>
      <c r="X34" s="28">
        <v>9</v>
      </c>
      <c r="Y34" s="73"/>
      <c r="Z34" s="28">
        <v>9</v>
      </c>
      <c r="AA34" s="79"/>
      <c r="AB34" s="28">
        <v>9</v>
      </c>
      <c r="AC34" s="79"/>
      <c r="AD34" s="28">
        <v>9</v>
      </c>
      <c r="AE34" s="79"/>
      <c r="AF34" s="28">
        <v>9</v>
      </c>
      <c r="AG34" s="79"/>
      <c r="AH34" s="28">
        <v>9</v>
      </c>
      <c r="AI34" s="79"/>
      <c r="AJ34" s="28">
        <v>9</v>
      </c>
      <c r="AK34" s="79"/>
      <c r="AL34" s="28">
        <v>9</v>
      </c>
      <c r="AM34" s="79"/>
      <c r="AN34" s="28">
        <v>9</v>
      </c>
      <c r="AO34" s="79"/>
      <c r="AP34" s="28">
        <v>9</v>
      </c>
      <c r="AQ34" s="79">
        <f>((($W$25)^Q34)*((1-($W$25))^($U$34-Q34))*HLOOKUP($U$34,$AV$24:$BF$34,Q34+1))*V34</f>
        <v>3.9559597389751952E-7</v>
      </c>
      <c r="AR34" s="28">
        <v>9</v>
      </c>
      <c r="AS34" s="79">
        <f>((($W$25)^Q34)*((1-($W$25))^($U$35-Q34))*HLOOKUP($U$35,$AV$24:$BF$34,Q34+1))*V35</f>
        <v>2.0731575088998045E-7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>
        <f t="shared" si="16"/>
        <v>7.696632804635303E-4</v>
      </c>
      <c r="BP34">
        <f t="shared" si="17"/>
        <v>8</v>
      </c>
      <c r="BQ34">
        <v>3</v>
      </c>
      <c r="BR34" s="107">
        <f t="shared" si="18"/>
        <v>1.5624500999796612E-5</v>
      </c>
    </row>
    <row r="35" spans="1:70" ht="15.75" thickBot="1" x14ac:dyDescent="0.3">
      <c r="G35" s="88">
        <v>10</v>
      </c>
      <c r="H35" s="129">
        <f>J35*L25+J34*L26+J33*L27+J32*L28</f>
        <v>3.3117416353307858E-7</v>
      </c>
      <c r="I35" s="94">
        <v>10</v>
      </c>
      <c r="J35" s="89">
        <f t="shared" si="11"/>
        <v>1.2281635170244181E-8</v>
      </c>
      <c r="K35" s="94">
        <v>10</v>
      </c>
      <c r="L35" s="89"/>
      <c r="M35" s="85"/>
      <c r="N35" s="73"/>
      <c r="O35" s="37"/>
      <c r="P35" s="37"/>
      <c r="Q35" s="28">
        <v>10</v>
      </c>
      <c r="R35" s="37">
        <f>P30*N30</f>
        <v>2.0045615413217998E-4</v>
      </c>
      <c r="S35" s="72">
        <v>10</v>
      </c>
      <c r="T35" s="135">
        <f t="shared" si="13"/>
        <v>0</v>
      </c>
      <c r="U35" s="94">
        <v>10</v>
      </c>
      <c r="V35" s="89">
        <f>IF(((T35*R25+T34*R26+T33*R27+T32*R28+T31*R29+T30*R30+T29*R31+T28*R32+T27*R33+T26*R34+T25*R35)+V23)&lt;&gt;1,1-V23,(T35*R25+T34*R26+T33*R27+T32*R28+T31*R29+T30*R30+T29*R31+T28*R32+T27*R33+T26*R34+T25*R35))</f>
        <v>2.4186434331086026E-4</v>
      </c>
      <c r="W35" s="137"/>
      <c r="X35" s="28">
        <v>10</v>
      </c>
      <c r="Y35" s="73"/>
      <c r="Z35" s="28">
        <v>10</v>
      </c>
      <c r="AA35" s="79"/>
      <c r="AB35" s="28">
        <v>10</v>
      </c>
      <c r="AC35" s="79"/>
      <c r="AD35" s="28">
        <v>10</v>
      </c>
      <c r="AE35" s="79"/>
      <c r="AF35" s="28">
        <v>10</v>
      </c>
      <c r="AG35" s="79"/>
      <c r="AH35" s="28">
        <v>10</v>
      </c>
      <c r="AI35" s="79"/>
      <c r="AJ35" s="28">
        <v>10</v>
      </c>
      <c r="AK35" s="79"/>
      <c r="AL35" s="28">
        <v>10</v>
      </c>
      <c r="AM35" s="79"/>
      <c r="AN35" s="28">
        <v>10</v>
      </c>
      <c r="AO35" s="79"/>
      <c r="AP35" s="28">
        <v>10</v>
      </c>
      <c r="AQ35" s="79"/>
      <c r="AR35" s="28">
        <v>10</v>
      </c>
      <c r="AS35" s="79">
        <f>((($W$25)^Q35)*((1-($W$25))^($U$35-Q35))*HLOOKUP($U$35,$AV$24:$BF$34,Q35+1))*V35</f>
        <v>1.2281635170244181E-8</v>
      </c>
      <c r="BH35">
        <f t="shared" si="15"/>
        <v>3</v>
      </c>
      <c r="BI35">
        <v>8</v>
      </c>
      <c r="BJ35" s="107">
        <f t="shared" si="16"/>
        <v>1.3541562844032764E-4</v>
      </c>
      <c r="BP35">
        <f t="shared" si="17"/>
        <v>8</v>
      </c>
      <c r="BQ35">
        <v>4</v>
      </c>
      <c r="BR35" s="107">
        <f t="shared" si="18"/>
        <v>9.338923397856267E-6</v>
      </c>
    </row>
    <row r="36" spans="1:70" x14ac:dyDescent="0.25">
      <c r="A36" s="1"/>
      <c r="B36" s="108">
        <f>SUM(B37:B39)</f>
        <v>0.99999895703580399</v>
      </c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9">
        <f>SUM(V39:V49)</f>
        <v>1</v>
      </c>
      <c r="W36" s="13"/>
      <c r="X36" s="13"/>
      <c r="AS36" s="82">
        <f>Y37+AA37+AC37+AE37+AG37+AI37+AK37+AM37+AO37+AQ37+AS37</f>
        <v>1</v>
      </c>
      <c r="BH36">
        <f t="shared" si="15"/>
        <v>3</v>
      </c>
      <c r="BI36">
        <v>9</v>
      </c>
      <c r="BJ36" s="107">
        <f t="shared" si="16"/>
        <v>1.7719148949885894E-5</v>
      </c>
      <c r="BP36">
        <f t="shared" si="17"/>
        <v>8</v>
      </c>
      <c r="BQ36">
        <v>5</v>
      </c>
      <c r="BR36" s="107">
        <f t="shared" si="18"/>
        <v>3.9901932046069057E-6</v>
      </c>
    </row>
    <row r="37" spans="1:70" ht="15.75" thickBot="1" x14ac:dyDescent="0.3">
      <c r="A37" s="109" t="s">
        <v>104</v>
      </c>
      <c r="B37" s="107">
        <f>SUM(BN4:BN14)</f>
        <v>0.19832500138188314</v>
      </c>
      <c r="G37" s="13"/>
      <c r="H37" s="59">
        <f>SUM(H39:H49)</f>
        <v>0.99999930265413906</v>
      </c>
      <c r="I37" s="13"/>
      <c r="J37" s="59">
        <f>SUM(J39:J49)</f>
        <v>1</v>
      </c>
      <c r="K37" s="59"/>
      <c r="L37" s="59">
        <f>SUM(L39:L49)</f>
        <v>1</v>
      </c>
      <c r="M37" s="13"/>
      <c r="N37" s="74">
        <f>SUM(N39:N49)</f>
        <v>1</v>
      </c>
      <c r="O37" s="13"/>
      <c r="P37" s="74">
        <f>SUM(P39:P49)</f>
        <v>1</v>
      </c>
      <c r="Q37" s="13"/>
      <c r="R37" s="59">
        <f>SUM(R39:R49)</f>
        <v>1</v>
      </c>
      <c r="S37" s="13"/>
      <c r="T37" s="59">
        <f>SUM(T39:T49)</f>
        <v>1</v>
      </c>
      <c r="U37" s="13"/>
      <c r="V37" s="59">
        <f>SUM(V39:V48)</f>
        <v>0.99588288380291401</v>
      </c>
      <c r="W37" s="13"/>
      <c r="X37" s="13"/>
      <c r="Y37" s="80">
        <f>SUM(Y39:Y49)</f>
        <v>1.9845660399471149E-4</v>
      </c>
      <c r="Z37" s="81"/>
      <c r="AA37" s="80">
        <f>SUM(AA39:AA49)</f>
        <v>2.667542670436535E-3</v>
      </c>
      <c r="AB37" s="81"/>
      <c r="AC37" s="80">
        <f>SUM(AC39:AC49)</f>
        <v>1.6137702390179705E-2</v>
      </c>
      <c r="AD37" s="81"/>
      <c r="AE37" s="80">
        <f>SUM(AE39:AE49)</f>
        <v>5.7866491280477626E-2</v>
      </c>
      <c r="AF37" s="81"/>
      <c r="AG37" s="80">
        <f>SUM(AG39:AG49)</f>
        <v>0.13621440614823141</v>
      </c>
      <c r="AH37" s="81"/>
      <c r="AI37" s="80">
        <f>SUM(AI39:AI49)</f>
        <v>0.21997508653438402</v>
      </c>
      <c r="AJ37" s="81"/>
      <c r="AK37" s="80">
        <f>SUM(AK39:AK49)</f>
        <v>0.24688739984683841</v>
      </c>
      <c r="AL37" s="81"/>
      <c r="AM37" s="80">
        <f>SUM(AM39:AM49)</f>
        <v>0.19026383247544021</v>
      </c>
      <c r="AN37" s="81"/>
      <c r="AO37" s="80">
        <f>SUM(AO39:AO49)</f>
        <v>9.6483745132614707E-2</v>
      </c>
      <c r="AP37" s="81"/>
      <c r="AQ37" s="80">
        <f>SUM(AQ39:AQ49)</f>
        <v>2.9188220720316679E-2</v>
      </c>
      <c r="AR37" s="81"/>
      <c r="AS37" s="80">
        <f>SUM(AS39:AS49)</f>
        <v>4.1171161970859895E-3</v>
      </c>
      <c r="BH37">
        <f t="shared" si="15"/>
        <v>3</v>
      </c>
      <c r="BI37">
        <v>10</v>
      </c>
      <c r="BJ37" s="107">
        <f t="shared" si="16"/>
        <v>1.6887510363451836E-6</v>
      </c>
      <c r="BP37">
        <f t="shared" si="17"/>
        <v>8</v>
      </c>
      <c r="BQ37">
        <v>6</v>
      </c>
      <c r="BR37" s="107">
        <f t="shared" si="18"/>
        <v>1.2549939284231011E-6</v>
      </c>
    </row>
    <row r="38" spans="1:70" ht="15.75" thickBot="1" x14ac:dyDescent="0.3">
      <c r="A38" s="110" t="s">
        <v>105</v>
      </c>
      <c r="B38" s="107">
        <f>SUM(BJ4:BJ59)</f>
        <v>0.55248814107641242</v>
      </c>
      <c r="G38" s="103" t="str">
        <f t="shared" ref="G38:T38" si="19">G24</f>
        <v>G</v>
      </c>
      <c r="H38" s="104" t="str">
        <f t="shared" si="19"/>
        <v>p</v>
      </c>
      <c r="I38" s="103" t="str">
        <f t="shared" si="19"/>
        <v>GT</v>
      </c>
      <c r="J38" s="105" t="str">
        <f t="shared" si="19"/>
        <v>p(x)</v>
      </c>
      <c r="K38" s="106" t="str">
        <f t="shared" si="19"/>
        <v>EE(x)</v>
      </c>
      <c r="L38" s="105" t="str">
        <f t="shared" si="19"/>
        <v>p</v>
      </c>
      <c r="M38" s="90" t="str">
        <f t="shared" si="19"/>
        <v>OcaS</v>
      </c>
      <c r="N38" s="30" t="str">
        <f t="shared" si="19"/>
        <v>P</v>
      </c>
      <c r="O38" s="30" t="str">
        <f t="shared" si="19"/>
        <v>O_CA</v>
      </c>
      <c r="P38" s="30" t="str">
        <f t="shared" si="19"/>
        <v>p</v>
      </c>
      <c r="Q38" s="30" t="str">
        <f t="shared" si="19"/>
        <v>TotalN</v>
      </c>
      <c r="R38" s="30" t="str">
        <f t="shared" si="19"/>
        <v>p</v>
      </c>
      <c r="S38" s="30" t="str">
        <f t="shared" si="19"/>
        <v>OcaCA</v>
      </c>
      <c r="T38" s="141" t="str">
        <f t="shared" si="19"/>
        <v>p</v>
      </c>
      <c r="U38" s="142" t="str">
        <f>U24</f>
        <v>Total</v>
      </c>
      <c r="V38" s="143" t="str">
        <f>V24</f>
        <v>P</v>
      </c>
      <c r="W38" s="90" t="str">
        <f>W24</f>
        <v>E(x)</v>
      </c>
      <c r="X38" s="30" t="str">
        <f t="shared" ref="X38" si="20">X24</f>
        <v>G0</v>
      </c>
      <c r="Y38" s="30" t="str">
        <f>Y24</f>
        <v>p</v>
      </c>
      <c r="Z38" s="30" t="str">
        <f t="shared" ref="Z38" si="21">Z24</f>
        <v>G1</v>
      </c>
      <c r="AA38" s="30" t="str">
        <f>AA24</f>
        <v>p</v>
      </c>
      <c r="AB38" s="30" t="str">
        <f t="shared" ref="AB38" si="22">AB24</f>
        <v>G2</v>
      </c>
      <c r="AC38" s="30" t="str">
        <f>AC24</f>
        <v>p</v>
      </c>
      <c r="AD38" s="30" t="str">
        <f t="shared" ref="AD38" si="23">AD24</f>
        <v>G3</v>
      </c>
      <c r="AE38" s="30" t="str">
        <f>AE24</f>
        <v>p</v>
      </c>
      <c r="AF38" s="30" t="str">
        <f t="shared" ref="AF38" si="24">AF24</f>
        <v>G4</v>
      </c>
      <c r="AG38" s="30" t="str">
        <f>AG24</f>
        <v>p</v>
      </c>
      <c r="AH38" s="30" t="str">
        <f t="shared" ref="AH38" si="25">AH24</f>
        <v>G5</v>
      </c>
      <c r="AI38" s="30" t="str">
        <f>AI24</f>
        <v>p</v>
      </c>
      <c r="AJ38" s="30" t="str">
        <f t="shared" ref="AJ38" si="26">AJ24</f>
        <v>G6</v>
      </c>
      <c r="AK38" s="30" t="str">
        <f>AK24</f>
        <v>p</v>
      </c>
      <c r="AL38" s="30" t="str">
        <f t="shared" ref="AL38" si="27">AL24</f>
        <v>G7</v>
      </c>
      <c r="AM38" s="30" t="str">
        <f>AM24</f>
        <v>p</v>
      </c>
      <c r="AN38" s="30" t="str">
        <f t="shared" ref="AN38" si="28">AN24</f>
        <v>G8</v>
      </c>
      <c r="AO38" s="30" t="str">
        <f>AO24</f>
        <v>p</v>
      </c>
      <c r="AP38" s="30" t="str">
        <f t="shared" ref="AP38" si="29">AP24</f>
        <v>G9</v>
      </c>
      <c r="AQ38" s="30" t="str">
        <f>AQ24</f>
        <v>p</v>
      </c>
      <c r="AR38" s="30" t="str">
        <f t="shared" ref="AR38" si="30">AR24</f>
        <v>G10</v>
      </c>
      <c r="AS38" s="30" t="str">
        <f>AS24</f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1">BH32+1</f>
        <v>4</v>
      </c>
      <c r="BI38">
        <v>5</v>
      </c>
      <c r="BJ38" s="107">
        <f t="shared" ref="BJ38:BJ43" si="32">$H$29*H44</f>
        <v>4.0583035102766717E-3</v>
      </c>
      <c r="BP38">
        <f>BL11+1</f>
        <v>8</v>
      </c>
      <c r="BQ38">
        <v>7</v>
      </c>
      <c r="BR38" s="107">
        <f t="shared" si="18"/>
        <v>2.947444940544405E-7</v>
      </c>
    </row>
    <row r="39" spans="1:70" x14ac:dyDescent="0.25">
      <c r="A39" s="111" t="s">
        <v>0</v>
      </c>
      <c r="B39" s="107">
        <f>SUM(BR4:BR47)</f>
        <v>0.24918581457750841</v>
      </c>
      <c r="G39" s="130">
        <v>0</v>
      </c>
      <c r="H39" s="131">
        <f>L39*J39</f>
        <v>5.9501909237606246E-2</v>
      </c>
      <c r="I39" s="97">
        <v>0</v>
      </c>
      <c r="J39" s="98">
        <f t="shared" ref="J39:J49" si="33">Y39+AA39+AC39+AE39+AG39+AI39+AK39+AM39+AO39+AQ39+AS39</f>
        <v>7.9611109044617184E-2</v>
      </c>
      <c r="K39" s="102">
        <v>0</v>
      </c>
      <c r="L39" s="98">
        <f>AC21</f>
        <v>0.74740711380190727</v>
      </c>
      <c r="M39" s="84">
        <v>0</v>
      </c>
      <c r="N39" s="71">
        <f>(1-$C$24)^$B$21</f>
        <v>1.4158253922436198E-2</v>
      </c>
      <c r="O39" s="70">
        <v>0</v>
      </c>
      <c r="P39" s="71">
        <f>N39</f>
        <v>1.4158253922436198E-2</v>
      </c>
      <c r="Q39" s="12">
        <v>0</v>
      </c>
      <c r="R39" s="73">
        <f>P39*N39</f>
        <v>2.0045615413217998E-4</v>
      </c>
      <c r="S39" s="70">
        <v>0</v>
      </c>
      <c r="T39" s="135">
        <f>(1-$C$33)^(INT(B23*2*(1-B31)))</f>
        <v>0.99002500000000004</v>
      </c>
      <c r="U39" s="140">
        <v>0</v>
      </c>
      <c r="V39" s="86">
        <f>R39*T39</f>
        <v>1.9845660399471149E-4</v>
      </c>
      <c r="W39" s="136">
        <f>C31</f>
        <v>0.38951074399685026</v>
      </c>
      <c r="X39" s="12">
        <v>0</v>
      </c>
      <c r="Y39" s="79">
        <f>V39</f>
        <v>1.9845660399471149E-4</v>
      </c>
      <c r="Z39" s="12">
        <v>0</v>
      </c>
      <c r="AA39" s="78">
        <f>((1-W39)^Z40)*V40</f>
        <v>1.6285061402314556E-3</v>
      </c>
      <c r="AB39" s="12">
        <v>0</v>
      </c>
      <c r="AC39" s="79">
        <f>(((1-$W$39)^AB41))*V41</f>
        <v>6.0144753929720291E-3</v>
      </c>
      <c r="AD39" s="12">
        <v>0</v>
      </c>
      <c r="AE39" s="79">
        <f>(((1-$W$39)^AB42))*V42</f>
        <v>1.3166223571486406E-2</v>
      </c>
      <c r="AF39" s="12">
        <v>0</v>
      </c>
      <c r="AG39" s="79">
        <f>(((1-$W$39)^AB43))*V43</f>
        <v>1.892061035824074E-2</v>
      </c>
      <c r="AH39" s="12">
        <v>0</v>
      </c>
      <c r="AI39" s="79">
        <f>(((1-$W$39)^AB44))*V44</f>
        <v>1.8653641385078329E-2</v>
      </c>
      <c r="AJ39" s="12">
        <v>0</v>
      </c>
      <c r="AK39" s="79">
        <f>(((1-$W$39)^AB45))*V45</f>
        <v>1.2781065986532022E-2</v>
      </c>
      <c r="AL39" s="12">
        <v>0</v>
      </c>
      <c r="AM39" s="79">
        <f>(((1-$W$39)^AB46))*V46</f>
        <v>6.0131552515432611E-3</v>
      </c>
      <c r="AN39" s="12">
        <v>0</v>
      </c>
      <c r="AO39" s="79">
        <f>(((1-$W$39)^AB47))*V47</f>
        <v>1.8615656403259207E-3</v>
      </c>
      <c r="AP39" s="12">
        <v>0</v>
      </c>
      <c r="AQ39" s="79">
        <f>(((1-$W$39)^AB48))*V48</f>
        <v>3.4380314767349518E-4</v>
      </c>
      <c r="AR39" s="12">
        <v>0</v>
      </c>
      <c r="AS39" s="79">
        <f>(((1-$W$39)^AB49))*V49</f>
        <v>2.9605566538797197E-5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1"/>
        <v>4</v>
      </c>
      <c r="BI39">
        <v>6</v>
      </c>
      <c r="BJ39" s="107">
        <f t="shared" si="32"/>
        <v>1.276415953797689E-3</v>
      </c>
      <c r="BP39">
        <f t="shared" ref="BP39:BP46" si="34">BP31+1</f>
        <v>9</v>
      </c>
      <c r="BQ39">
        <v>0</v>
      </c>
      <c r="BR39" s="107">
        <f t="shared" ref="BR39:BR47" si="35">$H$34*H39</f>
        <v>3.2211228187669883E-7</v>
      </c>
    </row>
    <row r="40" spans="1:70" x14ac:dyDescent="0.25">
      <c r="G40" s="91">
        <v>1</v>
      </c>
      <c r="H40" s="132">
        <f>L39*J40+L40*J39</f>
        <v>0.18913667156449956</v>
      </c>
      <c r="I40" s="93">
        <v>1</v>
      </c>
      <c r="J40" s="86">
        <f t="shared" si="33"/>
        <v>0.22916016937475037</v>
      </c>
      <c r="K40" s="95">
        <v>1</v>
      </c>
      <c r="L40" s="86">
        <f>AD21</f>
        <v>0.22434972942973719</v>
      </c>
      <c r="M40" s="85">
        <v>1</v>
      </c>
      <c r="N40" s="71">
        <f>(($C$24)^M26)*((1-($C$24))^($B$21-M26))*HLOOKUP($B$21,$AV$24:$BF$34,M26+1)</f>
        <v>9.508251812101709E-2</v>
      </c>
      <c r="O40" s="72">
        <v>1</v>
      </c>
      <c r="P40" s="71">
        <f t="shared" ref="P40:P44" si="36">N40</f>
        <v>9.508251812101709E-2</v>
      </c>
      <c r="Q40" s="28">
        <v>1</v>
      </c>
      <c r="R40" s="37">
        <f>P40*N39+P39*N40</f>
        <v>2.6924048702840022E-3</v>
      </c>
      <c r="S40" s="72">
        <v>1</v>
      </c>
      <c r="T40" s="135">
        <f t="shared" ref="T40:T49" si="37">(($C$33)^S40)*((1-($C$33))^(INT($B$23*2*(1-$B$31))-S40))*HLOOKUP(INT($B$23*2*(1-$B$31)),$AV$24:$BF$34,S40+1)</f>
        <v>9.9500000000000005E-3</v>
      </c>
      <c r="U40" s="93">
        <v>1</v>
      </c>
      <c r="V40" s="86">
        <f>R40*T39+T40*R39</f>
        <v>2.667542670436535E-3</v>
      </c>
      <c r="W40" s="137"/>
      <c r="X40" s="28">
        <v>1</v>
      </c>
      <c r="Y40" s="73"/>
      <c r="Z40" s="28">
        <v>1</v>
      </c>
      <c r="AA40" s="79">
        <f>(1-((1-W39)^Z40))*V40</f>
        <v>1.0390365302050794E-3</v>
      </c>
      <c r="AB40" s="28">
        <v>1</v>
      </c>
      <c r="AC40" s="79">
        <f>((($W$39)^M40)*((1-($W$39))^($U$27-M40))*HLOOKUP($U$27,$AV$24:$BF$34,M40+1))*V41</f>
        <v>7.6748370656180608E-3</v>
      </c>
      <c r="AD40" s="28">
        <v>1</v>
      </c>
      <c r="AE40" s="79">
        <f>((($W$39)^M40)*((1-($W$39))^($U$28-M40))*HLOOKUP($U$28,$AV$24:$BF$34,M40+1))*V42</f>
        <v>2.5201355250052484E-2</v>
      </c>
      <c r="AF40" s="28">
        <v>1</v>
      </c>
      <c r="AG40" s="79">
        <f>((($W$39)^M40)*((1-($W$39))^($U$29-M40))*HLOOKUP($U$29,$AV$24:$BF$34,M40+1))*V43</f>
        <v>4.8287703313650704E-2</v>
      </c>
      <c r="AH40" s="28">
        <v>1</v>
      </c>
      <c r="AI40" s="79">
        <f>((($W$39)^M40)*((1-($W$39))^($U$30-M40))*HLOOKUP($U$30,$AV$24:$BF$34,M40+1))*V44</f>
        <v>5.9507957451382321E-2</v>
      </c>
      <c r="AJ40" s="28">
        <v>1</v>
      </c>
      <c r="AK40" s="79">
        <f>((($W$39)^M40)*((1-($W$39))^($U$31-M40))*HLOOKUP($U$31,$AV$24:$BF$34,M40+1))*V45</f>
        <v>4.8928256861521968E-2</v>
      </c>
      <c r="AL40" s="28">
        <v>1</v>
      </c>
      <c r="AM40" s="79">
        <f>((($W$39)^Q40)*((1-($W$39))^($U$32-Q40))*HLOOKUP($U$32,$AV$24:$BF$34,Q40+1))*V46</f>
        <v>2.6856033696513883E-2</v>
      </c>
      <c r="AN40" s="28">
        <v>1</v>
      </c>
      <c r="AO40" s="79">
        <f>((($W$39)^Q40)*((1-($W$39))^($U$33-Q40))*HLOOKUP($U$33,$AV$24:$BF$34,Q40+1))*V47</f>
        <v>9.5018847317251548E-3</v>
      </c>
      <c r="AP40" s="28">
        <v>1</v>
      </c>
      <c r="AQ40" s="79">
        <f>((($W$39)^Q40)*((1-($W$39))^($U$34-Q40))*HLOOKUP($U$34,$AV$24:$BF$34,Q40+1))*V48</f>
        <v>1.9742119401731789E-3</v>
      </c>
      <c r="AR40" s="28">
        <v>1</v>
      </c>
      <c r="AS40" s="79">
        <f>((($W$39)^Q40)*((1-($W$39))^($U$35-Q40))*HLOOKUP($U$35,$AV$24:$BF$34,Q40+1))*V49</f>
        <v>1.8889253390751981E-4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1"/>
        <v>4</v>
      </c>
      <c r="BI40">
        <v>7</v>
      </c>
      <c r="BJ40" s="107">
        <f t="shared" si="32"/>
        <v>2.9977561323968457E-4</v>
      </c>
      <c r="BP40">
        <f t="shared" si="34"/>
        <v>9</v>
      </c>
      <c r="BQ40">
        <v>1</v>
      </c>
      <c r="BR40" s="107">
        <f t="shared" si="35"/>
        <v>1.0238872272303514E-6</v>
      </c>
    </row>
    <row r="41" spans="1:70" x14ac:dyDescent="0.25">
      <c r="G41" s="91">
        <v>2</v>
      </c>
      <c r="H41" s="132">
        <f>L39*J41+J40*L40+J39*L41</f>
        <v>0.27544784496860492</v>
      </c>
      <c r="I41" s="93">
        <v>2</v>
      </c>
      <c r="J41" s="86">
        <f t="shared" si="33"/>
        <v>0.29692562742348416</v>
      </c>
      <c r="K41" s="95">
        <v>2</v>
      </c>
      <c r="L41" s="86">
        <f>AE21</f>
        <v>2.6522639770245798E-2</v>
      </c>
      <c r="M41" s="85">
        <v>2</v>
      </c>
      <c r="N41" s="71">
        <f>(($C$24)^M27)*((1-($C$24))^($B$21-M27))*HLOOKUP($B$21,$AV$24:$BF$34,M27+1)</f>
        <v>0.25541808479383232</v>
      </c>
      <c r="O41" s="72">
        <v>2</v>
      </c>
      <c r="P41" s="71">
        <f t="shared" si="36"/>
        <v>0.25541808479383232</v>
      </c>
      <c r="Q41" s="28">
        <v>2</v>
      </c>
      <c r="R41" s="37">
        <f>P41*N39+P40*N40+P39*N41</f>
        <v>1.6273233454020378E-2</v>
      </c>
      <c r="S41" s="72">
        <v>2</v>
      </c>
      <c r="T41" s="135">
        <f t="shared" si="37"/>
        <v>2.5000000000000001E-5</v>
      </c>
      <c r="U41" s="93">
        <v>2</v>
      </c>
      <c r="V41" s="86">
        <f>R41*T39+T40*R40+R39*T41</f>
        <v>1.6137702390179705E-2</v>
      </c>
      <c r="W41" s="137"/>
      <c r="X41" s="28">
        <v>2</v>
      </c>
      <c r="Y41" s="73"/>
      <c r="Z41" s="28">
        <v>2</v>
      </c>
      <c r="AA41" s="79"/>
      <c r="AB41" s="28">
        <v>2</v>
      </c>
      <c r="AC41" s="79">
        <f>((($W$39)^M41)*((1-($W$39))^($U$27-M41))*HLOOKUP($U$27,$AV$24:$BF$34,M41+1))*V41</f>
        <v>2.4483899315896154E-3</v>
      </c>
      <c r="AD41" s="28">
        <v>2</v>
      </c>
      <c r="AE41" s="79">
        <f>((($W$39)^M41)*((1-($W$39))^($U$28-M41))*HLOOKUP($U$28,$AV$24:$BF$34,M41+1))*V42</f>
        <v>1.6079232413430424E-2</v>
      </c>
      <c r="AF41" s="28">
        <v>2</v>
      </c>
      <c r="AG41" s="79">
        <f>((($W$39)^M41)*((1-($W$39))^($U$29-M41))*HLOOKUP($U$29,$AV$24:$BF$34,M41+1))*V43</f>
        <v>4.6213538711733407E-2</v>
      </c>
      <c r="AH41" s="28">
        <v>2</v>
      </c>
      <c r="AI41" s="79">
        <f>((($W$39)^M41)*((1-($W$39))^($U$30-M41))*HLOOKUP($U$30,$AV$24:$BF$34,M41+1))*V44</f>
        <v>7.5935779549578974E-2</v>
      </c>
      <c r="AJ41" s="28">
        <v>2</v>
      </c>
      <c r="AK41" s="79">
        <f>((($W$39)^M41)*((1-($W$39))^($U$31-M41))*HLOOKUP($U$31,$AV$24:$BF$34,M41+1))*V45</f>
        <v>7.8044296214862835E-2</v>
      </c>
      <c r="AL41" s="28">
        <v>2</v>
      </c>
      <c r="AM41" s="79">
        <f>((($W$39)^Q41)*((1-($W$39))^($U$32-Q41))*HLOOKUP($U$32,$AV$24:$BF$34,Q41+1))*V46</f>
        <v>5.1404903017062915E-2</v>
      </c>
      <c r="AN41" s="28">
        <v>2</v>
      </c>
      <c r="AO41" s="79">
        <f>((($W$39)^Q41)*((1-($W$39))^($U$33-Q41))*HLOOKUP($U$33,$AV$24:$BF$34,Q41+1))*V47</f>
        <v>2.121872177423903E-2</v>
      </c>
      <c r="AP41" s="28">
        <v>2</v>
      </c>
      <c r="AQ41" s="79">
        <f>((($W$39)^Q41)*((1-($W$39))^($U$34-Q41))*HLOOKUP($U$34,$AV$24:$BF$34,Q41+1))*V48</f>
        <v>5.0384294502332895E-3</v>
      </c>
      <c r="AR41" s="28">
        <v>2</v>
      </c>
      <c r="AS41" s="79">
        <f>((($W$39)^Q41)*((1-($W$39))^($U$35-Q41))*HLOOKUP($U$35,$AV$24:$BF$34,Q41+1))*V49</f>
        <v>5.4233636075365951E-4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1"/>
        <v>4</v>
      </c>
      <c r="BI41">
        <v>8</v>
      </c>
      <c r="BJ41" s="107">
        <f t="shared" si="32"/>
        <v>5.2742938487969098E-5</v>
      </c>
      <c r="BP41">
        <f t="shared" si="34"/>
        <v>9</v>
      </c>
      <c r="BQ41">
        <v>2</v>
      </c>
      <c r="BR41" s="107">
        <f t="shared" si="35"/>
        <v>1.4911308732389493E-6</v>
      </c>
    </row>
    <row r="42" spans="1:70" ht="15" customHeight="1" x14ac:dyDescent="0.25">
      <c r="G42" s="91">
        <v>3</v>
      </c>
      <c r="H42" s="132">
        <f>J42*L39+J41*L40+L42*J39+L41*J40</f>
        <v>0.24330030848488476</v>
      </c>
      <c r="I42" s="93">
        <v>3</v>
      </c>
      <c r="J42" s="86">
        <f t="shared" si="33"/>
        <v>0.22808214730009638</v>
      </c>
      <c r="K42" s="95">
        <v>3</v>
      </c>
      <c r="L42" s="86">
        <f>AF21</f>
        <v>1.720516998109739E-3</v>
      </c>
      <c r="M42" s="85">
        <v>3</v>
      </c>
      <c r="N42" s="71">
        <f>(($C$24)^M28)*((1-($C$24))^($B$21-M28))*HLOOKUP($B$21,$AV$24:$BF$34,M28+1)</f>
        <v>0.34306200197977804</v>
      </c>
      <c r="O42" s="72">
        <v>3</v>
      </c>
      <c r="P42" s="71">
        <f t="shared" si="36"/>
        <v>0.34306200197977804</v>
      </c>
      <c r="Q42" s="28">
        <v>3</v>
      </c>
      <c r="R42" s="37">
        <f>P42*N39+P41*N40+P40*N41+P39*N42</f>
        <v>5.8285907222028095E-2</v>
      </c>
      <c r="S42" s="72">
        <v>3</v>
      </c>
      <c r="T42" s="135">
        <f t="shared" si="37"/>
        <v>0</v>
      </c>
      <c r="U42" s="93">
        <v>3</v>
      </c>
      <c r="V42" s="86">
        <f>R42*T39+R41*T40+R40*T41+R39*T42</f>
        <v>5.7866491280477626E-2</v>
      </c>
      <c r="W42" s="137"/>
      <c r="X42" s="28">
        <v>3</v>
      </c>
      <c r="Y42" s="73"/>
      <c r="Z42" s="28">
        <v>3</v>
      </c>
      <c r="AA42" s="79"/>
      <c r="AB42" s="28">
        <v>3</v>
      </c>
      <c r="AC42" s="79"/>
      <c r="AD42" s="28">
        <v>3</v>
      </c>
      <c r="AE42" s="79">
        <f>((($W$39)^M42)*((1-($W$39))^($U$28-M42))*HLOOKUP($U$28,$AV$24:$BF$34,M42+1))*V42</f>
        <v>3.4196800455083094E-3</v>
      </c>
      <c r="AF42" s="28">
        <v>3</v>
      </c>
      <c r="AG42" s="79">
        <f>((($W$39)^M42)*((1-($W$39))^($U$29-M42))*HLOOKUP($U$29,$AV$24:$BF$34,M42+1))*V43</f>
        <v>1.9657097067996721E-2</v>
      </c>
      <c r="AH42" s="28">
        <v>3</v>
      </c>
      <c r="AI42" s="79">
        <f>((($W$39)^M42)*((1-($W$39))^($U$30-M42))*HLOOKUP($U$30,$AV$24:$BF$34,M42+1))*V44</f>
        <v>4.8449340750043791E-2</v>
      </c>
      <c r="AJ42" s="28">
        <v>3</v>
      </c>
      <c r="AK42" s="79">
        <f>((($W$39)^M42)*((1-($W$39))^($U$31-M42))*HLOOKUP($U$31,$AV$24:$BF$34,M42+1))*V45</f>
        <v>6.6392851491787627E-2</v>
      </c>
      <c r="AL42" s="28">
        <v>3</v>
      </c>
      <c r="AM42" s="79">
        <f>((($W$39)^Q42)*((1-($W$39))^($U$32-Q42))*HLOOKUP($U$32,$AV$24:$BF$34,Q42+1))*V46</f>
        <v>5.4663156974430596E-2</v>
      </c>
      <c r="AN42" s="28">
        <v>3</v>
      </c>
      <c r="AO42" s="79">
        <f>((($W$39)^Q42)*((1-($W$39))^($U$33-Q42))*HLOOKUP($U$33,$AV$24:$BF$34,Q42+1))*V47</f>
        <v>2.7076381848408385E-2</v>
      </c>
      <c r="AP42" s="28">
        <v>3</v>
      </c>
      <c r="AQ42" s="79">
        <f>((($W$39)^Q42)*((1-($W$39))^($U$34-Q42))*HLOOKUP($U$34,$AV$24:$BF$34,Q42+1))*V48</f>
        <v>7.5009001338216252E-3</v>
      </c>
      <c r="AR42" s="28">
        <v>3</v>
      </c>
      <c r="AS42" s="79">
        <f>((($W$39)^Q42)*((1-($W$39))^($U$35-Q42))*HLOOKUP($U$35,$AV$24:$BF$34,Q42+1))*V49</f>
        <v>9.2273898809935113E-4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1"/>
        <v>4</v>
      </c>
      <c r="BI42">
        <v>9</v>
      </c>
      <c r="BJ42" s="107">
        <f t="shared" si="32"/>
        <v>6.9014189417199946E-6</v>
      </c>
      <c r="BP42">
        <f t="shared" si="34"/>
        <v>9</v>
      </c>
      <c r="BQ42">
        <v>3</v>
      </c>
      <c r="BR42" s="107">
        <f t="shared" si="35"/>
        <v>1.3171008888877764E-6</v>
      </c>
    </row>
    <row r="43" spans="1:70" ht="15" customHeight="1" x14ac:dyDescent="0.25">
      <c r="G43" s="91">
        <v>4</v>
      </c>
      <c r="H43" s="132">
        <f>J43*L39+J42*L40+J41*L41+J40*L42</f>
        <v>0.1454230726245091</v>
      </c>
      <c r="I43" s="93">
        <v>4</v>
      </c>
      <c r="J43" s="86">
        <f t="shared" si="33"/>
        <v>0.1150422274296974</v>
      </c>
      <c r="K43" s="95">
        <v>4</v>
      </c>
      <c r="L43" s="86"/>
      <c r="M43" s="85">
        <v>4</v>
      </c>
      <c r="N43" s="71">
        <f>(($C$24)^M29)*((1-($C$24))^($B$21-M29))*HLOOKUP($B$21,$AV$24:$BF$34,M29+1)</f>
        <v>0.23038998451768047</v>
      </c>
      <c r="O43" s="72">
        <v>4</v>
      </c>
      <c r="P43" s="71">
        <f t="shared" si="36"/>
        <v>0.23038998451768047</v>
      </c>
      <c r="Q43" s="28">
        <v>4</v>
      </c>
      <c r="R43" s="37">
        <f>P43*N39+P42*N40+P41*N41+P40*N42+P39*N43</f>
        <v>0.13700063588347353</v>
      </c>
      <c r="S43" s="72">
        <v>4</v>
      </c>
      <c r="T43" s="135">
        <f t="shared" si="37"/>
        <v>0</v>
      </c>
      <c r="U43" s="93">
        <v>4</v>
      </c>
      <c r="V43" s="86">
        <f>T43*R39+T42*R40+T41*R41+T40*R42+T39*R43</f>
        <v>0.13621440614823141</v>
      </c>
      <c r="W43" s="137"/>
      <c r="X43" s="28">
        <v>4</v>
      </c>
      <c r="Y43" s="73"/>
      <c r="Z43" s="28">
        <v>4</v>
      </c>
      <c r="AA43" s="79"/>
      <c r="AB43" s="28">
        <v>4</v>
      </c>
      <c r="AC43" s="79"/>
      <c r="AD43" s="28">
        <v>4</v>
      </c>
      <c r="AE43" s="79"/>
      <c r="AF43" s="28">
        <v>4</v>
      </c>
      <c r="AG43" s="79">
        <f>((($W$39)^M43)*((1-($W$39))^($U$29-M43))*HLOOKUP($U$29,$AV$24:$BF$34,M43+1))*V43</f>
        <v>3.1354566966098267E-3</v>
      </c>
      <c r="AH43" s="28">
        <v>4</v>
      </c>
      <c r="AI43" s="79">
        <f>((($W$39)^M43)*((1-($W$39))^($U$30-M43))*HLOOKUP($U$30,$AV$24:$BF$34,M43+1))*V44</f>
        <v>1.545607770827756E-2</v>
      </c>
      <c r="AJ43" s="28">
        <v>4</v>
      </c>
      <c r="AK43" s="79">
        <f>((($W$39)^M43)*((1-($W$39))^($U$31-M43))*HLOOKUP($U$31,$AV$24:$BF$34,M43+1))*V45</f>
        <v>3.1770496441593188E-2</v>
      </c>
      <c r="AL43" s="28">
        <v>4</v>
      </c>
      <c r="AM43" s="79">
        <f>((($W$39)^Q43)*((1-($W$39))^($U$32-Q43))*HLOOKUP($U$32,$AV$24:$BF$34,Q43+1))*V46</f>
        <v>3.4876759472761663E-2</v>
      </c>
      <c r="AN43" s="28">
        <v>4</v>
      </c>
      <c r="AO43" s="79">
        <f>((($W$39)^Q43)*((1-($W$39))^($U$33-Q43))*HLOOKUP($U$33,$AV$24:$BF$34,Q43+1))*V47</f>
        <v>2.1594445632762183E-2</v>
      </c>
      <c r="AP43" s="28">
        <v>4</v>
      </c>
      <c r="AQ43" s="79">
        <f>((($W$39)^Q43)*((1-($W$39))^($U$34-Q43))*HLOOKUP($U$34,$AV$24:$BF$34,Q43+1))*V48</f>
        <v>7.1787042025089967E-3</v>
      </c>
      <c r="AR43" s="28">
        <v>4</v>
      </c>
      <c r="AS43" s="79">
        <f>((($W$39)^Q43)*((1-($W$39))^($U$35-Q43))*HLOOKUP($U$35,$AV$24:$BF$34,Q43+1))*V49</f>
        <v>1.030287275183993E-3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1"/>
        <v>4</v>
      </c>
      <c r="BI43">
        <v>10</v>
      </c>
      <c r="BJ43" s="107">
        <f t="shared" si="32"/>
        <v>6.577504609868396E-7</v>
      </c>
      <c r="BP43">
        <f t="shared" si="34"/>
        <v>9</v>
      </c>
      <c r="BQ43">
        <v>4</v>
      </c>
      <c r="BR43" s="107">
        <f t="shared" si="35"/>
        <v>7.8724461720290824E-7</v>
      </c>
    </row>
    <row r="44" spans="1:70" ht="15" customHeight="1" thickBot="1" x14ac:dyDescent="0.3">
      <c r="G44" s="91">
        <v>5</v>
      </c>
      <c r="H44" s="132">
        <f>J44*L39+J43*L40+J42*L41+J41*L42</f>
        <v>6.2134159523416999E-2</v>
      </c>
      <c r="I44" s="93">
        <v>5</v>
      </c>
      <c r="J44" s="86">
        <f t="shared" si="33"/>
        <v>3.9823357520835309E-2</v>
      </c>
      <c r="K44" s="95">
        <v>5</v>
      </c>
      <c r="L44" s="86"/>
      <c r="M44" s="85">
        <v>5</v>
      </c>
      <c r="N44" s="71">
        <f>(($C$24)^M30)*((1-($C$24))^($B$21-M30))*HLOOKUP($B$21,$AV$24:$BF$34,M30+1)</f>
        <v>6.1889156665255927E-2</v>
      </c>
      <c r="O44" s="72">
        <v>5</v>
      </c>
      <c r="P44" s="71">
        <f t="shared" si="36"/>
        <v>6.1889156665255927E-2</v>
      </c>
      <c r="Q44" s="28">
        <v>5</v>
      </c>
      <c r="R44" s="37">
        <f>P44*N39+P43*N40+P42*N41+P41*N42+P40*N43+P39*N44</f>
        <v>0.2208130835682563</v>
      </c>
      <c r="S44" s="72">
        <v>5</v>
      </c>
      <c r="T44" s="135">
        <f t="shared" si="37"/>
        <v>0</v>
      </c>
      <c r="U44" s="93">
        <v>5</v>
      </c>
      <c r="V44" s="86">
        <f>T44*R39+T43*R40+T42*R41+T41*R42+T40*R43+T39*R44</f>
        <v>0.21997508653438405</v>
      </c>
      <c r="W44" s="137"/>
      <c r="X44" s="28">
        <v>5</v>
      </c>
      <c r="Y44" s="73"/>
      <c r="Z44" s="28">
        <v>5</v>
      </c>
      <c r="AA44" s="79"/>
      <c r="AB44" s="28">
        <v>5</v>
      </c>
      <c r="AC44" s="79"/>
      <c r="AD44" s="28">
        <v>5</v>
      </c>
      <c r="AE44" s="79"/>
      <c r="AF44" s="28">
        <v>5</v>
      </c>
      <c r="AG44" s="79"/>
      <c r="AH44" s="28">
        <v>5</v>
      </c>
      <c r="AI44" s="79">
        <f>((($W$39)^M44)*((1-($W$39))^($U$30-M44))*HLOOKUP($U$30,$AV$24:$BF$34,M44+1))*V44</f>
        <v>1.9722896900230672E-3</v>
      </c>
      <c r="AJ44" s="28">
        <v>5</v>
      </c>
      <c r="AK44" s="79">
        <f>((($W$39)^M44)*((1-($W$39))^($U$31-M44))*HLOOKUP($U$31,$AV$24:$BF$34,M44+1))*V45</f>
        <v>8.1082178494885082E-3</v>
      </c>
      <c r="AL44" s="28">
        <v>5</v>
      </c>
      <c r="AM44" s="79">
        <f>((($W$39)^Q44)*((1-($W$39))^($U$32-Q44))*HLOOKUP($U$32,$AV$24:$BF$34,Q44+1))*V46</f>
        <v>1.3351461042286879E-2</v>
      </c>
      <c r="AN44" s="28">
        <v>5</v>
      </c>
      <c r="AO44" s="79">
        <f>((($W$39)^Q44)*((1-($W$39))^($U$33-Q44))*HLOOKUP($U$33,$AV$24:$BF$34,Q44+1))*V47</f>
        <v>1.1022331353950428E-2</v>
      </c>
      <c r="AP44" s="28">
        <v>5</v>
      </c>
      <c r="AQ44" s="79">
        <f>((($W$39)^Q44)*((1-($W$39))^($U$34-Q44))*HLOOKUP($U$34,$AV$24:$BF$34,Q44+1))*V48</f>
        <v>4.580231981737232E-3</v>
      </c>
      <c r="AR44" s="28">
        <v>5</v>
      </c>
      <c r="AS44" s="79">
        <f>((($W$39)^Q44)*((1-($W$39))^($U$35-Q44))*HLOOKUP($U$35,$AV$24:$BF$34,Q44+1))*V49</f>
        <v>7.8882560334919477E-4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>
        <f>$H$30*H45</f>
        <v>3.5488659726808173E-4</v>
      </c>
      <c r="BP44">
        <f t="shared" si="34"/>
        <v>9</v>
      </c>
      <c r="BQ44">
        <v>5</v>
      </c>
      <c r="BR44" s="107">
        <f t="shared" si="35"/>
        <v>3.3636191112216208E-7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6</v>
      </c>
      <c r="H45" s="132">
        <f>J45*L39+J44*L40+J43*L41+J42*L42</f>
        <v>1.9542410342318937E-2</v>
      </c>
      <c r="I45" s="93">
        <v>6</v>
      </c>
      <c r="J45" s="86">
        <f t="shared" si="33"/>
        <v>9.5856835683731014E-3</v>
      </c>
      <c r="K45" s="95">
        <v>6</v>
      </c>
      <c r="L45" s="86"/>
      <c r="M45" s="85"/>
      <c r="N45" s="37"/>
      <c r="O45" s="37"/>
      <c r="P45" s="37"/>
      <c r="Q45" s="28">
        <v>6</v>
      </c>
      <c r="R45" s="37">
        <f>P44*N40+P43*N41+P42*N42+P41*N43+P40*N44</f>
        <v>0.24715222812498383</v>
      </c>
      <c r="S45" s="70">
        <v>6</v>
      </c>
      <c r="T45" s="135">
        <f t="shared" si="37"/>
        <v>0</v>
      </c>
      <c r="U45" s="93">
        <v>6</v>
      </c>
      <c r="V45" s="86">
        <f>T45*R39+T44*R40+T43*R41+T42*R42+T41*R43+T40*R44+T39*R45</f>
        <v>0.24688739984683838</v>
      </c>
      <c r="W45" s="137"/>
      <c r="X45" s="28">
        <v>6</v>
      </c>
      <c r="Y45" s="73"/>
      <c r="Z45" s="28">
        <v>6</v>
      </c>
      <c r="AA45" s="79"/>
      <c r="AB45" s="28">
        <v>6</v>
      </c>
      <c r="AC45" s="79"/>
      <c r="AD45" s="28">
        <v>6</v>
      </c>
      <c r="AE45" s="79"/>
      <c r="AF45" s="28">
        <v>6</v>
      </c>
      <c r="AG45" s="79"/>
      <c r="AH45" s="28">
        <v>6</v>
      </c>
      <c r="AI45" s="79"/>
      <c r="AJ45" s="28">
        <v>6</v>
      </c>
      <c r="AK45" s="79">
        <f>((($W$39)^Q45)*((1-($W$39))^($U$31-Q45))*HLOOKUP($U$31,$AV$24:$BF$34,Q45+1))*V45</f>
        <v>8.6221500105223691E-4</v>
      </c>
      <c r="AL45" s="28">
        <v>6</v>
      </c>
      <c r="AM45" s="79">
        <f>((($W$39)^Q45)*((1-($W$39))^($U$32-Q45))*HLOOKUP($U$32,$AV$24:$BF$34,Q45+1))*V46</f>
        <v>2.8395462998938741E-3</v>
      </c>
      <c r="AN45" s="28">
        <v>6</v>
      </c>
      <c r="AO45" s="79">
        <f>((($W$39)^Q45)*((1-($W$39))^($U$33-Q45))*HLOOKUP($U$33,$AV$24:$BF$34,Q45+1))*V47</f>
        <v>3.5162916005805106E-3</v>
      </c>
      <c r="AP45" s="28">
        <v>6</v>
      </c>
      <c r="AQ45" s="79">
        <f>((($W$39)^Q45)*((1-($W$39))^($U$34-Q45))*HLOOKUP($U$34,$AV$24:$BF$34,Q45+1))*V48</f>
        <v>1.9482183613022588E-3</v>
      </c>
      <c r="AR45" s="28">
        <v>6</v>
      </c>
      <c r="AS45" s="79">
        <f>((($W$39)^Q45)*((1-($W$39))^($U$35-Q45))*HLOOKUP($U$35,$AV$24:$BF$34,Q45+1))*V49</f>
        <v>4.1941230554422173E-4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>
        <f>$H$30*H46</f>
        <v>8.3347710446626347E-5</v>
      </c>
      <c r="BP45">
        <f t="shared" si="34"/>
        <v>9</v>
      </c>
      <c r="BQ45">
        <v>6</v>
      </c>
      <c r="BR45" s="107">
        <f t="shared" si="35"/>
        <v>1.0579241018297774E-7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7</v>
      </c>
      <c r="H46" s="132">
        <f>J46*L39+J45*L40+J44*L41+J43*L42</f>
        <v>4.5896778609825772E-3</v>
      </c>
      <c r="I46" s="93">
        <v>7</v>
      </c>
      <c r="J46" s="86">
        <f t="shared" si="33"/>
        <v>1.585454099080246E-3</v>
      </c>
      <c r="K46" s="95">
        <v>7</v>
      </c>
      <c r="L46" s="86"/>
      <c r="M46" s="85"/>
      <c r="N46" s="37"/>
      <c r="O46" s="37"/>
      <c r="P46" s="37"/>
      <c r="Q46" s="28">
        <v>7</v>
      </c>
      <c r="R46" s="37">
        <f>P44*N41+P43*N42+P42*N43+P41*N44</f>
        <v>0.18969131837934131</v>
      </c>
      <c r="S46" s="72">
        <v>7</v>
      </c>
      <c r="T46" s="135">
        <f t="shared" si="37"/>
        <v>0</v>
      </c>
      <c r="U46" s="93">
        <v>7</v>
      </c>
      <c r="V46" s="86">
        <f>T46*R39+T45*R40+T44*R41+T43*R42+T42*R43+T41*R44+T40*R45+T39*R46</f>
        <v>0.19026383247544018</v>
      </c>
      <c r="W46" s="137"/>
      <c r="X46" s="28">
        <v>7</v>
      </c>
      <c r="Y46" s="73"/>
      <c r="Z46" s="28">
        <v>7</v>
      </c>
      <c r="AA46" s="79"/>
      <c r="AB46" s="28">
        <v>7</v>
      </c>
      <c r="AC46" s="79"/>
      <c r="AD46" s="28">
        <v>7</v>
      </c>
      <c r="AE46" s="79"/>
      <c r="AF46" s="28">
        <v>7</v>
      </c>
      <c r="AG46" s="79"/>
      <c r="AH46" s="28">
        <v>7</v>
      </c>
      <c r="AI46" s="79"/>
      <c r="AJ46" s="28">
        <v>7</v>
      </c>
      <c r="AK46" s="79"/>
      <c r="AL46" s="28">
        <v>7</v>
      </c>
      <c r="AM46" s="79">
        <f>((($W$39)^Q46)*((1-($W$39))^($U$32-Q46))*HLOOKUP($U$32,$AV$24:$BF$34,Q46+1))*V46</f>
        <v>2.588167209470946E-4</v>
      </c>
      <c r="AN46" s="28">
        <v>7</v>
      </c>
      <c r="AO46" s="79">
        <f>((($W$39)^Q46)*((1-($W$39))^($U$33-Q46))*HLOOKUP($U$33,$AV$24:$BF$34,Q46+1))*V47</f>
        <v>6.4100033303917021E-4</v>
      </c>
      <c r="AP46" s="28">
        <v>7</v>
      </c>
      <c r="AQ46" s="79">
        <f>((($W$39)^Q46)*((1-($W$39))^($U$34-Q46))*HLOOKUP($U$34,$AV$24:$BF$34,Q46+1))*V48</f>
        <v>5.3272400028837484E-4</v>
      </c>
      <c r="AR46" s="28">
        <v>7</v>
      </c>
      <c r="AS46" s="79">
        <f>((($W$39)^Q46)*((1-($W$39))^($U$35-Q46))*HLOOKUP($U$35,$AV$24:$BF$34,Q46+1))*V49</f>
        <v>1.5291304480560632E-4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>
        <f>$H$30*H47</f>
        <v>1.4664312142311134E-5</v>
      </c>
      <c r="BP46">
        <f t="shared" si="34"/>
        <v>9</v>
      </c>
      <c r="BQ46">
        <v>7</v>
      </c>
      <c r="BR46" s="107">
        <f t="shared" si="35"/>
        <v>2.4846120533317187E-8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8</v>
      </c>
      <c r="H47" s="132">
        <f>J47*L39+J46*L40+J45*L41+J44*L42</f>
        <v>8.0751430873681157E-4</v>
      </c>
      <c r="I47" s="93">
        <v>8</v>
      </c>
      <c r="J47" s="86">
        <f t="shared" si="33"/>
        <v>1.7268194592963838E-4</v>
      </c>
      <c r="K47" s="95">
        <v>8</v>
      </c>
      <c r="L47" s="86"/>
      <c r="M47" s="85"/>
      <c r="N47" s="37"/>
      <c r="O47" s="37"/>
      <c r="P47" s="37"/>
      <c r="Q47" s="28">
        <v>8</v>
      </c>
      <c r="R47" s="37">
        <f>P44*N42+P43*N43+P42*N44</f>
        <v>9.5543180938902683E-2</v>
      </c>
      <c r="S47" s="72">
        <v>8</v>
      </c>
      <c r="T47" s="135">
        <f t="shared" si="37"/>
        <v>0</v>
      </c>
      <c r="U47" s="93">
        <v>8</v>
      </c>
      <c r="V47" s="86">
        <f>T47*R39+T46*R40+T45*R41+T44*R42+T43*R43+T42*R44+T41*R45+T40*R46+T39*R47</f>
        <v>9.6483745132614707E-2</v>
      </c>
      <c r="W47" s="137"/>
      <c r="X47" s="28">
        <v>8</v>
      </c>
      <c r="Y47" s="73"/>
      <c r="Z47" s="28">
        <v>8</v>
      </c>
      <c r="AA47" s="79"/>
      <c r="AB47" s="28">
        <v>8</v>
      </c>
      <c r="AC47" s="79"/>
      <c r="AD47" s="28">
        <v>8</v>
      </c>
      <c r="AE47" s="79"/>
      <c r="AF47" s="28">
        <v>8</v>
      </c>
      <c r="AG47" s="79"/>
      <c r="AH47" s="28">
        <v>8</v>
      </c>
      <c r="AI47" s="79"/>
      <c r="AJ47" s="28">
        <v>8</v>
      </c>
      <c r="AK47" s="79"/>
      <c r="AL47" s="28">
        <v>8</v>
      </c>
      <c r="AM47" s="79"/>
      <c r="AN47" s="28">
        <v>8</v>
      </c>
      <c r="AO47" s="79">
        <f>((($W$39)^Q47)*((1-($W$39))^($U$33-Q47))*HLOOKUP($U$33,$AV$24:$BF$34,Q47+1))*V47</f>
        <v>5.1122217583921701E-5</v>
      </c>
      <c r="AP47" s="28">
        <v>8</v>
      </c>
      <c r="AQ47" s="79">
        <f>((($W$39)^Q47)*((1-($W$39))^($U$34-Q47))*HLOOKUP($U$34,$AV$24:$BF$34,Q47+1))*V48</f>
        <v>8.4973535429521373E-5</v>
      </c>
      <c r="AR47" s="28">
        <v>8</v>
      </c>
      <c r="AS47" s="79">
        <f>((($W$39)^Q47)*((1-($W$39))^($U$35-Q47))*HLOOKUP($U$35,$AV$24:$BF$34,Q47+1))*V49</f>
        <v>3.6586192916195312E-5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>
        <f>$H$30*H48</f>
        <v>1.9188267564827806E-6</v>
      </c>
      <c r="BP47">
        <f>BL12+1</f>
        <v>9</v>
      </c>
      <c r="BQ47">
        <v>8</v>
      </c>
      <c r="BR47" s="107">
        <f t="shared" si="35"/>
        <v>4.3714610164291201E-9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1">
        <v>9</v>
      </c>
      <c r="H48" s="132">
        <f>J48*L39+J47*L40+J46*L41+J45*L42</f>
        <v>1.0566333059538167E-4</v>
      </c>
      <c r="I48" s="93">
        <v>9</v>
      </c>
      <c r="J48" s="86">
        <f t="shared" si="33"/>
        <v>1.1211323967723943E-5</v>
      </c>
      <c r="K48" s="95">
        <v>9</v>
      </c>
      <c r="L48" s="86"/>
      <c r="M48" s="85"/>
      <c r="N48" s="37"/>
      <c r="O48" s="37"/>
      <c r="P48" s="37"/>
      <c r="Q48" s="28">
        <v>9</v>
      </c>
      <c r="R48" s="37">
        <f>P44*N43+P43*N44</f>
        <v>2.8517283691841228E-2</v>
      </c>
      <c r="S48" s="72">
        <v>9</v>
      </c>
      <c r="T48" s="135">
        <f t="shared" si="37"/>
        <v>0</v>
      </c>
      <c r="U48" s="93">
        <v>9</v>
      </c>
      <c r="V48" s="86">
        <f>T48*R39+T47*R40+T46*R41+T45*R42+T44*R43+T43*R44+T42*R45+T41*R46+T40*R47+T39*R48</f>
        <v>2.9188220720316679E-2</v>
      </c>
      <c r="W48" s="137"/>
      <c r="X48" s="28">
        <v>9</v>
      </c>
      <c r="Y48" s="73"/>
      <c r="Z48" s="28">
        <v>9</v>
      </c>
      <c r="AA48" s="79"/>
      <c r="AB48" s="28">
        <v>9</v>
      </c>
      <c r="AC48" s="79"/>
      <c r="AD48" s="28">
        <v>9</v>
      </c>
      <c r="AE48" s="79"/>
      <c r="AF48" s="28">
        <v>9</v>
      </c>
      <c r="AG48" s="79"/>
      <c r="AH48" s="28">
        <v>9</v>
      </c>
      <c r="AI48" s="79"/>
      <c r="AJ48" s="28">
        <v>9</v>
      </c>
      <c r="AK48" s="79"/>
      <c r="AL48" s="28">
        <v>9</v>
      </c>
      <c r="AM48" s="79"/>
      <c r="AN48" s="28">
        <v>9</v>
      </c>
      <c r="AO48" s="79"/>
      <c r="AP48" s="28">
        <v>9</v>
      </c>
      <c r="AQ48" s="79">
        <f>((($W$39)^Q48)*((1-($W$39))^($U$34-Q48))*HLOOKUP($U$34,$AV$24:$BF$34,Q48+1))*V48</f>
        <v>6.0239671487036541E-6</v>
      </c>
      <c r="AR48" s="28">
        <v>9</v>
      </c>
      <c r="AS48" s="79">
        <f>((($W$39)^Q48)*((1-($W$39))^($U$35-Q48))*HLOOKUP($U$35,$AV$24:$BF$34,Q48+1))*V49</f>
        <v>5.1873568190202897E-6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>
        <f>$H$30*H49</f>
        <v>1.8287676697915169E-7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92">
        <v>10</v>
      </c>
      <c r="H49" s="133">
        <f>J49*L39+J48*L40+J47*L41+J46*L42</f>
        <v>1.0070407983549551E-5</v>
      </c>
      <c r="I49" s="94">
        <v>10</v>
      </c>
      <c r="J49" s="89">
        <f t="shared" si="33"/>
        <v>3.3096916843091875E-7</v>
      </c>
      <c r="K49" s="96">
        <v>10</v>
      </c>
      <c r="L49" s="89"/>
      <c r="M49" s="85"/>
      <c r="N49" s="37"/>
      <c r="O49" s="37"/>
      <c r="P49" s="37"/>
      <c r="Q49" s="28">
        <v>10</v>
      </c>
      <c r="R49" s="37">
        <f>P44*N44</f>
        <v>3.830267712736592E-3</v>
      </c>
      <c r="S49" s="72">
        <v>10</v>
      </c>
      <c r="T49" s="135">
        <f t="shared" si="37"/>
        <v>0</v>
      </c>
      <c r="U49" s="94">
        <v>10</v>
      </c>
      <c r="V49" s="89">
        <f>IF(((T49*R39+T48*R40+T47*R41+T46*R42+T45*R43+T44*R44+T43*R45+T42*R46+T41*R47+T40*R48+T39*R49)+V37)&lt;&gt;1,1-V37,(T49*R39+T48*R40+T47*R41+T46*R42+T45*R43+T44*R44+T43*R45+T42*R46+T41*R47+T40*R48+T39*R49))</f>
        <v>4.1171161970859904E-3</v>
      </c>
      <c r="W49" s="137"/>
      <c r="X49" s="28">
        <v>10</v>
      </c>
      <c r="Y49" s="73"/>
      <c r="Z49" s="28">
        <v>10</v>
      </c>
      <c r="AA49" s="79"/>
      <c r="AB49" s="28">
        <v>10</v>
      </c>
      <c r="AC49" s="79"/>
      <c r="AD49" s="28">
        <v>10</v>
      </c>
      <c r="AE49" s="79"/>
      <c r="AF49" s="28">
        <v>10</v>
      </c>
      <c r="AG49" s="79"/>
      <c r="AH49" s="28">
        <v>10</v>
      </c>
      <c r="AI49" s="79"/>
      <c r="AJ49" s="28">
        <v>10</v>
      </c>
      <c r="AK49" s="79"/>
      <c r="AL49" s="28">
        <v>10</v>
      </c>
      <c r="AM49" s="79"/>
      <c r="AN49" s="28">
        <v>10</v>
      </c>
      <c r="AO49" s="79"/>
      <c r="AP49" s="28">
        <v>10</v>
      </c>
      <c r="AQ49" s="79"/>
      <c r="AR49" s="28">
        <v>10</v>
      </c>
      <c r="AS49" s="79">
        <f>((($W$39)^Q49)*((1-($W$39))^($U$35-Q49))*HLOOKUP($U$35,$AV$24:$BF$34,Q49+1))*V49</f>
        <v>3.3096916843091875E-7</v>
      </c>
      <c r="BH49">
        <f>BP14+1</f>
        <v>6</v>
      </c>
      <c r="BI49">
        <v>0</v>
      </c>
      <c r="BJ49" s="107">
        <f>$H$31*H39</f>
        <v>2.2075843092514172E-4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G50" s="76"/>
      <c r="H50" s="77"/>
      <c r="I50" s="33"/>
      <c r="J50" s="33"/>
      <c r="K50" s="77"/>
      <c r="L50" s="77"/>
      <c r="M50" s="31"/>
      <c r="N50" s="31"/>
      <c r="O50" s="32"/>
      <c r="P50" s="32"/>
      <c r="Q50" s="32"/>
      <c r="R50" s="32"/>
      <c r="S50" s="76"/>
      <c r="T50" s="76"/>
      <c r="U50" s="76"/>
      <c r="V50" s="77"/>
      <c r="W50" s="33"/>
      <c r="X50" s="13"/>
      <c r="Y50" s="13"/>
      <c r="BH50">
        <f>BH45+1</f>
        <v>6</v>
      </c>
      <c r="BI50">
        <v>7</v>
      </c>
      <c r="BJ50" s="107">
        <f>$H$31*H46</f>
        <v>1.7028194490303986E-5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BH51">
        <f>BH46+1</f>
        <v>6</v>
      </c>
      <c r="BI51">
        <v>8</v>
      </c>
      <c r="BJ51" s="107">
        <f>$H$31*H47</f>
        <v>2.9959642309035693E-6</v>
      </c>
    </row>
    <row r="52" spans="1:62" x14ac:dyDescent="0.25">
      <c r="H52" s="107"/>
      <c r="BH52">
        <f>BH47+1</f>
        <v>6</v>
      </c>
      <c r="BI52">
        <v>9</v>
      </c>
      <c r="BJ52" s="107">
        <f>$H$31*H48</f>
        <v>3.9202222865511844E-7</v>
      </c>
    </row>
    <row r="53" spans="1:62" x14ac:dyDescent="0.25">
      <c r="BH53">
        <f>BH48+1</f>
        <v>6</v>
      </c>
      <c r="BI53">
        <v>10</v>
      </c>
      <c r="BJ53" s="107">
        <f>$H$31*H49</f>
        <v>3.7362287928390769E-8</v>
      </c>
    </row>
    <row r="54" spans="1:62" x14ac:dyDescent="0.25">
      <c r="BH54">
        <f>BH51+1</f>
        <v>7</v>
      </c>
      <c r="BI54">
        <v>8</v>
      </c>
      <c r="BJ54" s="107">
        <f>$H$32*H47</f>
        <v>4.5602894917266877E-7</v>
      </c>
    </row>
    <row r="55" spans="1:62" x14ac:dyDescent="0.25">
      <c r="BH55">
        <f>BH52+1</f>
        <v>7</v>
      </c>
      <c r="BI55">
        <v>9</v>
      </c>
      <c r="BJ55" s="107">
        <f>$H$32*H48</f>
        <v>5.9671435039798209E-8</v>
      </c>
    </row>
    <row r="56" spans="1:62" x14ac:dyDescent="0.25">
      <c r="BH56">
        <f>BH53+1</f>
        <v>7</v>
      </c>
      <c r="BI56">
        <v>10</v>
      </c>
      <c r="BJ56" s="107">
        <f>$H$32*H49</f>
        <v>5.6870788799544717E-9</v>
      </c>
    </row>
    <row r="57" spans="1:62" x14ac:dyDescent="0.25">
      <c r="BH57">
        <f>BH55+1</f>
        <v>8</v>
      </c>
      <c r="BI57">
        <v>9</v>
      </c>
      <c r="BJ57" s="107">
        <f>$H$33*H48</f>
        <v>6.7855927713792716E-9</v>
      </c>
    </row>
    <row r="58" spans="1:62" x14ac:dyDescent="0.25">
      <c r="BH58">
        <f>BH56+1</f>
        <v>8</v>
      </c>
      <c r="BI58">
        <v>10</v>
      </c>
      <c r="BJ58" s="107">
        <f>$H$33*H49</f>
        <v>6.467114677625036E-10</v>
      </c>
    </row>
    <row r="59" spans="1:62" x14ac:dyDescent="0.25">
      <c r="BH59">
        <f t="shared" ref="BH59" si="39">BH58+1</f>
        <v>9</v>
      </c>
      <c r="BI59">
        <v>10</v>
      </c>
      <c r="BJ59" s="107">
        <f>$H$34*H49</f>
        <v>5.4515932960355024E-11</v>
      </c>
    </row>
  </sheetData>
  <mergeCells count="2">
    <mergeCell ref="P1:Q1"/>
    <mergeCell ref="B3:C3"/>
  </mergeCells>
  <conditionalFormatting sqref="V25:V35 V39:V49">
    <cfRule type="cellIs" dxfId="27" priority="14" operator="greaterThan">
      <formula>0.15</formula>
    </cfRule>
  </conditionalFormatting>
  <conditionalFormatting sqref="V35">
    <cfRule type="cellIs" dxfId="26" priority="13" operator="greaterThan">
      <formula>0.15</formula>
    </cfRule>
  </conditionalFormatting>
  <conditionalFormatting sqref="V49">
    <cfRule type="cellIs" dxfId="25" priority="12" operator="greaterThan">
      <formula>0.15</formula>
    </cfRule>
  </conditionalFormatting>
  <conditionalFormatting sqref="V25:V35 V39:V49">
    <cfRule type="cellIs" dxfId="24" priority="11" operator="greaterThan">
      <formula>0.15</formula>
    </cfRule>
  </conditionalFormatting>
  <conditionalFormatting sqref="V35">
    <cfRule type="cellIs" dxfId="23" priority="10" operator="greaterThan">
      <formula>0.15</formula>
    </cfRule>
  </conditionalFormatting>
  <conditionalFormatting sqref="V49">
    <cfRule type="cellIs" dxfId="22" priority="9" operator="greaterThan">
      <formula>0.15</formula>
    </cfRule>
  </conditionalFormatting>
  <conditionalFormatting sqref="H25:H35">
    <cfRule type="cellIs" dxfId="21" priority="8" operator="greaterThan">
      <formula>0.15</formula>
    </cfRule>
  </conditionalFormatting>
  <conditionalFormatting sqref="H35">
    <cfRule type="cellIs" dxfId="20" priority="7" operator="greaterThan">
      <formula>0.15</formula>
    </cfRule>
  </conditionalFormatting>
  <conditionalFormatting sqref="H25:H35">
    <cfRule type="cellIs" dxfId="19" priority="6" operator="greaterThan">
      <formula>0.15</formula>
    </cfRule>
  </conditionalFormatting>
  <conditionalFormatting sqref="H35">
    <cfRule type="cellIs" dxfId="18" priority="5" operator="greaterThan">
      <formula>0.15</formula>
    </cfRule>
  </conditionalFormatting>
  <conditionalFormatting sqref="H39:H49">
    <cfRule type="cellIs" dxfId="17" priority="4" operator="greaterThan">
      <formula>0.15</formula>
    </cfRule>
  </conditionalFormatting>
  <conditionalFormatting sqref="H49">
    <cfRule type="cellIs" dxfId="16" priority="3" operator="greaterThan">
      <formula>0.15</formula>
    </cfRule>
  </conditionalFormatting>
  <conditionalFormatting sqref="H39:H49">
    <cfRule type="cellIs" dxfId="15" priority="2" operator="greaterThan">
      <formula>0.15</formula>
    </cfRule>
  </conditionalFormatting>
  <conditionalFormatting sqref="H49">
    <cfRule type="cellIs" dxfId="14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BR59"/>
  <sheetViews>
    <sheetView topLeftCell="A4" zoomScale="80" zoomScaleNormal="80" workbookViewId="0">
      <selection activeCell="C5" sqref="C5"/>
    </sheetView>
  </sheetViews>
  <sheetFormatPr baseColWidth="10" defaultColWidth="9.140625" defaultRowHeight="15" x14ac:dyDescent="0.25"/>
  <cols>
    <col min="1" max="1" width="22.7109375" bestFit="1" customWidth="1"/>
    <col min="2" max="3" width="9.140625" bestFit="1" customWidth="1"/>
    <col min="4" max="4" width="11.28515625" bestFit="1" customWidth="1"/>
    <col min="5" max="5" width="10.140625" bestFit="1" customWidth="1"/>
    <col min="6" max="6" width="4.85546875" bestFit="1" customWidth="1"/>
    <col min="7" max="7" width="6" bestFit="1" customWidth="1"/>
    <col min="8" max="8" width="9.140625" bestFit="1" customWidth="1"/>
    <col min="9" max="9" width="4.42578125" bestFit="1" customWidth="1"/>
    <col min="10" max="10" width="9.140625" bestFit="1" customWidth="1"/>
    <col min="11" max="11" width="6" bestFit="1" customWidth="1"/>
    <col min="12" max="12" width="9.140625" bestFit="1" customWidth="1"/>
    <col min="13" max="13" width="5.7109375" bestFit="1" customWidth="1"/>
    <col min="14" max="14" width="9.140625" bestFit="1" customWidth="1"/>
    <col min="15" max="15" width="7.140625" bestFit="1" customWidth="1"/>
    <col min="16" max="16" width="9.140625" bestFit="1" customWidth="1"/>
    <col min="17" max="17" width="8.85546875" bestFit="1" customWidth="1"/>
    <col min="18" max="18" width="9.140625" bestFit="1" customWidth="1"/>
    <col min="19" max="19" width="7.7109375" bestFit="1" customWidth="1"/>
    <col min="20" max="20" width="9.140625" bestFit="1" customWidth="1"/>
    <col min="21" max="21" width="7.140625" bestFit="1" customWidth="1"/>
    <col min="22" max="22" width="9.140625" bestFit="1" customWidth="1"/>
    <col min="23" max="23" width="17.42578125" customWidth="1"/>
    <col min="24" max="24" width="7.140625" bestFit="1" customWidth="1"/>
    <col min="25" max="25" width="9.140625" bestFit="1" customWidth="1"/>
    <col min="26" max="26" width="8.7109375" bestFit="1" customWidth="1"/>
    <col min="27" max="27" width="8" bestFit="1" customWidth="1"/>
    <col min="28" max="28" width="10" customWidth="1"/>
    <col min="29" max="29" width="8.42578125" bestFit="1" customWidth="1"/>
    <col min="30" max="30" width="7.140625" bestFit="1" customWidth="1"/>
    <col min="31" max="31" width="8.42578125" bestFit="1" customWidth="1"/>
    <col min="32" max="32" width="8.7109375" bestFit="1" customWidth="1"/>
    <col min="33" max="33" width="8.42578125" bestFit="1" customWidth="1"/>
    <col min="34" max="34" width="3.7109375" bestFit="1" customWidth="1"/>
    <col min="35" max="35" width="8.42578125" bestFit="1" customWidth="1"/>
    <col min="36" max="36" width="3.7109375" bestFit="1" customWidth="1"/>
    <col min="37" max="37" width="8.42578125" bestFit="1" customWidth="1"/>
    <col min="38" max="38" width="4.85546875" bestFit="1" customWidth="1"/>
    <col min="39" max="39" width="9.140625" bestFit="1" customWidth="1"/>
    <col min="42" max="42" width="4.5703125" bestFit="1" customWidth="1"/>
    <col min="43" max="43" width="8.42578125" bestFit="1" customWidth="1"/>
    <col min="44" max="44" width="5.42578125" bestFit="1" customWidth="1"/>
    <col min="45" max="45" width="8.42578125" bestFit="1" customWidth="1"/>
    <col min="46" max="46" width="2.28515625" bestFit="1" customWidth="1"/>
    <col min="47" max="47" width="3.42578125" bestFit="1" customWidth="1"/>
    <col min="48" max="48" width="4.28515625" bestFit="1" customWidth="1"/>
    <col min="49" max="52" width="3" bestFit="1" customWidth="1"/>
    <col min="53" max="56" width="3.42578125" bestFit="1" customWidth="1"/>
    <col min="57" max="58" width="4.42578125" bestFit="1" customWidth="1"/>
    <col min="60" max="60" width="2.42578125" bestFit="1" customWidth="1"/>
    <col min="61" max="61" width="3.42578125" bestFit="1" customWidth="1"/>
    <col min="62" max="62" width="6.140625" bestFit="1" customWidth="1"/>
    <col min="63" max="63" width="4.7109375" customWidth="1"/>
    <col min="64" max="65" width="3.42578125" bestFit="1" customWidth="1"/>
    <col min="66" max="66" width="6.140625" bestFit="1" customWidth="1"/>
    <col min="67" max="67" width="4.42578125" customWidth="1"/>
    <col min="68" max="69" width="2.42578125" bestFit="1" customWidth="1"/>
    <col min="70" max="70" width="5.28515625" bestFit="1" customWidth="1"/>
  </cols>
  <sheetData>
    <row r="1" spans="1:70" x14ac:dyDescent="0.25">
      <c r="A1" s="155" t="s">
        <v>142</v>
      </c>
      <c r="F1" s="10" t="s">
        <v>123</v>
      </c>
      <c r="G1" s="70">
        <f>IF(D3="SI",COUNTIF($F$6:$F$18,"RAP"),0)</f>
        <v>0</v>
      </c>
      <c r="H1" s="70">
        <f>G1+G2+G3</f>
        <v>0</v>
      </c>
      <c r="J1" s="11" t="s">
        <v>123</v>
      </c>
      <c r="K1" s="70">
        <f>IF(D3="SI",COUNTIF($J$6:$J$18,"RAP"),0)</f>
        <v>0</v>
      </c>
      <c r="L1" s="70">
        <f>K1+K2+K3</f>
        <v>0</v>
      </c>
      <c r="M1" s="150">
        <f>L1+H1</f>
        <v>0</v>
      </c>
      <c r="P1" s="197" t="s">
        <v>135</v>
      </c>
      <c r="Q1" s="197"/>
      <c r="R1" s="152">
        <v>-0.12364059050405629</v>
      </c>
      <c r="S1" s="153">
        <f>1+R1</f>
        <v>0.87635940949594371</v>
      </c>
      <c r="AF1">
        <f>COUNTA(J16:J18)</f>
        <v>0</v>
      </c>
    </row>
    <row r="2" spans="1:70" x14ac:dyDescent="0.25">
      <c r="A2" s="155" t="s">
        <v>143</v>
      </c>
      <c r="F2" s="10" t="s">
        <v>21</v>
      </c>
      <c r="G2" s="70">
        <f>IF(D3="SI",COUNTIF($F$6:$F$18,"TEC"),0)</f>
        <v>0</v>
      </c>
      <c r="H2" s="13"/>
      <c r="J2" s="11" t="s">
        <v>21</v>
      </c>
      <c r="K2" s="70">
        <f>IF(D3="SI",COUNTIF($J$6:$J$18,"TEC"),0)</f>
        <v>0</v>
      </c>
      <c r="L2" s="13" t="s">
        <v>134</v>
      </c>
      <c r="M2" s="149" t="str">
        <f>IF(M1&lt;&gt;0,"SI","NO")</f>
        <v>NO</v>
      </c>
      <c r="R2" s="152">
        <v>7.3959748117051513E-2</v>
      </c>
      <c r="S2" s="153">
        <f>1+R2</f>
        <v>1.0739597481170515</v>
      </c>
    </row>
    <row r="3" spans="1:70" x14ac:dyDescent="0.25">
      <c r="A3" s="148" t="s">
        <v>108</v>
      </c>
      <c r="B3" s="199" t="s">
        <v>130</v>
      </c>
      <c r="C3" s="199"/>
      <c r="D3" t="str">
        <f>IF(B3="Sol","SI",IF(B3="Lluvia","SI","NO"))</f>
        <v>NO</v>
      </c>
      <c r="F3" s="10" t="s">
        <v>131</v>
      </c>
      <c r="G3" s="70">
        <f>IF(D3="SI",COUNTIF($F$6:$F$18,"POT"),0)</f>
        <v>0</v>
      </c>
      <c r="H3" s="13"/>
      <c r="J3" s="11" t="s">
        <v>131</v>
      </c>
      <c r="K3" s="70">
        <f>IF(D3="SI",COUNTIF($J$6:$J$18,"POT"),0)</f>
        <v>0</v>
      </c>
      <c r="L3" s="13"/>
      <c r="O3" t="s">
        <v>132</v>
      </c>
      <c r="P3" s="16" t="s">
        <v>138</v>
      </c>
      <c r="Q3" t="s">
        <v>133</v>
      </c>
      <c r="R3" s="16" t="s">
        <v>139</v>
      </c>
      <c r="Y3" t="s">
        <v>132</v>
      </c>
      <c r="Z3" s="19" t="s">
        <v>138</v>
      </c>
      <c r="AA3" t="s">
        <v>133</v>
      </c>
      <c r="AB3" s="19" t="s">
        <v>139</v>
      </c>
    </row>
    <row r="4" spans="1:70" ht="15.75" x14ac:dyDescent="0.25">
      <c r="A4" s="124"/>
      <c r="B4" s="8" t="s">
        <v>106</v>
      </c>
      <c r="C4" s="9" t="s">
        <v>107</v>
      </c>
      <c r="D4" s="13"/>
      <c r="E4" s="13"/>
      <c r="F4" s="8" t="s">
        <v>13</v>
      </c>
      <c r="G4" s="8" t="s">
        <v>128</v>
      </c>
      <c r="H4" s="8" t="s">
        <v>127</v>
      </c>
      <c r="I4" s="8" t="s">
        <v>129</v>
      </c>
      <c r="J4" s="9" t="s">
        <v>14</v>
      </c>
      <c r="K4" s="9" t="s">
        <v>128</v>
      </c>
      <c r="L4" s="9" t="s">
        <v>127</v>
      </c>
      <c r="M4" s="9" t="s">
        <v>129</v>
      </c>
      <c r="N4" s="13"/>
      <c r="O4" s="8" t="s">
        <v>28</v>
      </c>
      <c r="P4" s="8" t="s">
        <v>29</v>
      </c>
      <c r="Q4" s="8" t="s">
        <v>30</v>
      </c>
      <c r="R4" s="8" t="s">
        <v>70</v>
      </c>
      <c r="S4" s="8" t="s">
        <v>31</v>
      </c>
      <c r="T4" s="8" t="s">
        <v>32</v>
      </c>
      <c r="U4" s="8" t="s">
        <v>33</v>
      </c>
      <c r="V4" s="155"/>
      <c r="W4" s="125"/>
      <c r="X4" s="12" t="s">
        <v>72</v>
      </c>
      <c r="Y4" s="9" t="s">
        <v>28</v>
      </c>
      <c r="Z4" s="9" t="s">
        <v>29</v>
      </c>
      <c r="AA4" s="9" t="s">
        <v>34</v>
      </c>
      <c r="AB4" s="9" t="s">
        <v>35</v>
      </c>
      <c r="AC4" s="9" t="s">
        <v>31</v>
      </c>
      <c r="AD4" s="9" t="s">
        <v>32</v>
      </c>
      <c r="AE4" s="9" t="s">
        <v>33</v>
      </c>
      <c r="AF4" s="14"/>
      <c r="BH4">
        <v>0</v>
      </c>
      <c r="BI4">
        <v>1</v>
      </c>
      <c r="BJ4" s="107" t="e">
        <f t="shared" ref="BJ4:BJ13" si="0">$H$24*H39</f>
        <v>#DIV/0!</v>
      </c>
      <c r="BL4">
        <v>0</v>
      </c>
      <c r="BM4">
        <v>0</v>
      </c>
      <c r="BN4" s="107" t="e">
        <f>H24*H38</f>
        <v>#DIV/0!</v>
      </c>
      <c r="BP4">
        <v>1</v>
      </c>
      <c r="BQ4">
        <v>0</v>
      </c>
      <c r="BR4" s="107" t="e">
        <f>$H$25*H38</f>
        <v>#DIV/0!</v>
      </c>
    </row>
    <row r="5" spans="1:70" x14ac:dyDescent="0.25">
      <c r="A5" s="25" t="s">
        <v>140</v>
      </c>
      <c r="B5" s="156">
        <v>352</v>
      </c>
      <c r="C5" s="156">
        <v>352</v>
      </c>
      <c r="E5" s="50" t="s">
        <v>15</v>
      </c>
      <c r="F5" s="10" t="s">
        <v>16</v>
      </c>
      <c r="G5" s="10">
        <v>12</v>
      </c>
      <c r="H5" s="10"/>
      <c r="I5" s="10"/>
      <c r="J5" s="11" t="s">
        <v>16</v>
      </c>
      <c r="K5" s="11">
        <v>12</v>
      </c>
      <c r="L5" s="10"/>
      <c r="M5" s="10"/>
      <c r="O5" s="66">
        <f>COUNTIF(F5:F18,"IMP")*0.017</f>
        <v>0</v>
      </c>
      <c r="P5" s="16" t="str">
        <f>P3</f>
        <v>0,6</v>
      </c>
      <c r="Q5" s="17">
        <f>P5*O5</f>
        <v>0</v>
      </c>
      <c r="R5" s="157" t="e">
        <f>IF($M$2="SI",Q5*$B$22/0.5*$S$1,Q5*$B$22/0.5*$S$2)</f>
        <v>#DIV/0!</v>
      </c>
      <c r="S5" s="41" t="e">
        <f>(1-R5)</f>
        <v>#DIV/0!</v>
      </c>
      <c r="T5" s="42" t="e">
        <f>R5*PRODUCT(S6:S19)</f>
        <v>#DIV/0!</v>
      </c>
      <c r="U5" s="42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V5" s="18"/>
      <c r="W5" s="48" t="s">
        <v>36</v>
      </c>
      <c r="X5" s="15" t="s">
        <v>37</v>
      </c>
      <c r="Y5" s="68">
        <f>COUNTIF(J5:J18,"IMP")*0.017</f>
        <v>0</v>
      </c>
      <c r="Z5" s="146" t="str">
        <f>Z3</f>
        <v>0,6</v>
      </c>
      <c r="AA5" s="20">
        <f>Z5*Y5</f>
        <v>0</v>
      </c>
      <c r="AB5" s="157" t="e">
        <f>IF($M$2="SI",AA5*$C$22/0.5*$S$1,AA5*$C$22/0.5*$S$2)</f>
        <v>#DIV/0!</v>
      </c>
      <c r="AC5" s="41" t="e">
        <f>(1-AB5)</f>
        <v>#DIV/0!</v>
      </c>
      <c r="AD5" s="42" t="e">
        <f>AB5*PRODUCT(AC6:AC19)</f>
        <v>#DIV/0!</v>
      </c>
      <c r="AE5" s="42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AF5" s="18"/>
      <c r="BH5">
        <v>0</v>
      </c>
      <c r="BI5">
        <v>2</v>
      </c>
      <c r="BJ5" s="107" t="e">
        <f t="shared" si="0"/>
        <v>#DIV/0!</v>
      </c>
      <c r="BL5">
        <v>1</v>
      </c>
      <c r="BM5">
        <v>1</v>
      </c>
      <c r="BN5" s="107" t="e">
        <f>$H$25*H39</f>
        <v>#DIV/0!</v>
      </c>
      <c r="BP5">
        <f>BP4+1</f>
        <v>2</v>
      </c>
      <c r="BQ5">
        <v>0</v>
      </c>
      <c r="BR5" s="107" t="e">
        <f>$H$26*H38</f>
        <v>#DIV/0!</v>
      </c>
    </row>
    <row r="6" spans="1:70" x14ac:dyDescent="0.25">
      <c r="A6" s="2" t="s">
        <v>1</v>
      </c>
      <c r="B6" s="3"/>
      <c r="C6" s="4"/>
      <c r="E6" s="50" t="s">
        <v>17</v>
      </c>
      <c r="F6" s="10"/>
      <c r="G6" s="10"/>
      <c r="H6" s="154"/>
      <c r="I6" s="10"/>
      <c r="J6" s="11"/>
      <c r="K6" s="11"/>
      <c r="L6" s="154"/>
      <c r="M6" s="10"/>
      <c r="O6" s="66">
        <f>COUNTIF(F14:F18,"IMP")*0.017</f>
        <v>0</v>
      </c>
      <c r="P6" s="16" t="str">
        <f>P3</f>
        <v>0,6</v>
      </c>
      <c r="Q6" s="17">
        <f t="shared" ref="Q6:Q19" si="1">P6*O6</f>
        <v>0</v>
      </c>
      <c r="R6" s="157" t="e">
        <f>IF($M$2="SI",Q6*$B$22/0.5*$S$1,Q6*$B$22/0.5*$S$2)</f>
        <v>#DIV/0!</v>
      </c>
      <c r="S6" s="41" t="e">
        <f t="shared" ref="S6:S19" si="2">(1-R6)</f>
        <v>#DIV/0!</v>
      </c>
      <c r="T6" s="42" t="e">
        <f>R6*S5*PRODUCT(S7:S19)</f>
        <v>#DIV/0!</v>
      </c>
      <c r="U6" s="42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V6" s="18"/>
      <c r="W6" s="48" t="s">
        <v>38</v>
      </c>
      <c r="X6" s="15" t="s">
        <v>39</v>
      </c>
      <c r="Y6" s="68">
        <f>COUNTIF(J14:J18,"IMP")*0.017</f>
        <v>0</v>
      </c>
      <c r="Z6" s="146" t="str">
        <f>Z3</f>
        <v>0,6</v>
      </c>
      <c r="AA6" s="20">
        <f t="shared" ref="AA6:AA19" si="3">Z6*Y6</f>
        <v>0</v>
      </c>
      <c r="AB6" s="157" t="e">
        <f t="shared" ref="AB6:AB19" si="4">IF($M$2="SI",AA6*$C$22/0.5*$S$1,AA6*$C$22/0.5*$S$2)</f>
        <v>#DIV/0!</v>
      </c>
      <c r="AC6" s="41" t="e">
        <f t="shared" ref="AC6:AC19" si="5">(1-AB6)</f>
        <v>#DIV/0!</v>
      </c>
      <c r="AD6" s="42" t="e">
        <f>AB6*AC5*PRODUCT(AC7:AC19)</f>
        <v>#DIV/0!</v>
      </c>
      <c r="AE6" s="42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AF6" s="18"/>
      <c r="BH6">
        <v>0</v>
      </c>
      <c r="BI6">
        <v>3</v>
      </c>
      <c r="BJ6" s="107" t="e">
        <f t="shared" si="0"/>
        <v>#DIV/0!</v>
      </c>
      <c r="BL6">
        <f>BH14+1</f>
        <v>2</v>
      </c>
      <c r="BM6">
        <v>2</v>
      </c>
      <c r="BN6" s="107" t="e">
        <f>$H$26*H40</f>
        <v>#DIV/0!</v>
      </c>
      <c r="BP6">
        <f>BL5+1</f>
        <v>2</v>
      </c>
      <c r="BQ6">
        <v>1</v>
      </c>
      <c r="BR6" s="107" t="e">
        <f>$H$26*H39</f>
        <v>#DIV/0!</v>
      </c>
    </row>
    <row r="7" spans="1:70" x14ac:dyDescent="0.25">
      <c r="A7" s="5" t="s">
        <v>2</v>
      </c>
      <c r="B7" s="3"/>
      <c r="C7" s="4"/>
      <c r="E7" s="50" t="s">
        <v>18</v>
      </c>
      <c r="F7" s="10"/>
      <c r="G7" s="10"/>
      <c r="H7" s="154"/>
      <c r="I7" s="10"/>
      <c r="J7" s="11"/>
      <c r="K7" s="11"/>
      <c r="L7" s="154"/>
      <c r="M7" s="10"/>
      <c r="O7" s="66">
        <v>0</v>
      </c>
      <c r="P7" s="144">
        <v>0.5</v>
      </c>
      <c r="Q7" s="17">
        <f t="shared" si="1"/>
        <v>0</v>
      </c>
      <c r="R7" s="157" t="e">
        <f t="shared" ref="R7:R19" si="6">IF($M$2="SI",Q7*$B$22/0.5*$S$1,Q7*$B$22/0.5*$S$2)</f>
        <v>#DIV/0!</v>
      </c>
      <c r="S7" s="41" t="e">
        <f t="shared" si="2"/>
        <v>#DIV/0!</v>
      </c>
      <c r="T7" s="42" t="e">
        <f>R7*PRODUCT(S5:S6)*PRODUCT(S8:S19)</f>
        <v>#DIV/0!</v>
      </c>
      <c r="U7" s="42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8" t="s">
        <v>40</v>
      </c>
      <c r="X7" s="15" t="s">
        <v>41</v>
      </c>
      <c r="Y7" s="68">
        <v>0</v>
      </c>
      <c r="Z7" s="146">
        <v>0.5</v>
      </c>
      <c r="AA7" s="20">
        <f t="shared" si="3"/>
        <v>0</v>
      </c>
      <c r="AB7" s="157" t="e">
        <f t="shared" si="4"/>
        <v>#DIV/0!</v>
      </c>
      <c r="AC7" s="41" t="e">
        <f t="shared" si="5"/>
        <v>#DIV/0!</v>
      </c>
      <c r="AD7" s="42" t="e">
        <f>AB7*PRODUCT(AC5:AC6)*PRODUCT(AC8:AC19)</f>
        <v>#DIV/0!</v>
      </c>
      <c r="AE7" s="42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107" t="e">
        <f t="shared" si="0"/>
        <v>#DIV/0!</v>
      </c>
      <c r="BL7">
        <f>BH23+1</f>
        <v>3</v>
      </c>
      <c r="BM7">
        <v>3</v>
      </c>
      <c r="BN7" s="107" t="e">
        <f>$H$27*H41</f>
        <v>#DIV/0!</v>
      </c>
      <c r="BP7">
        <f>BP5+1</f>
        <v>3</v>
      </c>
      <c r="BQ7">
        <v>0</v>
      </c>
      <c r="BR7" s="107" t="e">
        <f>$H$27*H38</f>
        <v>#DIV/0!</v>
      </c>
    </row>
    <row r="8" spans="1:70" x14ac:dyDescent="0.25">
      <c r="A8" s="5" t="s">
        <v>3</v>
      </c>
      <c r="B8" s="3"/>
      <c r="C8" s="4"/>
      <c r="E8" s="50" t="s">
        <v>18</v>
      </c>
      <c r="F8" s="10"/>
      <c r="G8" s="10"/>
      <c r="H8" s="154"/>
      <c r="I8" s="10"/>
      <c r="J8" s="11"/>
      <c r="K8" s="11"/>
      <c r="L8" s="154"/>
      <c r="M8" s="10"/>
      <c r="O8" s="66">
        <f>COUNTIF(F6:F18,"IMP")*0.01</f>
        <v>0</v>
      </c>
      <c r="P8" s="16" t="str">
        <f>P3</f>
        <v>0,6</v>
      </c>
      <c r="Q8" s="17">
        <f t="shared" si="1"/>
        <v>0</v>
      </c>
      <c r="R8" s="157" t="e">
        <f t="shared" si="6"/>
        <v>#DIV/0!</v>
      </c>
      <c r="S8" s="41" t="e">
        <f t="shared" si="2"/>
        <v>#DIV/0!</v>
      </c>
      <c r="T8" s="42" t="e">
        <f>R8*PRODUCT(S5:S7)*PRODUCT(S9:S19)</f>
        <v>#DIV/0!</v>
      </c>
      <c r="U8" s="42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8" t="s">
        <v>42</v>
      </c>
      <c r="X8" s="15" t="s">
        <v>43</v>
      </c>
      <c r="Y8" s="68">
        <f>COUNTIF(J6:J18,"IMP")*0.01</f>
        <v>0</v>
      </c>
      <c r="Z8" s="146" t="str">
        <f>Z3</f>
        <v>0,6</v>
      </c>
      <c r="AA8" s="20">
        <f t="shared" si="3"/>
        <v>0</v>
      </c>
      <c r="AB8" s="157" t="e">
        <f t="shared" si="4"/>
        <v>#DIV/0!</v>
      </c>
      <c r="AC8" s="41" t="e">
        <f t="shared" si="5"/>
        <v>#DIV/0!</v>
      </c>
      <c r="AD8" s="42" t="e">
        <f>AB8*PRODUCT(AC5:AC7)*PRODUCT(AC9:AC19)</f>
        <v>#DIV/0!</v>
      </c>
      <c r="AE8" s="42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107" t="e">
        <f t="shared" si="0"/>
        <v>#DIV/0!</v>
      </c>
      <c r="BL8">
        <f>BH31+1</f>
        <v>4</v>
      </c>
      <c r="BM8">
        <v>4</v>
      </c>
      <c r="BN8" s="107" t="e">
        <f>$H$28*H42</f>
        <v>#DIV/0!</v>
      </c>
      <c r="BP8">
        <f>BP6+1</f>
        <v>3</v>
      </c>
      <c r="BQ8">
        <v>1</v>
      </c>
      <c r="BR8" s="107" t="e">
        <f>$H$27*H39</f>
        <v>#DIV/0!</v>
      </c>
    </row>
    <row r="9" spans="1:70" x14ac:dyDescent="0.25">
      <c r="A9" s="5" t="s">
        <v>4</v>
      </c>
      <c r="B9" s="3"/>
      <c r="C9" s="4"/>
      <c r="E9" s="50" t="s">
        <v>18</v>
      </c>
      <c r="F9" s="10"/>
      <c r="G9" s="10"/>
      <c r="H9" s="154"/>
      <c r="I9" s="10"/>
      <c r="J9" s="11"/>
      <c r="K9" s="11"/>
      <c r="L9" s="154"/>
      <c r="M9" s="10"/>
      <c r="O9" s="66">
        <f>COUNTIF(J6:J13,"IMP")*0.025</f>
        <v>0</v>
      </c>
      <c r="P9" s="144">
        <v>0.5</v>
      </c>
      <c r="Q9" s="17">
        <f t="shared" si="1"/>
        <v>0</v>
      </c>
      <c r="R9" s="157" t="e">
        <f t="shared" si="6"/>
        <v>#DIV/0!</v>
      </c>
      <c r="S9" s="41" t="e">
        <f t="shared" si="2"/>
        <v>#DIV/0!</v>
      </c>
      <c r="T9" s="42" t="e">
        <f>R9*PRODUCT(S5:S8)*PRODUCT(S10:S19)</f>
        <v>#DIV/0!</v>
      </c>
      <c r="U9" s="42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9" t="s">
        <v>44</v>
      </c>
      <c r="X9" s="15" t="s">
        <v>45</v>
      </c>
      <c r="Y9" s="68">
        <f>COUNTIF(F6:F13,"IMP")*0.025</f>
        <v>0</v>
      </c>
      <c r="Z9" s="146">
        <v>0.5</v>
      </c>
      <c r="AA9" s="20">
        <f t="shared" si="3"/>
        <v>0</v>
      </c>
      <c r="AB9" s="157" t="e">
        <f t="shared" si="4"/>
        <v>#DIV/0!</v>
      </c>
      <c r="AC9" s="41" t="e">
        <f t="shared" si="5"/>
        <v>#DIV/0!</v>
      </c>
      <c r="AD9" s="42" t="e">
        <f>AB9*PRODUCT(AC5:AC8)*PRODUCT(AC10:AC19)</f>
        <v>#DIV/0!</v>
      </c>
      <c r="AE9" s="42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107" t="e">
        <f t="shared" si="0"/>
        <v>#DIV/0!</v>
      </c>
      <c r="BL9">
        <f>BH38+1</f>
        <v>5</v>
      </c>
      <c r="BM9">
        <v>5</v>
      </c>
      <c r="BN9" s="107" t="e">
        <f>$H$29*H43</f>
        <v>#DIV/0!</v>
      </c>
      <c r="BP9">
        <f>BL6+1</f>
        <v>3</v>
      </c>
      <c r="BQ9">
        <v>2</v>
      </c>
      <c r="BR9" s="107" t="e">
        <f>$H$27*H40</f>
        <v>#DIV/0!</v>
      </c>
    </row>
    <row r="10" spans="1:70" x14ac:dyDescent="0.25">
      <c r="A10" s="6" t="s">
        <v>5</v>
      </c>
      <c r="B10" s="3"/>
      <c r="C10" s="4"/>
      <c r="E10" s="50" t="s">
        <v>17</v>
      </c>
      <c r="F10" s="10"/>
      <c r="G10" s="10"/>
      <c r="H10" s="154"/>
      <c r="I10" s="10"/>
      <c r="J10" s="11"/>
      <c r="K10" s="11"/>
      <c r="L10" s="154"/>
      <c r="M10" s="10"/>
      <c r="O10" s="66">
        <f>COUNTIF(F14:F18,"RAP")*0.0785</f>
        <v>0</v>
      </c>
      <c r="P10" s="16" t="str">
        <f>R3</f>
        <v>0,72</v>
      </c>
      <c r="Q10" s="17">
        <f t="shared" si="1"/>
        <v>0</v>
      </c>
      <c r="R10" s="157" t="e">
        <f t="shared" si="6"/>
        <v>#DIV/0!</v>
      </c>
      <c r="S10" s="41" t="e">
        <f t="shared" si="2"/>
        <v>#DIV/0!</v>
      </c>
      <c r="T10" s="42" t="e">
        <f>R10*PRODUCT(S5:S9)*PRODUCT(S11:S19)</f>
        <v>#DIV/0!</v>
      </c>
      <c r="U10" s="42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8" t="s">
        <v>46</v>
      </c>
      <c r="X10" s="15" t="s">
        <v>47</v>
      </c>
      <c r="Y10" s="68">
        <f>COUNTIF(J14:J18,"RAP")*0.0785</f>
        <v>0</v>
      </c>
      <c r="Z10" s="146" t="str">
        <f>AB3</f>
        <v>0,72</v>
      </c>
      <c r="AA10" s="20">
        <f t="shared" si="3"/>
        <v>0</v>
      </c>
      <c r="AB10" s="157" t="e">
        <f t="shared" si="4"/>
        <v>#DIV/0!</v>
      </c>
      <c r="AC10" s="41" t="e">
        <f t="shared" si="5"/>
        <v>#DIV/0!</v>
      </c>
      <c r="AD10" s="42" t="e">
        <f>AB10*PRODUCT(AC5:AC9)*PRODUCT(AC11:AC19)</f>
        <v>#DIV/0!</v>
      </c>
      <c r="AE10" s="42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107" t="e">
        <f t="shared" si="0"/>
        <v>#DIV/0!</v>
      </c>
      <c r="BL10">
        <f>BH44+1</f>
        <v>6</v>
      </c>
      <c r="BM10">
        <v>6</v>
      </c>
      <c r="BN10" s="107" t="e">
        <f>$H$30*H44</f>
        <v>#DIV/0!</v>
      </c>
      <c r="BP10">
        <f>BP7+1</f>
        <v>4</v>
      </c>
      <c r="BQ10">
        <v>0</v>
      </c>
      <c r="BR10" s="107" t="e">
        <f>$H$28*H38</f>
        <v>#DIV/0!</v>
      </c>
    </row>
    <row r="11" spans="1:70" x14ac:dyDescent="0.25">
      <c r="A11" s="6" t="s">
        <v>6</v>
      </c>
      <c r="B11" s="3"/>
      <c r="C11" s="4"/>
      <c r="E11" s="50" t="s">
        <v>19</v>
      </c>
      <c r="F11" s="10"/>
      <c r="G11" s="10"/>
      <c r="H11" s="154"/>
      <c r="I11" s="10"/>
      <c r="J11" s="11"/>
      <c r="K11" s="11"/>
      <c r="L11" s="154"/>
      <c r="M11" s="10"/>
      <c r="O11" s="66">
        <f>IF(COUNTA(F16:F18)=0,0,COUNTIF(F14:F15,"RAP")*0.035)+IF(COUNTA(F17:F18)=0,0,COUNTIF(F16:F16,"RAP")*0.035)+IF(COUNTA(F16:F17)=0,0,COUNTIF(F18:F18,"RAP")*0.035)+IF(COUNTA(F16,F18)=0,0,COUNTIF(F17:F17,"RAP")*0.035)</f>
        <v>0</v>
      </c>
      <c r="P11" s="16" t="str">
        <f>R3</f>
        <v>0,72</v>
      </c>
      <c r="Q11" s="17">
        <f t="shared" si="1"/>
        <v>0</v>
      </c>
      <c r="R11" s="157" t="e">
        <f t="shared" si="6"/>
        <v>#DIV/0!</v>
      </c>
      <c r="S11" s="41" t="e">
        <f t="shared" si="2"/>
        <v>#DIV/0!</v>
      </c>
      <c r="T11" s="42" t="e">
        <f>R11*PRODUCT(S5:S10)*PRODUCT(S12:S19)</f>
        <v>#DIV/0!</v>
      </c>
      <c r="U11" s="42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8" t="s">
        <v>48</v>
      </c>
      <c r="X11" s="15" t="s">
        <v>49</v>
      </c>
      <c r="Y11" s="68">
        <f>IF(COUNTA(J16:J18)=0,0,COUNTIF(J14:J15,"RAP")*0.035)+IF(COUNTA(J17:J18)=0,0,COUNTIF(J16:J16,"RAP")*0.035)+IF(COUNTA(J16:J17)=0,0,COUNTIF(J18:J18,"RAP")*0.035)+IF(COUNTA(J16,J18)=0,0,COUNTIF(J17:J17,"RAP")*0.035)</f>
        <v>0</v>
      </c>
      <c r="Z11" s="146" t="str">
        <f>AB3</f>
        <v>0,72</v>
      </c>
      <c r="AA11" s="20">
        <f t="shared" si="3"/>
        <v>0</v>
      </c>
      <c r="AB11" s="157" t="e">
        <f t="shared" si="4"/>
        <v>#DIV/0!</v>
      </c>
      <c r="AC11" s="41" t="e">
        <f t="shared" si="5"/>
        <v>#DIV/0!</v>
      </c>
      <c r="AD11" s="42" t="e">
        <f>AB11*PRODUCT(AC5:AC10)*PRODUCT(AC12:AC19)</f>
        <v>#DIV/0!</v>
      </c>
      <c r="AE11" s="42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107" t="e">
        <f t="shared" si="0"/>
        <v>#DIV/0!</v>
      </c>
      <c r="BL11">
        <f>BH50+1</f>
        <v>7</v>
      </c>
      <c r="BM11">
        <v>7</v>
      </c>
      <c r="BN11" s="107" t="e">
        <f>$H$31*H45</f>
        <v>#DIV/0!</v>
      </c>
      <c r="BP11">
        <f>BP8+1</f>
        <v>4</v>
      </c>
      <c r="BQ11">
        <v>1</v>
      </c>
      <c r="BR11" s="107" t="e">
        <f>$H$28*H39</f>
        <v>#DIV/0!</v>
      </c>
    </row>
    <row r="12" spans="1:70" x14ac:dyDescent="0.25">
      <c r="A12" s="6" t="s">
        <v>7</v>
      </c>
      <c r="B12" s="3"/>
      <c r="C12" s="4"/>
      <c r="E12" s="50" t="s">
        <v>19</v>
      </c>
      <c r="F12" s="10"/>
      <c r="G12" s="10"/>
      <c r="H12" s="154"/>
      <c r="I12" s="10"/>
      <c r="J12" s="11"/>
      <c r="K12" s="11"/>
      <c r="L12" s="154"/>
      <c r="M12" s="10"/>
      <c r="O12" s="67"/>
      <c r="P12" s="144">
        <v>0.5</v>
      </c>
      <c r="Q12" s="17">
        <f t="shared" si="1"/>
        <v>0</v>
      </c>
      <c r="R12" s="157" t="e">
        <f t="shared" si="6"/>
        <v>#DIV/0!</v>
      </c>
      <c r="S12" s="41" t="e">
        <f t="shared" si="2"/>
        <v>#DIV/0!</v>
      </c>
      <c r="T12" s="42" t="e">
        <f>R12*PRODUCT(S5:S11)*PRODUCT(S13:S19)</f>
        <v>#DIV/0!</v>
      </c>
      <c r="U12" s="42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9" t="s">
        <v>50</v>
      </c>
      <c r="X12" s="15" t="s">
        <v>51</v>
      </c>
      <c r="Y12" s="69"/>
      <c r="Z12" s="146">
        <v>0.5</v>
      </c>
      <c r="AA12" s="20">
        <f t="shared" si="3"/>
        <v>0</v>
      </c>
      <c r="AB12" s="157" t="e">
        <f t="shared" si="4"/>
        <v>#DIV/0!</v>
      </c>
      <c r="AC12" s="41" t="e">
        <f t="shared" si="5"/>
        <v>#DIV/0!</v>
      </c>
      <c r="AD12" s="42" t="e">
        <f>AB12*PRODUCT(AC5:AC11)*PRODUCT(AC13:AC19)</f>
        <v>#DIV/0!</v>
      </c>
      <c r="AE12" s="42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107" t="e">
        <f t="shared" si="0"/>
        <v>#DIV/0!</v>
      </c>
      <c r="BL12">
        <f>BH54+1</f>
        <v>8</v>
      </c>
      <c r="BM12">
        <v>8</v>
      </c>
      <c r="BN12" s="107" t="e">
        <f>$H$32*H46</f>
        <v>#DIV/0!</v>
      </c>
      <c r="BP12">
        <f>BP9+1</f>
        <v>4</v>
      </c>
      <c r="BQ12">
        <v>2</v>
      </c>
      <c r="BR12" s="107" t="e">
        <f>$H$28*H40</f>
        <v>#DIV/0!</v>
      </c>
    </row>
    <row r="13" spans="1:70" x14ac:dyDescent="0.25">
      <c r="A13" s="7" t="s">
        <v>8</v>
      </c>
      <c r="B13" s="3">
        <v>8.25</v>
      </c>
      <c r="C13" s="4">
        <v>11</v>
      </c>
      <c r="E13" s="50" t="s">
        <v>19</v>
      </c>
      <c r="F13" s="10"/>
      <c r="G13" s="10"/>
      <c r="H13" s="154"/>
      <c r="I13" s="10"/>
      <c r="J13" s="11"/>
      <c r="K13" s="11"/>
      <c r="L13" s="154"/>
      <c r="M13" s="10"/>
      <c r="O13" s="66">
        <v>9.7500000000000003E-2</v>
      </c>
      <c r="P13" s="16" t="str">
        <f>P3</f>
        <v>0,6</v>
      </c>
      <c r="Q13" s="17">
        <f t="shared" si="1"/>
        <v>5.8499999999999996E-2</v>
      </c>
      <c r="R13" s="157" t="e">
        <f t="shared" si="6"/>
        <v>#DIV/0!</v>
      </c>
      <c r="S13" s="41" t="e">
        <f t="shared" si="2"/>
        <v>#DIV/0!</v>
      </c>
      <c r="T13" s="42" t="e">
        <f>R13*PRODUCT(S5:S12)*PRODUCT(S14:S19)</f>
        <v>#DIV/0!</v>
      </c>
      <c r="U13" s="42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8" t="s">
        <v>52</v>
      </c>
      <c r="X13" s="15" t="s">
        <v>53</v>
      </c>
      <c r="Y13" s="68">
        <v>9.7500000000000003E-2</v>
      </c>
      <c r="Z13" s="146" t="str">
        <f>Z3</f>
        <v>0,6</v>
      </c>
      <c r="AA13" s="20">
        <f t="shared" si="3"/>
        <v>5.8499999999999996E-2</v>
      </c>
      <c r="AB13" s="157" t="e">
        <f t="shared" si="4"/>
        <v>#DIV/0!</v>
      </c>
      <c r="AC13" s="41" t="e">
        <f t="shared" si="5"/>
        <v>#DIV/0!</v>
      </c>
      <c r="AD13" s="42" t="e">
        <f>AB13*PRODUCT(AC5:AC12)*PRODUCT(AC14:AC19)</f>
        <v>#DIV/0!</v>
      </c>
      <c r="AE13" s="42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107" t="e">
        <f t="shared" si="0"/>
        <v>#DIV/0!</v>
      </c>
      <c r="BL13">
        <f>BH57+1</f>
        <v>9</v>
      </c>
      <c r="BM13">
        <v>9</v>
      </c>
      <c r="BN13" s="107" t="e">
        <f>$H$33*H47</f>
        <v>#DIV/0!</v>
      </c>
      <c r="BP13">
        <f>BL7+1</f>
        <v>4</v>
      </c>
      <c r="BQ13">
        <v>3</v>
      </c>
      <c r="BR13" s="107" t="e">
        <f>$H$28*H41</f>
        <v>#DIV/0!</v>
      </c>
    </row>
    <row r="14" spans="1:70" x14ac:dyDescent="0.25">
      <c r="A14" s="7" t="s">
        <v>9</v>
      </c>
      <c r="B14" s="3">
        <v>7.75</v>
      </c>
      <c r="C14" s="4">
        <v>10</v>
      </c>
      <c r="E14" s="50" t="s">
        <v>20</v>
      </c>
      <c r="F14" s="10"/>
      <c r="G14" s="10"/>
      <c r="H14" s="10"/>
      <c r="I14" s="10"/>
      <c r="J14" s="11"/>
      <c r="K14" s="11"/>
      <c r="L14" s="10"/>
      <c r="M14" s="10"/>
      <c r="O14" s="66">
        <f>COUNTIF(F6:F18,"CAB")*0.071</f>
        <v>0</v>
      </c>
      <c r="P14" s="145">
        <v>0.95</v>
      </c>
      <c r="Q14" s="17">
        <f t="shared" si="1"/>
        <v>0</v>
      </c>
      <c r="R14" s="157" t="e">
        <f t="shared" si="6"/>
        <v>#DIV/0!</v>
      </c>
      <c r="S14" s="41" t="e">
        <f t="shared" si="2"/>
        <v>#DIV/0!</v>
      </c>
      <c r="T14" s="42" t="e">
        <f>R14*PRODUCT(S5:S13)*PRODUCT(S15:S19)</f>
        <v>#DIV/0!</v>
      </c>
      <c r="U14" s="42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8" t="s">
        <v>54</v>
      </c>
      <c r="X14" s="15" t="s">
        <v>55</v>
      </c>
      <c r="Y14" s="68">
        <f>COUNTIF(J6:J18,"CAB")*0.071</f>
        <v>0</v>
      </c>
      <c r="Z14" s="147">
        <v>0.95</v>
      </c>
      <c r="AA14" s="20">
        <f t="shared" si="3"/>
        <v>0</v>
      </c>
      <c r="AB14" s="157" t="e">
        <f t="shared" si="4"/>
        <v>#DIV/0!</v>
      </c>
      <c r="AC14" s="41" t="e">
        <f t="shared" si="5"/>
        <v>#DIV/0!</v>
      </c>
      <c r="AD14" s="42" t="e">
        <f>AB14*PRODUCT(AC5:AC13)*PRODUCT(AC15:AC19)</f>
        <v>#DIV/0!</v>
      </c>
      <c r="AE14" s="42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107" t="e">
        <f t="shared" ref="BJ14:BJ22" si="7">$H$25*H40</f>
        <v>#DIV/0!</v>
      </c>
      <c r="BL14">
        <f>BP39+1</f>
        <v>10</v>
      </c>
      <c r="BM14">
        <v>10</v>
      </c>
      <c r="BN14" s="107" t="e">
        <f>$H$34*H48</f>
        <v>#DIV/0!</v>
      </c>
      <c r="BP14">
        <f>BP10+1</f>
        <v>5</v>
      </c>
      <c r="BQ14">
        <v>0</v>
      </c>
      <c r="BR14" s="107" t="e">
        <f>$H$29*H38</f>
        <v>#DIV/0!</v>
      </c>
    </row>
    <row r="15" spans="1:70" x14ac:dyDescent="0.25">
      <c r="A15" s="51" t="s">
        <v>71</v>
      </c>
      <c r="B15" s="52"/>
      <c r="C15" s="54"/>
      <c r="E15" s="50" t="s">
        <v>20</v>
      </c>
      <c r="F15" s="10"/>
      <c r="G15" s="10"/>
      <c r="H15" s="10"/>
      <c r="I15" s="10"/>
      <c r="J15" s="11"/>
      <c r="K15" s="11"/>
      <c r="L15" s="10"/>
      <c r="M15" s="10"/>
      <c r="O15" s="67"/>
      <c r="P15" s="144">
        <v>0.5</v>
      </c>
      <c r="Q15" s="17">
        <f t="shared" si="1"/>
        <v>0</v>
      </c>
      <c r="R15" s="157" t="e">
        <f t="shared" si="6"/>
        <v>#DIV/0!</v>
      </c>
      <c r="S15" s="41" t="e">
        <f t="shared" si="2"/>
        <v>#DIV/0!</v>
      </c>
      <c r="T15" s="42" t="e">
        <f>R15*PRODUCT(S5:S14)*PRODUCT(S16:S19)</f>
        <v>#DIV/0!</v>
      </c>
      <c r="U15" s="42" t="e">
        <f>R15*R16*PRODUCT(S5:S14)*PRODUCT(S17:S19)+R15*R17*PRODUCT(S5:S14)*S16*PRODUCT(S18:S19)+R15*R18*PRODUCT(S5:S14)*S16*S17*S19+R15*R19*PRODUCT(S5:S14)*S16*S17*S18</f>
        <v>#DIV/0!</v>
      </c>
      <c r="W15" s="48" t="s">
        <v>56</v>
      </c>
      <c r="X15" s="15" t="s">
        <v>57</v>
      </c>
      <c r="Y15" s="69"/>
      <c r="Z15" s="146">
        <v>0.5</v>
      </c>
      <c r="AA15" s="20">
        <f t="shared" si="3"/>
        <v>0</v>
      </c>
      <c r="AB15" s="157" t="e">
        <f t="shared" si="4"/>
        <v>#DIV/0!</v>
      </c>
      <c r="AC15" s="41" t="e">
        <f t="shared" si="5"/>
        <v>#DIV/0!</v>
      </c>
      <c r="AD15" s="42" t="e">
        <f>AB15*PRODUCT(AC5:AC14)*PRODUCT(AC16:AC19)</f>
        <v>#DIV/0!</v>
      </c>
      <c r="AE15" s="42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107" t="e">
        <f t="shared" si="7"/>
        <v>#DIV/0!</v>
      </c>
      <c r="BP15">
        <f>BP11+1</f>
        <v>5</v>
      </c>
      <c r="BQ15">
        <v>1</v>
      </c>
      <c r="BR15" s="107" t="e">
        <f>$H$29*H39</f>
        <v>#DIV/0!</v>
      </c>
    </row>
    <row r="16" spans="1:70" x14ac:dyDescent="0.25">
      <c r="A16" s="51" t="s">
        <v>82</v>
      </c>
      <c r="B16" s="52">
        <f>AVERAGE(G5:G18)</f>
        <v>12</v>
      </c>
      <c r="C16" s="54">
        <f>AVERAGE(K5:K18)</f>
        <v>12</v>
      </c>
      <c r="E16" s="50" t="s">
        <v>22</v>
      </c>
      <c r="F16" s="10"/>
      <c r="G16" s="10"/>
      <c r="H16" s="10"/>
      <c r="I16" s="10"/>
      <c r="J16" s="11"/>
      <c r="K16" s="11"/>
      <c r="L16" s="10"/>
      <c r="M16" s="10"/>
      <c r="O16" s="66">
        <f>COUNTA(L6:L13)*0.03</f>
        <v>0</v>
      </c>
      <c r="P16" s="144">
        <v>0.25</v>
      </c>
      <c r="Q16" s="17">
        <f t="shared" si="1"/>
        <v>0</v>
      </c>
      <c r="R16" s="157" t="e">
        <f t="shared" si="6"/>
        <v>#DIV/0!</v>
      </c>
      <c r="S16" s="41" t="e">
        <f t="shared" si="2"/>
        <v>#DIV/0!</v>
      </c>
      <c r="T16" s="42" t="e">
        <f>R16*PRODUCT(S5:S15)*PRODUCT(S17:S19)</f>
        <v>#DIV/0!</v>
      </c>
      <c r="U16" s="42" t="e">
        <f>R16*R17*PRODUCT(S5:S15)*PRODUCT(S18:S19)+R16*R18*PRODUCT(S5:S15)*S17*S19+R16*R19*PRODUCT(S5:S15)*S17*S18</f>
        <v>#DIV/0!</v>
      </c>
      <c r="W16" s="49" t="s">
        <v>58</v>
      </c>
      <c r="X16" s="15" t="s">
        <v>59</v>
      </c>
      <c r="Y16" s="68">
        <f>COUNTA(H6:H13)*0.03</f>
        <v>0</v>
      </c>
      <c r="Z16" s="146">
        <v>0.25</v>
      </c>
      <c r="AA16" s="20">
        <f t="shared" si="3"/>
        <v>0</v>
      </c>
      <c r="AB16" s="157" t="e">
        <f t="shared" si="4"/>
        <v>#DIV/0!</v>
      </c>
      <c r="AC16" s="41" t="e">
        <f t="shared" si="5"/>
        <v>#DIV/0!</v>
      </c>
      <c r="AD16" s="42" t="e">
        <f>AB16*PRODUCT(AC5:AC15)*PRODUCT(AC17:AC19)</f>
        <v>#DIV/0!</v>
      </c>
      <c r="AE16" s="42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107" t="e">
        <f t="shared" si="7"/>
        <v>#DIV/0!</v>
      </c>
      <c r="BP16">
        <f>BP12+1</f>
        <v>5</v>
      </c>
      <c r="BQ16">
        <v>2</v>
      </c>
      <c r="BR16" s="107" t="e">
        <f>$H$29*H40</f>
        <v>#DIV/0!</v>
      </c>
    </row>
    <row r="17" spans="1:70" x14ac:dyDescent="0.25">
      <c r="A17" s="25" t="s">
        <v>10</v>
      </c>
      <c r="B17" s="53" t="s">
        <v>11</v>
      </c>
      <c r="C17" s="55" t="s">
        <v>11</v>
      </c>
      <c r="E17" s="50" t="s">
        <v>22</v>
      </c>
      <c r="F17" s="10"/>
      <c r="G17" s="10"/>
      <c r="H17" s="10"/>
      <c r="I17" s="10"/>
      <c r="J17" s="11"/>
      <c r="K17" s="11"/>
      <c r="L17" s="10"/>
      <c r="M17" s="10"/>
      <c r="O17" s="66">
        <f>(0.02*2)*IF(COUNTBLANK(F14:F15)&lt;&gt;0, (2-COUNTBLANK(F14:F15))/2,1)</f>
        <v>0</v>
      </c>
      <c r="P17" s="16" t="str">
        <f>P3</f>
        <v>0,6</v>
      </c>
      <c r="Q17" s="17">
        <f t="shared" si="1"/>
        <v>0</v>
      </c>
      <c r="R17" s="157" t="e">
        <f t="shared" si="6"/>
        <v>#DIV/0!</v>
      </c>
      <c r="S17" s="41" t="e">
        <f t="shared" si="2"/>
        <v>#DIV/0!</v>
      </c>
      <c r="T17" s="42" t="e">
        <f>R17*PRODUCT(S5:S16)*PRODUCT(S18:S19)</f>
        <v>#DIV/0!</v>
      </c>
      <c r="U17" s="42" t="e">
        <f>R17*R18*PRODUCT(S5:S16)*S19+R17*R19*PRODUCT(S5:S16)*S18</f>
        <v>#DIV/0!</v>
      </c>
      <c r="W17" s="48" t="s">
        <v>60</v>
      </c>
      <c r="X17" s="15" t="s">
        <v>61</v>
      </c>
      <c r="Y17" s="68">
        <f>(0.02*2)*IF(COUNTBLANK(J14:J15)&lt;&gt;0, (2-COUNTBLANK(J14:J15))/2,1)</f>
        <v>0</v>
      </c>
      <c r="Z17" s="146" t="str">
        <f>Z3</f>
        <v>0,6</v>
      </c>
      <c r="AA17" s="20">
        <f t="shared" si="3"/>
        <v>0</v>
      </c>
      <c r="AB17" s="157" t="e">
        <f t="shared" si="4"/>
        <v>#DIV/0!</v>
      </c>
      <c r="AC17" s="41" t="e">
        <f t="shared" si="5"/>
        <v>#DIV/0!</v>
      </c>
      <c r="AD17" s="42" t="e">
        <f>AB17*PRODUCT(AC5:AC16)*PRODUCT(AC18:AC19)</f>
        <v>#DIV/0!</v>
      </c>
      <c r="AE17" s="42" t="e">
        <f>AB17*AB18*PRODUCT(AC5:AC16)*AC19+AB17*AB19*PRODUCT(AC5:AC16)*AC18</f>
        <v>#DIV/0!</v>
      </c>
      <c r="BH17">
        <v>1</v>
      </c>
      <c r="BI17">
        <v>5</v>
      </c>
      <c r="BJ17" s="107" t="e">
        <f t="shared" si="7"/>
        <v>#DIV/0!</v>
      </c>
      <c r="BP17">
        <f>BP13+1</f>
        <v>5</v>
      </c>
      <c r="BQ17">
        <v>3</v>
      </c>
      <c r="BR17" s="107" t="e">
        <f>$H$29*H41</f>
        <v>#DIV/0!</v>
      </c>
    </row>
    <row r="18" spans="1:70" x14ac:dyDescent="0.25">
      <c r="A18" s="25" t="s">
        <v>12</v>
      </c>
      <c r="B18" s="53">
        <v>20</v>
      </c>
      <c r="C18" s="55">
        <v>20</v>
      </c>
      <c r="E18" s="50" t="s">
        <v>22</v>
      </c>
      <c r="F18" s="10"/>
      <c r="G18" s="10"/>
      <c r="H18" s="10"/>
      <c r="I18" s="10"/>
      <c r="J18" s="11"/>
      <c r="K18" s="11"/>
      <c r="L18" s="10"/>
      <c r="M18" s="10"/>
      <c r="O18" s="66">
        <v>0</v>
      </c>
      <c r="P18" s="144">
        <v>0.5</v>
      </c>
      <c r="Q18" s="17">
        <f t="shared" si="1"/>
        <v>0</v>
      </c>
      <c r="R18" s="157" t="e">
        <f t="shared" si="6"/>
        <v>#DIV/0!</v>
      </c>
      <c r="S18" s="41" t="e">
        <f t="shared" si="2"/>
        <v>#DIV/0!</v>
      </c>
      <c r="T18" s="42" t="e">
        <f>R18*PRODUCT(S5:S17)*PRODUCT(S19:S19)</f>
        <v>#DIV/0!</v>
      </c>
      <c r="U18" s="42" t="e">
        <f>R18*R19*PRODUCT(S5:S17)</f>
        <v>#DIV/0!</v>
      </c>
      <c r="W18" s="48" t="s">
        <v>62</v>
      </c>
      <c r="X18" s="15" t="s">
        <v>63</v>
      </c>
      <c r="Y18" s="68">
        <v>0</v>
      </c>
      <c r="Z18" s="146">
        <v>0.5</v>
      </c>
      <c r="AA18" s="20">
        <f t="shared" si="3"/>
        <v>0</v>
      </c>
      <c r="AB18" s="157" t="e">
        <f t="shared" si="4"/>
        <v>#DIV/0!</v>
      </c>
      <c r="AC18" s="41" t="e">
        <f t="shared" si="5"/>
        <v>#DIV/0!</v>
      </c>
      <c r="AD18" s="42" t="e">
        <f>AB18*PRODUCT(AC5:AC17)*PRODUCT(AC19:AC19)</f>
        <v>#DIV/0!</v>
      </c>
      <c r="AE18" s="42" t="e">
        <f>AB18*AB19*PRODUCT(AC5:AC17)</f>
        <v>#DIV/0!</v>
      </c>
      <c r="BH18">
        <v>1</v>
      </c>
      <c r="BI18">
        <v>6</v>
      </c>
      <c r="BJ18" s="107" t="e">
        <f t="shared" si="7"/>
        <v>#DIV/0!</v>
      </c>
      <c r="BP18">
        <f>BL8+1</f>
        <v>5</v>
      </c>
      <c r="BQ18">
        <v>4</v>
      </c>
      <c r="BR18" s="107" t="e">
        <f>$H$29*H42</f>
        <v>#DIV/0!</v>
      </c>
    </row>
    <row r="19" spans="1:70" x14ac:dyDescent="0.25">
      <c r="H19" s="13" t="s">
        <v>141</v>
      </c>
      <c r="L19" s="13" t="s">
        <v>141</v>
      </c>
      <c r="O19" s="66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57" t="e">
        <f t="shared" si="6"/>
        <v>#DIV/0!</v>
      </c>
      <c r="S19" s="43" t="e">
        <f t="shared" si="2"/>
        <v>#DIV/0!</v>
      </c>
      <c r="T19" s="44" t="e">
        <f>R19*PRODUCT(S5:S18)</f>
        <v>#DIV/0!</v>
      </c>
      <c r="U19" s="44">
        <v>0</v>
      </c>
      <c r="V19" s="1" t="s">
        <v>66</v>
      </c>
      <c r="W19" s="48" t="s">
        <v>64</v>
      </c>
      <c r="X19" s="15" t="s">
        <v>65</v>
      </c>
      <c r="Y19" s="68">
        <f>COUNTIF(J14:J18,"TEC")*0.06*IF(COUNTIF(F6:F13,"CAB")&lt;&gt;0,1,0)</f>
        <v>0</v>
      </c>
      <c r="Z19" s="146" t="str">
        <f>Z3</f>
        <v>0,6</v>
      </c>
      <c r="AA19" s="20">
        <f t="shared" si="3"/>
        <v>0</v>
      </c>
      <c r="AB19" s="157" t="e">
        <f t="shared" si="4"/>
        <v>#DIV/0!</v>
      </c>
      <c r="AC19" s="43" t="e">
        <f t="shared" si="5"/>
        <v>#DIV/0!</v>
      </c>
      <c r="AD19" s="44" t="e">
        <f>AB19*PRODUCT(AC5:AC18)</f>
        <v>#DIV/0!</v>
      </c>
      <c r="AE19" s="44">
        <v>0</v>
      </c>
      <c r="AF19" s="1" t="s">
        <v>66</v>
      </c>
      <c r="BH19">
        <v>1</v>
      </c>
      <c r="BI19">
        <v>7</v>
      </c>
      <c r="BJ19" s="107" t="e">
        <f t="shared" si="7"/>
        <v>#DIV/0!</v>
      </c>
      <c r="BP19">
        <f>BP15+1</f>
        <v>6</v>
      </c>
      <c r="BQ19">
        <v>1</v>
      </c>
      <c r="BR19" s="107" t="e">
        <f>$H$30*H39</f>
        <v>#DIV/0!</v>
      </c>
    </row>
    <row r="20" spans="1:70" x14ac:dyDescent="0.25">
      <c r="A20" s="38" t="s">
        <v>81</v>
      </c>
      <c r="B20">
        <f>IF(B17="Pres",IF(C17="Pres",2,1),IF(C17="Pres",1,0))</f>
        <v>0</v>
      </c>
      <c r="D20" s="36"/>
      <c r="O20" s="22"/>
      <c r="P20" s="22"/>
      <c r="Q20" s="22"/>
      <c r="S20" s="45" t="e">
        <f>PRODUCT(S5:S19)</f>
        <v>#DIV/0!</v>
      </c>
      <c r="T20" s="46" t="e">
        <f>SUM(T5:T19)</f>
        <v>#DIV/0!</v>
      </c>
      <c r="U20" s="46" t="e">
        <f>SUM(U5:U19)</f>
        <v>#DIV/0!</v>
      </c>
      <c r="V20" s="46" t="e">
        <f>1-S20-T20-U20</f>
        <v>#DIV/0!</v>
      </c>
      <c r="W20" s="21"/>
      <c r="X20" s="22"/>
      <c r="Y20" s="22"/>
      <c r="Z20" s="22"/>
      <c r="AA20" s="22"/>
      <c r="AB20" s="23"/>
      <c r="AC20" s="47" t="e">
        <f>PRODUCT(AC5:AC19)</f>
        <v>#DIV/0!</v>
      </c>
      <c r="AD20" s="46" t="e">
        <f>SUM(AD5:AD19)</f>
        <v>#DIV/0!</v>
      </c>
      <c r="AE20" s="46" t="e">
        <f>SUM(AE5:AE19)</f>
        <v>#DIV/0!</v>
      </c>
      <c r="AF20" s="46" t="e">
        <f>1-AC20-AD20-AE20</f>
        <v>#DIV/0!</v>
      </c>
      <c r="BH20">
        <v>1</v>
      </c>
      <c r="BI20">
        <v>8</v>
      </c>
      <c r="BJ20" s="107" t="e">
        <f t="shared" si="7"/>
        <v>#DIV/0!</v>
      </c>
      <c r="BP20">
        <f>BP16+1</f>
        <v>6</v>
      </c>
      <c r="BQ20">
        <v>2</v>
      </c>
      <c r="BR20" s="107" t="e">
        <f>$H$30*H40</f>
        <v>#DIV/0!</v>
      </c>
    </row>
    <row r="21" spans="1:70" x14ac:dyDescent="0.25">
      <c r="A21" s="38" t="s">
        <v>78</v>
      </c>
      <c r="B21" s="39">
        <f>5-B20</f>
        <v>5</v>
      </c>
      <c r="C21" s="35"/>
      <c r="D21" s="24"/>
      <c r="E21" s="24"/>
      <c r="V21" s="59" t="e">
        <f>SUM(V24:V34)</f>
        <v>#DIV/0!</v>
      </c>
      <c r="AS21" s="82" t="e">
        <f>Y22+AA22+AC22+AE22+AG22+AI22+AK22+AM22+AO22+AQ22+AS22</f>
        <v>#DIV/0!</v>
      </c>
      <c r="BH21" s="18">
        <v>1</v>
      </c>
      <c r="BI21">
        <v>9</v>
      </c>
      <c r="BJ21" s="107" t="e">
        <f t="shared" si="7"/>
        <v>#DIV/0!</v>
      </c>
      <c r="BP21">
        <f>BP17+1</f>
        <v>6</v>
      </c>
      <c r="BQ21">
        <v>3</v>
      </c>
      <c r="BR21" s="107" t="e">
        <f>$H$30*H41</f>
        <v>#DIV/0!</v>
      </c>
    </row>
    <row r="22" spans="1:70" ht="15.75" thickBot="1" x14ac:dyDescent="0.3">
      <c r="A22" s="26" t="s">
        <v>77</v>
      </c>
      <c r="B22" s="62" t="e">
        <f>(B6)/((B6)+(C6))</f>
        <v>#DIV/0!</v>
      </c>
      <c r="C22" s="63" t="e">
        <f>1-B22</f>
        <v>#DIV/0!</v>
      </c>
      <c r="D22" s="24"/>
      <c r="E22" s="24"/>
      <c r="H22" s="59" t="e">
        <f>SUM(H24:H34)</f>
        <v>#DIV/0!</v>
      </c>
      <c r="J22" s="59" t="e">
        <f>SUM(J24:J34)</f>
        <v>#DIV/0!</v>
      </c>
      <c r="K22" s="59"/>
      <c r="L22" s="59" t="e">
        <f>SUM(L24:L34)</f>
        <v>#DIV/0!</v>
      </c>
      <c r="N22" s="59" t="e">
        <f>SUM(N24:N34)</f>
        <v>#DIV/0!</v>
      </c>
      <c r="O22" s="34"/>
      <c r="P22" s="59" t="e">
        <f>SUM(P24:P34)</f>
        <v>#DIV/0!</v>
      </c>
      <c r="R22" s="59" t="e">
        <f>SUM(R24:R34)</f>
        <v>#DIV/0!</v>
      </c>
      <c r="T22" s="59" t="e">
        <f>SUM(T24:T34)</f>
        <v>#DIV/0!</v>
      </c>
      <c r="V22" s="59" t="e">
        <f>SUM(V24:V33)</f>
        <v>#DIV/0!</v>
      </c>
      <c r="Y22" s="80" t="e">
        <f>SUM(Y24:Y34)</f>
        <v>#DIV/0!</v>
      </c>
      <c r="Z22" s="81"/>
      <c r="AA22" s="80" t="e">
        <f>SUM(AA24:AA34)</f>
        <v>#DIV/0!</v>
      </c>
      <c r="AB22" s="81"/>
      <c r="AC22" s="80" t="e">
        <f>SUM(AC24:AC34)</f>
        <v>#DIV/0!</v>
      </c>
      <c r="AD22" s="81"/>
      <c r="AE22" s="80" t="e">
        <f>SUM(AE24:AE34)</f>
        <v>#DIV/0!</v>
      </c>
      <c r="AF22" s="81"/>
      <c r="AG22" s="80" t="e">
        <f>SUM(AG24:AG34)</f>
        <v>#DIV/0!</v>
      </c>
      <c r="AH22" s="81"/>
      <c r="AI22" s="80" t="e">
        <f>SUM(AI24:AI34)</f>
        <v>#DIV/0!</v>
      </c>
      <c r="AJ22" s="81"/>
      <c r="AK22" s="80" t="e">
        <f>SUM(AK24:AK34)</f>
        <v>#DIV/0!</v>
      </c>
      <c r="AL22" s="81"/>
      <c r="AM22" s="80" t="e">
        <f>SUM(AM24:AM34)</f>
        <v>#DIV/0!</v>
      </c>
      <c r="AN22" s="81"/>
      <c r="AO22" s="80" t="e">
        <f>SUM(AO24:AO34)</f>
        <v>#DIV/0!</v>
      </c>
      <c r="AP22" s="81"/>
      <c r="AQ22" s="80" t="e">
        <f>SUM(AQ24:AQ34)</f>
        <v>#DIV/0!</v>
      </c>
      <c r="AR22" s="81"/>
      <c r="AS22" s="80" t="e">
        <f>SUM(AS24:AS34)</f>
        <v>#DIV/0!</v>
      </c>
      <c r="BH22">
        <v>1</v>
      </c>
      <c r="BI22">
        <v>10</v>
      </c>
      <c r="BJ22" s="107" t="e">
        <f t="shared" si="7"/>
        <v>#DIV/0!</v>
      </c>
      <c r="BP22">
        <f>BP18+1</f>
        <v>6</v>
      </c>
      <c r="BQ22">
        <v>4</v>
      </c>
      <c r="BR22" s="107" t="e">
        <f>$H$30*H42</f>
        <v>#DIV/0!</v>
      </c>
    </row>
    <row r="23" spans="1:70" ht="15.75" thickBot="1" x14ac:dyDescent="0.3">
      <c r="A23" s="40" t="s">
        <v>67</v>
      </c>
      <c r="B23" s="56" t="e">
        <f>((B22^2.8)/((B22^2.8)+(C22^2.8)))*B21</f>
        <v>#DIV/0!</v>
      </c>
      <c r="C23" s="57" t="e">
        <f>B21-B23</f>
        <v>#DIV/0!</v>
      </c>
      <c r="D23" s="151">
        <f>SUM(D25:D30)</f>
        <v>1</v>
      </c>
      <c r="E23" s="151">
        <f>SUM(E25:E30)</f>
        <v>1</v>
      </c>
      <c r="G23" s="99" t="s">
        <v>103</v>
      </c>
      <c r="H23" s="100" t="s">
        <v>75</v>
      </c>
      <c r="I23" s="99" t="s">
        <v>100</v>
      </c>
      <c r="J23" s="101" t="s">
        <v>101</v>
      </c>
      <c r="K23" s="99" t="s">
        <v>102</v>
      </c>
      <c r="L23" s="101" t="s">
        <v>75</v>
      </c>
      <c r="M23" s="83" t="s">
        <v>99</v>
      </c>
      <c r="N23" s="27" t="s">
        <v>74</v>
      </c>
      <c r="O23" s="27" t="s">
        <v>126</v>
      </c>
      <c r="P23" s="27" t="s">
        <v>75</v>
      </c>
      <c r="Q23" s="27" t="s">
        <v>87</v>
      </c>
      <c r="R23" s="27" t="s">
        <v>75</v>
      </c>
      <c r="S23" s="27" t="s">
        <v>83</v>
      </c>
      <c r="T23" s="134" t="s">
        <v>75</v>
      </c>
      <c r="U23" s="138" t="s">
        <v>85</v>
      </c>
      <c r="V23" s="139" t="s">
        <v>74</v>
      </c>
      <c r="W23" s="83" t="s">
        <v>73</v>
      </c>
      <c r="X23" s="27" t="s">
        <v>88</v>
      </c>
      <c r="Y23" s="27" t="s">
        <v>75</v>
      </c>
      <c r="Z23" s="27" t="s">
        <v>89</v>
      </c>
      <c r="AA23" s="27" t="s">
        <v>75</v>
      </c>
      <c r="AB23" s="27" t="s">
        <v>90</v>
      </c>
      <c r="AC23" s="27" t="s">
        <v>75</v>
      </c>
      <c r="AD23" s="27" t="s">
        <v>91</v>
      </c>
      <c r="AE23" s="27" t="s">
        <v>75</v>
      </c>
      <c r="AF23" s="27" t="s">
        <v>92</v>
      </c>
      <c r="AG23" s="27" t="s">
        <v>75</v>
      </c>
      <c r="AH23" s="27" t="s">
        <v>93</v>
      </c>
      <c r="AI23" s="27" t="s">
        <v>75</v>
      </c>
      <c r="AJ23" s="27" t="s">
        <v>94</v>
      </c>
      <c r="AK23" s="27" t="s">
        <v>75</v>
      </c>
      <c r="AL23" s="27" t="s">
        <v>95</v>
      </c>
      <c r="AM23" s="27" t="s">
        <v>75</v>
      </c>
      <c r="AN23" s="27" t="s">
        <v>96</v>
      </c>
      <c r="AO23" s="27" t="s">
        <v>75</v>
      </c>
      <c r="AP23" s="27" t="s">
        <v>97</v>
      </c>
      <c r="AQ23" s="27" t="s">
        <v>75</v>
      </c>
      <c r="AR23" s="27" t="s">
        <v>98</v>
      </c>
      <c r="AS23" s="27" t="s">
        <v>75</v>
      </c>
      <c r="BH23">
        <f t="shared" ref="BH23:BH30" si="8">BH15+1</f>
        <v>2</v>
      </c>
      <c r="BI23">
        <v>3</v>
      </c>
      <c r="BJ23" s="107" t="e">
        <f t="shared" ref="BJ23:BJ30" si="9">$H$26*H41</f>
        <v>#DIV/0!</v>
      </c>
      <c r="BP23">
        <f>BL9+1</f>
        <v>6</v>
      </c>
      <c r="BQ23">
        <v>5</v>
      </c>
      <c r="BR23" s="107" t="e">
        <f>$H$30*H43</f>
        <v>#DIV/0!</v>
      </c>
    </row>
    <row r="24" spans="1:70" x14ac:dyDescent="0.25">
      <c r="A24" s="26" t="s">
        <v>76</v>
      </c>
      <c r="B24" s="64" t="e">
        <f>B23/B21</f>
        <v>#DIV/0!</v>
      </c>
      <c r="C24" s="65" t="e">
        <f>C23/B21</f>
        <v>#DIV/0!</v>
      </c>
      <c r="D24" s="13" t="s">
        <v>79</v>
      </c>
      <c r="E24" s="13" t="s">
        <v>80</v>
      </c>
      <c r="G24" s="126">
        <v>0</v>
      </c>
      <c r="H24" s="127" t="e">
        <f>L24*J24</f>
        <v>#DIV/0!</v>
      </c>
      <c r="I24" s="97">
        <v>0</v>
      </c>
      <c r="J24" s="98" t="e">
        <f t="shared" ref="J24:J34" si="10">Y24+AA24+AC24+AE24+AG24+AI24+AK24+AM24+AO24+AQ24+AS24</f>
        <v>#DIV/0!</v>
      </c>
      <c r="K24" s="97">
        <v>0</v>
      </c>
      <c r="L24" s="98" t="e">
        <f>S20</f>
        <v>#DIV/0!</v>
      </c>
      <c r="M24" s="84">
        <v>0</v>
      </c>
      <c r="N24" s="71" t="e">
        <f>(1-$B$24)^$B$21</f>
        <v>#DIV/0!</v>
      </c>
      <c r="O24" s="70">
        <v>0</v>
      </c>
      <c r="P24" s="71" t="e">
        <f>N24</f>
        <v>#DIV/0!</v>
      </c>
      <c r="Q24" s="12">
        <v>0</v>
      </c>
      <c r="R24" s="73" t="e">
        <f>P24*N24</f>
        <v>#DIV/0!</v>
      </c>
      <c r="S24" s="70">
        <v>0</v>
      </c>
      <c r="T24" s="135" t="e">
        <f>(1-$B$33)^(INT(C23*2*(1-C31)))</f>
        <v>#DIV/0!</v>
      </c>
      <c r="U24" s="140">
        <v>0</v>
      </c>
      <c r="V24" s="86" t="e">
        <f>R24*T24</f>
        <v>#DIV/0!</v>
      </c>
      <c r="W24" s="136" t="e">
        <f>B31</f>
        <v>#DIV/0!</v>
      </c>
      <c r="X24" s="12">
        <v>0</v>
      </c>
      <c r="Y24" s="79" t="e">
        <f>V24</f>
        <v>#DIV/0!</v>
      </c>
      <c r="Z24" s="12">
        <v>0</v>
      </c>
      <c r="AA24" s="78" t="e">
        <f>((1-W24)^Z25)*V25</f>
        <v>#DIV/0!</v>
      </c>
      <c r="AB24" s="12">
        <v>0</v>
      </c>
      <c r="AC24" s="79" t="e">
        <f>(((1-$W$24)^AB26))*V26</f>
        <v>#DIV/0!</v>
      </c>
      <c r="AD24" s="12">
        <v>0</v>
      </c>
      <c r="AE24" s="79" t="e">
        <f>(((1-$W$24)^AB27))*V27</f>
        <v>#DIV/0!</v>
      </c>
      <c r="AF24" s="12">
        <v>0</v>
      </c>
      <c r="AG24" s="79" t="e">
        <f>(((1-$W$24)^AB28))*V28</f>
        <v>#DIV/0!</v>
      </c>
      <c r="AH24" s="12">
        <v>0</v>
      </c>
      <c r="AI24" s="79" t="e">
        <f>(((1-$W$24)^AB29))*V29</f>
        <v>#DIV/0!</v>
      </c>
      <c r="AJ24" s="12">
        <v>0</v>
      </c>
      <c r="AK24" s="79" t="e">
        <f>(((1-$W$24)^AB30))*V30</f>
        <v>#DIV/0!</v>
      </c>
      <c r="AL24" s="12">
        <v>0</v>
      </c>
      <c r="AM24" s="79" t="e">
        <f>(((1-$W$24)^AB31))*V31</f>
        <v>#DIV/0!</v>
      </c>
      <c r="AN24" s="12">
        <v>0</v>
      </c>
      <c r="AO24" s="79" t="e">
        <f>(((1-$W$24)^AB32))*V32</f>
        <v>#DIV/0!</v>
      </c>
      <c r="AP24" s="12">
        <v>0</v>
      </c>
      <c r="AQ24" s="79" t="e">
        <f>(((1-$W$24)^AB33))*V33</f>
        <v>#DIV/0!</v>
      </c>
      <c r="AR24" s="12">
        <v>0</v>
      </c>
      <c r="AS24" s="79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107" t="e">
        <f t="shared" si="9"/>
        <v>#DIV/0!</v>
      </c>
      <c r="BP24">
        <f>BH49+1</f>
        <v>7</v>
      </c>
      <c r="BQ24">
        <v>0</v>
      </c>
      <c r="BR24" s="107" t="e">
        <f t="shared" ref="BR24:BR30" si="11">$H$31*H38</f>
        <v>#DIV/0!</v>
      </c>
    </row>
    <row r="25" spans="1:70" x14ac:dyDescent="0.25">
      <c r="A25" s="26" t="s">
        <v>69</v>
      </c>
      <c r="B25" s="117" t="e">
        <f>1/(1+EXP(-3.1416*4*((B11/(B11+C8))-(3.1416/6))))</f>
        <v>#DIV/0!</v>
      </c>
      <c r="C25" s="118" t="e">
        <f>1/(1+EXP(-3.1416*4*((C11/(C11+B8))-(3.1416/6))))</f>
        <v>#DIV/0!</v>
      </c>
      <c r="D25" s="153">
        <f>IF(B17="AOW", 0.36-0.08, IF(B17="AIM", 0.36+0.08, IF(B17="TL",(0.361)-(0.36*B32),0.36)))</f>
        <v>0.36</v>
      </c>
      <c r="E25" s="153">
        <f>IF(C17="AOW", 0.36-0.08, IF(C17="AIM", 0.36+0.08, IF(C17="TL",(0.361)-(0.36*C32),0.36)))</f>
        <v>0.36</v>
      </c>
      <c r="G25" s="87">
        <v>1</v>
      </c>
      <c r="H25" s="128" t="e">
        <f>L24*J25+L25*J24</f>
        <v>#DIV/0!</v>
      </c>
      <c r="I25" s="93">
        <v>1</v>
      </c>
      <c r="J25" s="86" t="e">
        <f t="shared" si="10"/>
        <v>#DIV/0!</v>
      </c>
      <c r="K25" s="93">
        <v>1</v>
      </c>
      <c r="L25" s="86" t="e">
        <f>T20</f>
        <v>#DIV/0!</v>
      </c>
      <c r="M25" s="85">
        <v>1</v>
      </c>
      <c r="N25" s="71" t="e">
        <f>(($B$24)^M25)*((1-($B$24))^($B$21-M25))*HLOOKUP($B$21,$AV$24:$BF$34,M25+1)</f>
        <v>#DIV/0!</v>
      </c>
      <c r="O25" s="72">
        <v>1</v>
      </c>
      <c r="P25" s="71" t="e">
        <f t="shared" ref="P25:P29" si="12">N25</f>
        <v>#DIV/0!</v>
      </c>
      <c r="Q25" s="28">
        <v>1</v>
      </c>
      <c r="R25" s="37" t="e">
        <f>N25*P24+P25*N24</f>
        <v>#DIV/0!</v>
      </c>
      <c r="S25" s="72">
        <v>1</v>
      </c>
      <c r="T25" s="135" t="e">
        <f t="shared" ref="T25:T34" si="13">(($B$33)^S25)*((1-($B$33))^(INT($C$23*2*(1-$C$31))-S25))*HLOOKUP(INT($C$23*2*(1-$C$31)),$AV$24:$BF$34,S25+1)</f>
        <v>#DIV/0!</v>
      </c>
      <c r="U25" s="93">
        <v>1</v>
      </c>
      <c r="V25" s="86" t="e">
        <f>R25*T24+T25*R24</f>
        <v>#DIV/0!</v>
      </c>
      <c r="W25" s="137"/>
      <c r="X25" s="28">
        <v>1</v>
      </c>
      <c r="Y25" s="73"/>
      <c r="Z25" s="28">
        <v>1</v>
      </c>
      <c r="AA25" s="79" t="e">
        <f>(1-((1-W24)^Z25))*V25</f>
        <v>#DIV/0!</v>
      </c>
      <c r="AB25" s="28">
        <v>1</v>
      </c>
      <c r="AC25" s="79" t="e">
        <f>((($W$24)^M25)*((1-($W$24))^($U$26-M25))*HLOOKUP($U$26,$AV$24:$BF$34,M25+1))*V26</f>
        <v>#DIV/0!</v>
      </c>
      <c r="AD25" s="28">
        <v>1</v>
      </c>
      <c r="AE25" s="79" t="e">
        <f>((($W$24)^M25)*((1-($W$24))^($U$27-M25))*HLOOKUP($U$27,$AV$24:$BF$34,M25+1))*V27</f>
        <v>#DIV/0!</v>
      </c>
      <c r="AF25" s="28">
        <v>1</v>
      </c>
      <c r="AG25" s="79" t="e">
        <f>((($W$24)^M25)*((1-($W$24))^($U$28-M25))*HLOOKUP($U$28,$AV$24:$BF$34,M25+1))*V28</f>
        <v>#DIV/0!</v>
      </c>
      <c r="AH25" s="28">
        <v>1</v>
      </c>
      <c r="AI25" s="79" t="e">
        <f>((($W$24)^M25)*((1-($W$24))^($U$29-M25))*HLOOKUP($U$29,$AV$24:$BF$34,M25+1))*V29</f>
        <v>#DIV/0!</v>
      </c>
      <c r="AJ25" s="28">
        <v>1</v>
      </c>
      <c r="AK25" s="79" t="e">
        <f>((($W$24)^M25)*((1-($W$24))^($U$30-M25))*HLOOKUP($U$30,$AV$24:$BF$34,M25+1))*V30</f>
        <v>#DIV/0!</v>
      </c>
      <c r="AL25" s="28">
        <v>1</v>
      </c>
      <c r="AM25" s="79" t="e">
        <f>((($W$24)^Q25)*((1-($W$24))^($U$31-Q25))*HLOOKUP($U$31,$AV$24:$BF$34,Q25+1))*V31</f>
        <v>#DIV/0!</v>
      </c>
      <c r="AN25" s="28">
        <v>1</v>
      </c>
      <c r="AO25" s="79" t="e">
        <f>((($W$24)^Q25)*((1-($W$24))^($U$32-Q25))*HLOOKUP($U$32,$AV$24:$BF$34,Q25+1))*V32</f>
        <v>#DIV/0!</v>
      </c>
      <c r="AP25" s="28">
        <v>1</v>
      </c>
      <c r="AQ25" s="79" t="e">
        <f>((($W$24)^Q25)*((1-($W$24))^($U$33-Q25))*HLOOKUP($U$33,$AV$24:$BF$34,Q25+1))*V33</f>
        <v>#DIV/0!</v>
      </c>
      <c r="AR25" s="28">
        <v>1</v>
      </c>
      <c r="AS25" s="79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107" t="e">
        <f t="shared" si="9"/>
        <v>#DIV/0!</v>
      </c>
      <c r="BP25">
        <f>BP19+1</f>
        <v>7</v>
      </c>
      <c r="BQ25">
        <v>1</v>
      </c>
      <c r="BR25" s="107" t="e">
        <f t="shared" si="11"/>
        <v>#DIV/0!</v>
      </c>
    </row>
    <row r="26" spans="1:70" x14ac:dyDescent="0.25">
      <c r="A26" s="40" t="s">
        <v>24</v>
      </c>
      <c r="B26" s="119" t="e">
        <f>1/(1+EXP(-3.1416*4*((B10/(B10+C9))-(3.1416/6))))</f>
        <v>#DIV/0!</v>
      </c>
      <c r="C26" s="120" t="e">
        <f>1/(1+EXP(-3.1416*4*((C10/(C10+B9))-(3.1416/6))))</f>
        <v>#DIV/0!</v>
      </c>
      <c r="D26" s="153">
        <f>IF(B17="AOW", 0.257+0.04, IF(B17="AIM", 0.257-0.04, IF(B17="TL",(0.257)-(0.257*B32),0.257)))</f>
        <v>0.25700000000000001</v>
      </c>
      <c r="E26" s="153">
        <f>IF(C17="AOW", 0.257+0.04, IF(C17="AIM", 0.257-0.04, IF(C17="TL",(0.257)-(0.257*C32),0.257)))</f>
        <v>0.25700000000000001</v>
      </c>
      <c r="G26" s="87">
        <v>2</v>
      </c>
      <c r="H26" s="128" t="e">
        <f>L24*J26+J25*L25+J24*L26</f>
        <v>#DIV/0!</v>
      </c>
      <c r="I26" s="93">
        <v>2</v>
      </c>
      <c r="J26" s="86" t="e">
        <f t="shared" si="10"/>
        <v>#DIV/0!</v>
      </c>
      <c r="K26" s="93">
        <v>2</v>
      </c>
      <c r="L26" s="86" t="e">
        <f>U20</f>
        <v>#DIV/0!</v>
      </c>
      <c r="M26" s="85">
        <v>2</v>
      </c>
      <c r="N26" s="71" t="e">
        <f>(($B$24)^M26)*((1-($B$24))^($B$21-M26))*HLOOKUP($B$21,$AV$24:$BF$34,M26+1)</f>
        <v>#DIV/0!</v>
      </c>
      <c r="O26" s="72">
        <v>2</v>
      </c>
      <c r="P26" s="71" t="e">
        <f t="shared" si="12"/>
        <v>#DIV/0!</v>
      </c>
      <c r="Q26" s="28">
        <v>2</v>
      </c>
      <c r="R26" s="37" t="e">
        <f>P24*N26+P25*N25+P26*N24</f>
        <v>#DIV/0!</v>
      </c>
      <c r="S26" s="72">
        <v>2</v>
      </c>
      <c r="T26" s="135" t="e">
        <f t="shared" si="13"/>
        <v>#DIV/0!</v>
      </c>
      <c r="U26" s="93">
        <v>2</v>
      </c>
      <c r="V26" s="86" t="e">
        <f>R26*T24+T25*R25+R24*T26</f>
        <v>#DIV/0!</v>
      </c>
      <c r="W26" s="137"/>
      <c r="X26" s="28">
        <v>2</v>
      </c>
      <c r="Y26" s="73"/>
      <c r="Z26" s="28">
        <v>2</v>
      </c>
      <c r="AA26" s="79"/>
      <c r="AB26" s="28">
        <v>2</v>
      </c>
      <c r="AC26" s="79" t="e">
        <f>((($W$24)^M26)*((1-($W$24))^($U$26-M26))*HLOOKUP($U$26,$AV$24:$BF$34,M26+1))*V26</f>
        <v>#DIV/0!</v>
      </c>
      <c r="AD26" s="28">
        <v>2</v>
      </c>
      <c r="AE26" s="79" t="e">
        <f>((($W$24)^M26)*((1-($W$24))^($U$27-M26))*HLOOKUP($U$27,$AV$24:$BF$34,M26+1))*V27</f>
        <v>#DIV/0!</v>
      </c>
      <c r="AF26" s="28">
        <v>2</v>
      </c>
      <c r="AG26" s="79" t="e">
        <f>((($W$24)^M26)*((1-($W$24))^($U$28-M26))*HLOOKUP($U$28,$AV$24:$BF$34,M26+1))*V28</f>
        <v>#DIV/0!</v>
      </c>
      <c r="AH26" s="28">
        <v>2</v>
      </c>
      <c r="AI26" s="79" t="e">
        <f>((($W$24)^M26)*((1-($W$24))^($U$29-M26))*HLOOKUP($U$29,$AV$24:$BF$34,M26+1))*V29</f>
        <v>#DIV/0!</v>
      </c>
      <c r="AJ26" s="28">
        <v>2</v>
      </c>
      <c r="AK26" s="79" t="e">
        <f>((($W$24)^M26)*((1-($W$24))^($U$30-M26))*HLOOKUP($U$30,$AV$24:$BF$34,M26+1))*V30</f>
        <v>#DIV/0!</v>
      </c>
      <c r="AL26" s="28">
        <v>2</v>
      </c>
      <c r="AM26" s="79" t="e">
        <f>((($W$24)^Q26)*((1-($W$24))^($U$31-Q26))*HLOOKUP($U$31,$AV$24:$BF$34,Q26+1))*V31</f>
        <v>#DIV/0!</v>
      </c>
      <c r="AN26" s="28">
        <v>2</v>
      </c>
      <c r="AO26" s="79" t="e">
        <f>((($W$24)^Q26)*((1-($W$24))^($U$32-Q26))*HLOOKUP($U$32,$AV$24:$BF$34,Q26+1))*V32</f>
        <v>#DIV/0!</v>
      </c>
      <c r="AP26" s="28">
        <v>2</v>
      </c>
      <c r="AQ26" s="79" t="e">
        <f>((($W$24)^Q26)*((1-($W$24))^($U$33-Q26))*HLOOKUP($U$33,$AV$24:$BF$34,Q26+1))*V33</f>
        <v>#DIV/0!</v>
      </c>
      <c r="AR26" s="28">
        <v>2</v>
      </c>
      <c r="AS26" s="79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107" t="e">
        <f t="shared" si="9"/>
        <v>#DIV/0!</v>
      </c>
      <c r="BP26">
        <f>BP20+1</f>
        <v>7</v>
      </c>
      <c r="BQ26">
        <v>2</v>
      </c>
      <c r="BR26" s="107" t="e">
        <f t="shared" si="11"/>
        <v>#DIV/0!</v>
      </c>
    </row>
    <row r="27" spans="1:70" x14ac:dyDescent="0.25">
      <c r="A27" s="26" t="s">
        <v>25</v>
      </c>
      <c r="B27" s="119" t="e">
        <f>1/(1+EXP(-3.1416*4*((B12/(B12+C7))-(3.1416/6))))</f>
        <v>#DIV/0!</v>
      </c>
      <c r="C27" s="120" t="e">
        <f>1/(1+EXP(-3.1416*4*((C12/(C12+B7))-(3.1416/6))))</f>
        <v>#DIV/0!</v>
      </c>
      <c r="D27" s="153">
        <f>D26</f>
        <v>0.25700000000000001</v>
      </c>
      <c r="E27" s="153">
        <f>E26</f>
        <v>0.25700000000000001</v>
      </c>
      <c r="G27" s="87">
        <v>3</v>
      </c>
      <c r="H27" s="128" t="e">
        <f>J27*L24+J26*L25+L27*J24+L26*J25</f>
        <v>#DIV/0!</v>
      </c>
      <c r="I27" s="93">
        <v>3</v>
      </c>
      <c r="J27" s="86" t="e">
        <f t="shared" si="10"/>
        <v>#DIV/0!</v>
      </c>
      <c r="K27" s="93">
        <v>3</v>
      </c>
      <c r="L27" s="86" t="e">
        <f>V20</f>
        <v>#DIV/0!</v>
      </c>
      <c r="M27" s="85">
        <v>3</v>
      </c>
      <c r="N27" s="71" t="e">
        <f>(($B$24)^M27)*((1-($B$24))^($B$21-M27))*HLOOKUP($B$21,$AV$24:$BF$34,M27+1)</f>
        <v>#DIV/0!</v>
      </c>
      <c r="O27" s="72">
        <v>3</v>
      </c>
      <c r="P27" s="71" t="e">
        <f t="shared" si="12"/>
        <v>#DIV/0!</v>
      </c>
      <c r="Q27" s="28">
        <v>3</v>
      </c>
      <c r="R27" s="37" t="e">
        <f>P24*N27+P25*N26+P26*N25+P27*N24</f>
        <v>#DIV/0!</v>
      </c>
      <c r="S27" s="72">
        <v>3</v>
      </c>
      <c r="T27" s="135" t="e">
        <f t="shared" si="13"/>
        <v>#DIV/0!</v>
      </c>
      <c r="U27" s="93">
        <v>3</v>
      </c>
      <c r="V27" s="86" t="e">
        <f>R27*T24+R26*T25+R25*T26+R24*T27</f>
        <v>#DIV/0!</v>
      </c>
      <c r="W27" s="137"/>
      <c r="X27" s="28">
        <v>3</v>
      </c>
      <c r="Y27" s="73"/>
      <c r="Z27" s="28">
        <v>3</v>
      </c>
      <c r="AA27" s="79"/>
      <c r="AB27" s="28">
        <v>3</v>
      </c>
      <c r="AC27" s="79"/>
      <c r="AD27" s="28">
        <v>3</v>
      </c>
      <c r="AE27" s="79" t="e">
        <f>((($W$24)^M27)*((1-($W$24))^($U$27-M27))*HLOOKUP($U$27,$AV$24:$BF$34,M27+1))*V27</f>
        <v>#DIV/0!</v>
      </c>
      <c r="AF27" s="28">
        <v>3</v>
      </c>
      <c r="AG27" s="79" t="e">
        <f>((($W$24)^M27)*((1-($W$24))^($U$28-M27))*HLOOKUP($U$28,$AV$24:$BF$34,M27+1))*V28</f>
        <v>#DIV/0!</v>
      </c>
      <c r="AH27" s="28">
        <v>3</v>
      </c>
      <c r="AI27" s="79" t="e">
        <f>((($W$24)^M27)*((1-($W$24))^($U$29-M27))*HLOOKUP($U$29,$AV$24:$BF$34,M27+1))*V29</f>
        <v>#DIV/0!</v>
      </c>
      <c r="AJ27" s="28">
        <v>3</v>
      </c>
      <c r="AK27" s="79" t="e">
        <f>((($W$24)^M27)*((1-($W$24))^($U$30-M27))*HLOOKUP($U$30,$AV$24:$BF$34,M27+1))*V30</f>
        <v>#DIV/0!</v>
      </c>
      <c r="AL27" s="28">
        <v>3</v>
      </c>
      <c r="AM27" s="79" t="e">
        <f>((($W$24)^Q27)*((1-($W$24))^($U$31-Q27))*HLOOKUP($U$31,$AV$24:$BF$34,Q27+1))*V31</f>
        <v>#DIV/0!</v>
      </c>
      <c r="AN27" s="28">
        <v>3</v>
      </c>
      <c r="AO27" s="79" t="e">
        <f>((($W$24)^Q27)*((1-($W$24))^($U$32-Q27))*HLOOKUP($U$32,$AV$24:$BF$34,Q27+1))*V32</f>
        <v>#DIV/0!</v>
      </c>
      <c r="AP27" s="28">
        <v>3</v>
      </c>
      <c r="AQ27" s="79" t="e">
        <f>((($W$24)^Q27)*((1-($W$24))^($U$33-Q27))*HLOOKUP($U$33,$AV$24:$BF$34,Q27+1))*V33</f>
        <v>#DIV/0!</v>
      </c>
      <c r="AR27" s="28">
        <v>3</v>
      </c>
      <c r="AS27" s="79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107" t="e">
        <f t="shared" si="9"/>
        <v>#DIV/0!</v>
      </c>
      <c r="BP27">
        <f>BP21+1</f>
        <v>7</v>
      </c>
      <c r="BQ27">
        <v>3</v>
      </c>
      <c r="BR27" s="107" t="e">
        <f t="shared" si="11"/>
        <v>#DIV/0!</v>
      </c>
    </row>
    <row r="28" spans="1:70" x14ac:dyDescent="0.25">
      <c r="A28" s="26" t="s">
        <v>26</v>
      </c>
      <c r="B28" s="121">
        <v>0.9</v>
      </c>
      <c r="C28" s="122">
        <v>0.9</v>
      </c>
      <c r="D28" s="153">
        <v>8.5000000000000006E-2</v>
      </c>
      <c r="E28" s="153">
        <v>8.5000000000000006E-2</v>
      </c>
      <c r="G28" s="87">
        <v>4</v>
      </c>
      <c r="H28" s="128" t="e">
        <f>J28*L24+J27*L25+J26*L26+J25*L27</f>
        <v>#DIV/0!</v>
      </c>
      <c r="I28" s="93">
        <v>4</v>
      </c>
      <c r="J28" s="86" t="e">
        <f t="shared" si="10"/>
        <v>#DIV/0!</v>
      </c>
      <c r="K28" s="93">
        <v>4</v>
      </c>
      <c r="L28" s="86"/>
      <c r="M28" s="85">
        <v>4</v>
      </c>
      <c r="N28" s="71" t="e">
        <f>(($B$24)^M28)*((1-($B$24))^($B$21-M28))*HLOOKUP($B$21,$AV$24:$BF$34,M28+1)</f>
        <v>#DIV/0!</v>
      </c>
      <c r="O28" s="72">
        <v>4</v>
      </c>
      <c r="P28" s="71" t="e">
        <f t="shared" si="12"/>
        <v>#DIV/0!</v>
      </c>
      <c r="Q28" s="28">
        <v>4</v>
      </c>
      <c r="R28" s="37" t="e">
        <f>P24*N28+P25*N27+P26*N26+P27*N25+P28*N24</f>
        <v>#DIV/0!</v>
      </c>
      <c r="S28" s="72">
        <v>4</v>
      </c>
      <c r="T28" s="135" t="e">
        <f t="shared" si="13"/>
        <v>#DIV/0!</v>
      </c>
      <c r="U28" s="93">
        <v>4</v>
      </c>
      <c r="V28" s="86" t="e">
        <f>T28*R24+T27*R25+T26*R26+T25*R27+T24*R28</f>
        <v>#DIV/0!</v>
      </c>
      <c r="W28" s="137"/>
      <c r="X28" s="28">
        <v>4</v>
      </c>
      <c r="Y28" s="73"/>
      <c r="Z28" s="28">
        <v>4</v>
      </c>
      <c r="AA28" s="79"/>
      <c r="AB28" s="28">
        <v>4</v>
      </c>
      <c r="AC28" s="79"/>
      <c r="AD28" s="28">
        <v>4</v>
      </c>
      <c r="AE28" s="79"/>
      <c r="AF28" s="28">
        <v>4</v>
      </c>
      <c r="AG28" s="79" t="e">
        <f>((($W$24)^M28)*((1-($W$24))^($U$28-M28))*HLOOKUP($U$28,$AV$24:$BF$34,M28+1))*V28</f>
        <v>#DIV/0!</v>
      </c>
      <c r="AH28" s="28">
        <v>4</v>
      </c>
      <c r="AI28" s="79" t="e">
        <f>((($W$24)^M28)*((1-($W$24))^($U$29-M28))*HLOOKUP($U$29,$AV$24:$BF$34,M28+1))*V29</f>
        <v>#DIV/0!</v>
      </c>
      <c r="AJ28" s="28">
        <v>4</v>
      </c>
      <c r="AK28" s="79" t="e">
        <f>((($W$24)^M28)*((1-($W$24))^($U$30-M28))*HLOOKUP($U$30,$AV$24:$BF$34,M28+1))*V30</f>
        <v>#DIV/0!</v>
      </c>
      <c r="AL28" s="28">
        <v>4</v>
      </c>
      <c r="AM28" s="79" t="e">
        <f>((($W$24)^Q28)*((1-($W$24))^($U$31-Q28))*HLOOKUP($U$31,$AV$24:$BF$34,Q28+1))*V31</f>
        <v>#DIV/0!</v>
      </c>
      <c r="AN28" s="28">
        <v>4</v>
      </c>
      <c r="AO28" s="79" t="e">
        <f>((($W$24)^Q28)*((1-($W$24))^($U$32-Q28))*HLOOKUP($U$32,$AV$24:$BF$34,Q28+1))*V32</f>
        <v>#DIV/0!</v>
      </c>
      <c r="AP28" s="28">
        <v>4</v>
      </c>
      <c r="AQ28" s="79" t="e">
        <f>((($W$24)^Q28)*((1-($W$24))^($U$33-Q28))*HLOOKUP($U$33,$AV$24:$BF$34,Q28+1))*V33</f>
        <v>#DIV/0!</v>
      </c>
      <c r="AR28" s="28">
        <v>4</v>
      </c>
      <c r="AS28" s="79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>BE27+BE28</f>
        <v>210</v>
      </c>
      <c r="BH28">
        <f t="shared" si="8"/>
        <v>2</v>
      </c>
      <c r="BI28">
        <v>8</v>
      </c>
      <c r="BJ28" s="107" t="e">
        <f t="shared" si="9"/>
        <v>#DIV/0!</v>
      </c>
      <c r="BP28">
        <f>BP22+1</f>
        <v>7</v>
      </c>
      <c r="BQ28">
        <v>4</v>
      </c>
      <c r="BR28" s="107" t="e">
        <f t="shared" si="11"/>
        <v>#DIV/0!</v>
      </c>
    </row>
    <row r="29" spans="1:70" x14ac:dyDescent="0.25">
      <c r="A29" s="26" t="s">
        <v>27</v>
      </c>
      <c r="B29" s="123">
        <f>1/(1+EXP(-3.1416*4*((B14/(B14+C13))-(3.1416/6))))</f>
        <v>0.20010231099857245</v>
      </c>
      <c r="C29" s="118">
        <f>1/(1+EXP(-3.1416*4*((C14/(C14+B13))-(3.1416/6))))</f>
        <v>0.575891899079775</v>
      </c>
      <c r="D29" s="153">
        <v>0.04</v>
      </c>
      <c r="E29" s="153">
        <v>0.04</v>
      </c>
      <c r="G29" s="87">
        <v>5</v>
      </c>
      <c r="H29" s="128" t="e">
        <f>J29*L24+J28*L25+J27*L26+J26*L27</f>
        <v>#DIV/0!</v>
      </c>
      <c r="I29" s="93">
        <v>5</v>
      </c>
      <c r="J29" s="86" t="e">
        <f t="shared" si="10"/>
        <v>#DIV/0!</v>
      </c>
      <c r="K29" s="93">
        <v>5</v>
      </c>
      <c r="L29" s="86"/>
      <c r="M29" s="85">
        <v>5</v>
      </c>
      <c r="N29" s="71" t="e">
        <f>(($B$24)^M29)*((1-($B$24))^($B$21-M29))*HLOOKUP($B$21,$AV$24:$BF$34,M29+1)</f>
        <v>#DIV/0!</v>
      </c>
      <c r="O29" s="72">
        <v>5</v>
      </c>
      <c r="P29" s="71" t="e">
        <f t="shared" si="12"/>
        <v>#DIV/0!</v>
      </c>
      <c r="Q29" s="28">
        <v>5</v>
      </c>
      <c r="R29" s="37" t="e">
        <f>P24*N29+P25*N28+P26*N27+P27*N26+P28*N25+P29*N24</f>
        <v>#DIV/0!</v>
      </c>
      <c r="S29" s="72">
        <v>5</v>
      </c>
      <c r="T29" s="135" t="e">
        <f t="shared" si="13"/>
        <v>#DIV/0!</v>
      </c>
      <c r="U29" s="93">
        <v>5</v>
      </c>
      <c r="V29" s="86" t="e">
        <f>T29*R24+T28*R25+T27*R26+T26*R27+T25*R28+T24*R29</f>
        <v>#DIV/0!</v>
      </c>
      <c r="W29" s="137"/>
      <c r="X29" s="28">
        <v>5</v>
      </c>
      <c r="Y29" s="73"/>
      <c r="Z29" s="28">
        <v>5</v>
      </c>
      <c r="AA29" s="79"/>
      <c r="AB29" s="28">
        <v>5</v>
      </c>
      <c r="AC29" s="79"/>
      <c r="AD29" s="28">
        <v>5</v>
      </c>
      <c r="AE29" s="79"/>
      <c r="AF29" s="28">
        <v>5</v>
      </c>
      <c r="AG29" s="79"/>
      <c r="AH29" s="28">
        <v>5</v>
      </c>
      <c r="AI29" s="79" t="e">
        <f>((($W$24)^M29)*((1-($W$24))^($U$29-M29))*HLOOKUP($U$29,$AV$24:$BF$34,M29+1))*V29</f>
        <v>#DIV/0!</v>
      </c>
      <c r="AJ29" s="28">
        <v>5</v>
      </c>
      <c r="AK29" s="79" t="e">
        <f>((($W$24)^M29)*((1-($W$24))^($U$30-M29))*HLOOKUP($U$30,$AV$24:$BF$34,M29+1))*V30</f>
        <v>#DIV/0!</v>
      </c>
      <c r="AL29" s="28">
        <v>5</v>
      </c>
      <c r="AM29" s="79" t="e">
        <f>((($W$24)^Q29)*((1-($W$24))^($U$31-Q29))*HLOOKUP($U$31,$AV$24:$BF$34,Q29+1))*V31</f>
        <v>#DIV/0!</v>
      </c>
      <c r="AN29" s="28">
        <v>5</v>
      </c>
      <c r="AO29" s="79" t="e">
        <f>((($W$24)^Q29)*((1-($W$24))^($U$32-Q29))*HLOOKUP($U$32,$AV$24:$BF$34,Q29+1))*V32</f>
        <v>#DIV/0!</v>
      </c>
      <c r="AP29" s="28">
        <v>5</v>
      </c>
      <c r="AQ29" s="79" t="e">
        <f>((($W$24)^Q29)*((1-($W$24))^($U$33-Q29))*HLOOKUP($U$33,$AV$24:$BF$34,Q29+1))*V33</f>
        <v>#DIV/0!</v>
      </c>
      <c r="AR29" s="28">
        <v>5</v>
      </c>
      <c r="AS29" s="79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ref="BF29:BF34" si="14">BE28+BE29</f>
        <v>252</v>
      </c>
      <c r="BH29">
        <f t="shared" si="8"/>
        <v>2</v>
      </c>
      <c r="BI29">
        <v>9</v>
      </c>
      <c r="BJ29" s="107" t="e">
        <f t="shared" si="9"/>
        <v>#DIV/0!</v>
      </c>
      <c r="BP29">
        <f>BP23+1</f>
        <v>7</v>
      </c>
      <c r="BQ29">
        <v>5</v>
      </c>
      <c r="BR29" s="107" t="e">
        <f t="shared" si="11"/>
        <v>#DIV/0!</v>
      </c>
    </row>
    <row r="30" spans="1:70" x14ac:dyDescent="0.25">
      <c r="A30" s="26" t="s">
        <v>136</v>
      </c>
      <c r="B30" s="121">
        <v>0.15</v>
      </c>
      <c r="C30" s="122">
        <v>0.15</v>
      </c>
      <c r="D30" s="153">
        <f>IF(B17="TL",0.875*B32,0.001)</f>
        <v>1E-3</v>
      </c>
      <c r="E30" s="153">
        <f>IF(C17="TL",0.875*C32,0.001)</f>
        <v>1E-3</v>
      </c>
      <c r="G30" s="87">
        <v>6</v>
      </c>
      <c r="H30" s="128" t="e">
        <f>J30*L24+J29*L25+J28*L26+J27*L27</f>
        <v>#DIV/0!</v>
      </c>
      <c r="I30" s="93">
        <v>6</v>
      </c>
      <c r="J30" s="86" t="e">
        <f t="shared" si="10"/>
        <v>#DIV/0!</v>
      </c>
      <c r="K30" s="93">
        <v>6</v>
      </c>
      <c r="L30" s="86"/>
      <c r="M30" s="85"/>
      <c r="N30" s="73"/>
      <c r="O30" s="37"/>
      <c r="P30" s="37"/>
      <c r="Q30" s="28">
        <v>6</v>
      </c>
      <c r="R30" s="37" t="e">
        <f>P25*N29+P26*N28+P27*N27+P28*N26+P29*N25</f>
        <v>#DIV/0!</v>
      </c>
      <c r="S30" s="70">
        <v>6</v>
      </c>
      <c r="T30" s="135" t="e">
        <f t="shared" si="13"/>
        <v>#DIV/0!</v>
      </c>
      <c r="U30" s="93">
        <v>6</v>
      </c>
      <c r="V30" s="86" t="e">
        <f>T30*R24+T29*R25+T28*R26+T27*R27+T26*R28+T25*R29+T24*R30</f>
        <v>#DIV/0!</v>
      </c>
      <c r="W30" s="137"/>
      <c r="X30" s="28">
        <v>6</v>
      </c>
      <c r="Y30" s="73"/>
      <c r="Z30" s="28">
        <v>6</v>
      </c>
      <c r="AA30" s="79"/>
      <c r="AB30" s="28">
        <v>6</v>
      </c>
      <c r="AC30" s="79"/>
      <c r="AD30" s="28">
        <v>6</v>
      </c>
      <c r="AE30" s="79"/>
      <c r="AF30" s="28">
        <v>6</v>
      </c>
      <c r="AG30" s="79"/>
      <c r="AH30" s="28">
        <v>6</v>
      </c>
      <c r="AI30" s="79"/>
      <c r="AJ30" s="28">
        <v>6</v>
      </c>
      <c r="AK30" s="79" t="e">
        <f>((($W$24)^Q30)*((1-($W$24))^($U$30-Q30))*HLOOKUP($U$30,$AV$24:$BF$34,Q30+1))*V30</f>
        <v>#DIV/0!</v>
      </c>
      <c r="AL30" s="28">
        <v>6</v>
      </c>
      <c r="AM30" s="79" t="e">
        <f>((($W$24)^Q30)*((1-($W$24))^($U$31-Q30))*HLOOKUP($U$31,$AV$24:$BF$34,Q30+1))*V31</f>
        <v>#DIV/0!</v>
      </c>
      <c r="AN30" s="28">
        <v>6</v>
      </c>
      <c r="AO30" s="79" t="e">
        <f>((($W$24)^Q30)*((1-($W$24))^($U$32-Q30))*HLOOKUP($U$32,$AV$24:$BF$34,Q30+1))*V32</f>
        <v>#DIV/0!</v>
      </c>
      <c r="AP30" s="28">
        <v>6</v>
      </c>
      <c r="AQ30" s="79" t="e">
        <f>((($W$24)^Q30)*((1-($W$24))^($U$33-Q30))*HLOOKUP($U$33,$AV$24:$BF$34,Q30+1))*V33</f>
        <v>#DIV/0!</v>
      </c>
      <c r="AR30" s="28">
        <v>6</v>
      </c>
      <c r="AS30" s="79" t="e">
        <f>((($W$24)^Q30)*((1-($W$24))^($U$34-Q30))*HLOOKUP($U$34,$AV$24:$BF$34,Q30+1))*V34</f>
        <v>#DIV/0!</v>
      </c>
      <c r="AV30" s="29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107" t="e">
        <f t="shared" si="9"/>
        <v>#DIV/0!</v>
      </c>
      <c r="BP30">
        <f>BL10+1</f>
        <v>7</v>
      </c>
      <c r="BQ30">
        <v>6</v>
      </c>
      <c r="BR30" s="107" t="e">
        <f t="shared" si="11"/>
        <v>#DIV/0!</v>
      </c>
    </row>
    <row r="31" spans="1:70" x14ac:dyDescent="0.25">
      <c r="A31" s="51" t="s">
        <v>68</v>
      </c>
      <c r="B31" s="60" t="e">
        <f>(B25*D25)+(B26*D26)+(B27*D27)+(B28*D28)+(B29*D29)+(B30*D30)/(B25+B26+B27+B28+B29+B30)</f>
        <v>#DIV/0!</v>
      </c>
      <c r="C31" s="61" t="e">
        <f>(C25*E25)+(C26*E26)+(C27*E27)+(C28*E28)+(C29*E29)+(C30*E30)/(C25+C26+C27+C28+C29+C30)</f>
        <v>#DIV/0!</v>
      </c>
      <c r="G31" s="87">
        <v>7</v>
      </c>
      <c r="H31" s="128" t="e">
        <f>J31*L24+J30*L25+J29*L26+J28*L27</f>
        <v>#DIV/0!</v>
      </c>
      <c r="I31" s="93">
        <v>7</v>
      </c>
      <c r="J31" s="86" t="e">
        <f t="shared" si="10"/>
        <v>#DIV/0!</v>
      </c>
      <c r="K31" s="93">
        <v>7</v>
      </c>
      <c r="L31" s="86"/>
      <c r="M31" s="85"/>
      <c r="N31" s="73"/>
      <c r="O31" s="37"/>
      <c r="P31" s="37"/>
      <c r="Q31" s="28">
        <v>7</v>
      </c>
      <c r="R31" s="37" t="e">
        <f>P26*N29+P27*N28+P28*N27+P29*N26</f>
        <v>#DIV/0!</v>
      </c>
      <c r="S31" s="72">
        <v>7</v>
      </c>
      <c r="T31" s="135" t="e">
        <f t="shared" si="13"/>
        <v>#DIV/0!</v>
      </c>
      <c r="U31" s="93">
        <v>7</v>
      </c>
      <c r="V31" s="86" t="e">
        <f>T31*R24+T30*R25+T29*R26+T28*R27+T27*R28+T26*R29+T25*R30+T24*R31</f>
        <v>#DIV/0!</v>
      </c>
      <c r="W31" s="137"/>
      <c r="X31" s="28">
        <v>7</v>
      </c>
      <c r="Y31" s="73"/>
      <c r="Z31" s="28">
        <v>7</v>
      </c>
      <c r="AA31" s="79"/>
      <c r="AB31" s="28">
        <v>7</v>
      </c>
      <c r="AC31" s="79"/>
      <c r="AD31" s="28">
        <v>7</v>
      </c>
      <c r="AE31" s="79"/>
      <c r="AF31" s="28">
        <v>7</v>
      </c>
      <c r="AG31" s="79"/>
      <c r="AH31" s="28">
        <v>7</v>
      </c>
      <c r="AI31" s="79"/>
      <c r="AJ31" s="28">
        <v>7</v>
      </c>
      <c r="AK31" s="79"/>
      <c r="AL31" s="28">
        <v>7</v>
      </c>
      <c r="AM31" s="79" t="e">
        <f>((($W$24)^Q31)*((1-($W$24))^($U$31-Q31))*HLOOKUP($U$31,$AV$24:$BF$34,Q31+1))*V31</f>
        <v>#DIV/0!</v>
      </c>
      <c r="AN31" s="28">
        <v>7</v>
      </c>
      <c r="AO31" s="79" t="e">
        <f>((($W$24)^Q31)*((1-($W$24))^($U$32-Q31))*HLOOKUP($U$32,$AV$24:$BF$34,Q31+1))*V32</f>
        <v>#DIV/0!</v>
      </c>
      <c r="AP31" s="28">
        <v>7</v>
      </c>
      <c r="AQ31" s="79" t="e">
        <f>((($W$24)^Q31)*((1-($W$24))^($U$33-Q31))*HLOOKUP($U$33,$AV$24:$BF$34,Q31+1))*V33</f>
        <v>#DIV/0!</v>
      </c>
      <c r="AR31" s="28">
        <v>7</v>
      </c>
      <c r="AS31" s="79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107" t="e">
        <f t="shared" ref="BJ31:BJ37" si="16">$H$27*H42</f>
        <v>#DIV/0!</v>
      </c>
      <c r="BP31">
        <f t="shared" ref="BP31:BP37" si="17">BP24+1</f>
        <v>8</v>
      </c>
      <c r="BQ31">
        <v>0</v>
      </c>
      <c r="BR31" s="107" t="e">
        <f t="shared" ref="BR31:BR38" si="18">$H$32*H38</f>
        <v>#DIV/0!</v>
      </c>
    </row>
    <row r="32" spans="1:70" x14ac:dyDescent="0.25">
      <c r="A32" s="26" t="s">
        <v>137</v>
      </c>
      <c r="B32" s="75">
        <f>IF(B17&lt;&gt;"TL",0.001,IF(B18&lt;5,0.1,IF(B18&lt;10,0.2,IF(B18&lt;14,0.3,0.35))))</f>
        <v>1E-3</v>
      </c>
      <c r="C32" s="58">
        <f>IF(C17&lt;&gt;"TL",0.001,IF(C18&lt;5,0.1,IF(C18&lt;10,0.2,IF(C18&lt;14,0.3,0.35))))</f>
        <v>1E-3</v>
      </c>
      <c r="G32" s="87">
        <v>8</v>
      </c>
      <c r="H32" s="128" t="e">
        <f>J32*L24+J31*L25+J30*L26+J29*L27</f>
        <v>#DIV/0!</v>
      </c>
      <c r="I32" s="93">
        <v>8</v>
      </c>
      <c r="J32" s="86" t="e">
        <f t="shared" si="10"/>
        <v>#DIV/0!</v>
      </c>
      <c r="K32" s="93">
        <v>8</v>
      </c>
      <c r="L32" s="86"/>
      <c r="M32" s="85"/>
      <c r="N32" s="73"/>
      <c r="O32" s="37"/>
      <c r="P32" s="37"/>
      <c r="Q32" s="28">
        <v>8</v>
      </c>
      <c r="R32" s="37" t="e">
        <f>P27*N29+P28*N28+P29*N27</f>
        <v>#DIV/0!</v>
      </c>
      <c r="S32" s="72">
        <v>8</v>
      </c>
      <c r="T32" s="135" t="e">
        <f t="shared" si="13"/>
        <v>#DIV/0!</v>
      </c>
      <c r="U32" s="93">
        <v>8</v>
      </c>
      <c r="V32" s="86" t="e">
        <f>T32*R24+T31*R25+T30*R26+T29*R27+T28*R28+T27*R29+T26*R30+T25*R31+T24*R32</f>
        <v>#DIV/0!</v>
      </c>
      <c r="W32" s="137"/>
      <c r="X32" s="28">
        <v>8</v>
      </c>
      <c r="Y32" s="73"/>
      <c r="Z32" s="28">
        <v>8</v>
      </c>
      <c r="AA32" s="79"/>
      <c r="AB32" s="28">
        <v>8</v>
      </c>
      <c r="AC32" s="79"/>
      <c r="AD32" s="28">
        <v>8</v>
      </c>
      <c r="AE32" s="79"/>
      <c r="AF32" s="28">
        <v>8</v>
      </c>
      <c r="AG32" s="79"/>
      <c r="AH32" s="28">
        <v>8</v>
      </c>
      <c r="AI32" s="79"/>
      <c r="AJ32" s="28">
        <v>8</v>
      </c>
      <c r="AK32" s="79"/>
      <c r="AL32" s="28">
        <v>8</v>
      </c>
      <c r="AM32" s="79"/>
      <c r="AN32" s="28">
        <v>8</v>
      </c>
      <c r="AO32" s="79" t="e">
        <f>((($W$24)^Q32)*((1-($W$24))^($U$32-Q32))*HLOOKUP($U$32,$AV$24:$BF$34,Q32+1))*V32</f>
        <v>#DIV/0!</v>
      </c>
      <c r="AP32" s="28">
        <v>8</v>
      </c>
      <c r="AQ32" s="79" t="e">
        <f>((($W$24)^Q32)*((1-($W$24))^($U$33-Q32))*HLOOKUP($U$33,$AV$24:$BF$34,Q32+1))*V33</f>
        <v>#DIV/0!</v>
      </c>
      <c r="AR32" s="28">
        <v>8</v>
      </c>
      <c r="AS32" s="79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107" t="e">
        <f t="shared" si="16"/>
        <v>#DIV/0!</v>
      </c>
      <c r="BP32">
        <f t="shared" si="17"/>
        <v>8</v>
      </c>
      <c r="BQ32">
        <v>1</v>
      </c>
      <c r="BR32" s="107" t="e">
        <f t="shared" si="18"/>
        <v>#DIV/0!</v>
      </c>
    </row>
    <row r="33" spans="1:70" x14ac:dyDescent="0.25">
      <c r="A33" s="26" t="s">
        <v>84</v>
      </c>
      <c r="B33" s="75">
        <f>IF(B17&lt;&gt;"CA",0.005,IF((B18-B16)&lt;0,0.1,0.1+0.055*(B18-B16)))</f>
        <v>5.0000000000000001E-3</v>
      </c>
      <c r="C33" s="58">
        <f>IF(C17&lt;&gt;"CA",0.005,IF((C18-C16)&lt;0,0.1,0.1+0.055*(C18-C16)))</f>
        <v>5.0000000000000001E-3</v>
      </c>
      <c r="G33" s="87">
        <v>9</v>
      </c>
      <c r="H33" s="128" t="e">
        <f>J33*L24+J32*L25+J31*L26+J30*L27</f>
        <v>#DIV/0!</v>
      </c>
      <c r="I33" s="93">
        <v>9</v>
      </c>
      <c r="J33" s="86" t="e">
        <f t="shared" si="10"/>
        <v>#DIV/0!</v>
      </c>
      <c r="K33" s="93">
        <v>9</v>
      </c>
      <c r="L33" s="86"/>
      <c r="M33" s="85"/>
      <c r="N33" s="73"/>
      <c r="O33" s="37"/>
      <c r="P33" s="37"/>
      <c r="Q33" s="28">
        <v>9</v>
      </c>
      <c r="R33" s="37" t="e">
        <f>P28*N29+P29*N28</f>
        <v>#DIV/0!</v>
      </c>
      <c r="S33" s="72">
        <v>9</v>
      </c>
      <c r="T33" s="135" t="e">
        <f t="shared" si="13"/>
        <v>#DIV/0!</v>
      </c>
      <c r="U33" s="93">
        <v>9</v>
      </c>
      <c r="V33" s="86" t="e">
        <f>T33*R24+T32*R25+T31*R26+T30*R27+T29*R28+T28*R29+T27*R30+T26*R31+T25*R32+T24*R33</f>
        <v>#DIV/0!</v>
      </c>
      <c r="W33" s="137"/>
      <c r="X33" s="28">
        <v>9</v>
      </c>
      <c r="Y33" s="73"/>
      <c r="Z33" s="28">
        <v>9</v>
      </c>
      <c r="AA33" s="79"/>
      <c r="AB33" s="28">
        <v>9</v>
      </c>
      <c r="AC33" s="79"/>
      <c r="AD33" s="28">
        <v>9</v>
      </c>
      <c r="AE33" s="79"/>
      <c r="AF33" s="28">
        <v>9</v>
      </c>
      <c r="AG33" s="79"/>
      <c r="AH33" s="28">
        <v>9</v>
      </c>
      <c r="AI33" s="79"/>
      <c r="AJ33" s="28">
        <v>9</v>
      </c>
      <c r="AK33" s="79"/>
      <c r="AL33" s="28">
        <v>9</v>
      </c>
      <c r="AM33" s="79"/>
      <c r="AN33" s="28">
        <v>9</v>
      </c>
      <c r="AO33" s="79"/>
      <c r="AP33" s="28">
        <v>9</v>
      </c>
      <c r="AQ33" s="79" t="e">
        <f>((($W$24)^Q33)*((1-($W$24))^($U$33-Q33))*HLOOKUP($U$33,$AV$24:$BF$34,Q33+1))*V33</f>
        <v>#DIV/0!</v>
      </c>
      <c r="AR33" s="28">
        <v>9</v>
      </c>
      <c r="AS33" s="79" t="e">
        <f>((($W$24)^Q33)*((1-($W$24))^($U$34-Q33))*HLOOKUP($U$34,$AV$24:$BF$34,Q33+1))*V34</f>
        <v>#DIV/0!</v>
      </c>
      <c r="AV33" s="29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107" t="e">
        <f t="shared" si="16"/>
        <v>#DIV/0!</v>
      </c>
      <c r="BP33">
        <f t="shared" si="17"/>
        <v>8</v>
      </c>
      <c r="BQ33">
        <v>2</v>
      </c>
      <c r="BR33" s="107" t="e">
        <f t="shared" si="18"/>
        <v>#DIV/0!</v>
      </c>
    </row>
    <row r="34" spans="1:70" ht="15.75" thickBot="1" x14ac:dyDescent="0.3">
      <c r="A34" s="40" t="s">
        <v>86</v>
      </c>
      <c r="B34" s="56" t="e">
        <f>B23*2</f>
        <v>#DIV/0!</v>
      </c>
      <c r="C34" s="57" t="e">
        <f>C23*2</f>
        <v>#DIV/0!</v>
      </c>
      <c r="G34" s="88">
        <v>10</v>
      </c>
      <c r="H34" s="129" t="e">
        <f>J34*L24+J33*L25+J32*L26+J31*L27</f>
        <v>#DIV/0!</v>
      </c>
      <c r="I34" s="94">
        <v>10</v>
      </c>
      <c r="J34" s="89" t="e">
        <f t="shared" si="10"/>
        <v>#DIV/0!</v>
      </c>
      <c r="K34" s="94">
        <v>10</v>
      </c>
      <c r="L34" s="89"/>
      <c r="M34" s="85"/>
      <c r="N34" s="73"/>
      <c r="O34" s="37"/>
      <c r="P34" s="37"/>
      <c r="Q34" s="28">
        <v>10</v>
      </c>
      <c r="R34" s="37" t="e">
        <f>P29*N29</f>
        <v>#DIV/0!</v>
      </c>
      <c r="S34" s="72">
        <v>10</v>
      </c>
      <c r="T34" s="135" t="e">
        <f t="shared" si="13"/>
        <v>#DIV/0!</v>
      </c>
      <c r="U34" s="94">
        <v>10</v>
      </c>
      <c r="V34" s="89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37"/>
      <c r="X34" s="28">
        <v>10</v>
      </c>
      <c r="Y34" s="73"/>
      <c r="Z34" s="28">
        <v>10</v>
      </c>
      <c r="AA34" s="79"/>
      <c r="AB34" s="28">
        <v>10</v>
      </c>
      <c r="AC34" s="79"/>
      <c r="AD34" s="28">
        <v>10</v>
      </c>
      <c r="AE34" s="79"/>
      <c r="AF34" s="28">
        <v>10</v>
      </c>
      <c r="AG34" s="79"/>
      <c r="AH34" s="28">
        <v>10</v>
      </c>
      <c r="AI34" s="79"/>
      <c r="AJ34" s="28">
        <v>10</v>
      </c>
      <c r="AK34" s="79"/>
      <c r="AL34" s="28">
        <v>10</v>
      </c>
      <c r="AM34" s="79"/>
      <c r="AN34" s="28">
        <v>10</v>
      </c>
      <c r="AO34" s="79"/>
      <c r="AP34" s="28">
        <v>10</v>
      </c>
      <c r="AQ34" s="79"/>
      <c r="AR34" s="28">
        <v>10</v>
      </c>
      <c r="AS34" s="79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107" t="e">
        <f t="shared" si="16"/>
        <v>#DIV/0!</v>
      </c>
      <c r="BP34">
        <f t="shared" si="17"/>
        <v>8</v>
      </c>
      <c r="BQ34">
        <v>3</v>
      </c>
      <c r="BR34" s="107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9" t="e">
        <f>SUM(V38:V48)</f>
        <v>#DIV/0!</v>
      </c>
      <c r="W35" s="13"/>
      <c r="X35" s="13"/>
      <c r="AS35" s="82" t="e">
        <f>Y36+AA36+AC36+AE36+AG36+AI36+AK36+AM36+AO36+AQ36+AS36</f>
        <v>#DIV/0!</v>
      </c>
      <c r="BH35">
        <f t="shared" si="15"/>
        <v>3</v>
      </c>
      <c r="BI35">
        <v>8</v>
      </c>
      <c r="BJ35" s="107" t="e">
        <f t="shared" si="16"/>
        <v>#DIV/0!</v>
      </c>
      <c r="BP35">
        <f t="shared" si="17"/>
        <v>8</v>
      </c>
      <c r="BQ35">
        <v>4</v>
      </c>
      <c r="BR35" s="107" t="e">
        <f t="shared" si="18"/>
        <v>#DIV/0!</v>
      </c>
    </row>
    <row r="36" spans="1:70" ht="15.75" thickBot="1" x14ac:dyDescent="0.3">
      <c r="A36" s="1"/>
      <c r="B36" s="108" t="e">
        <f>SUM(B37:B39)</f>
        <v>#DIV/0!</v>
      </c>
      <c r="G36" s="13"/>
      <c r="H36" s="59" t="e">
        <f>SUM(H38:H48)</f>
        <v>#DIV/0!</v>
      </c>
      <c r="I36" s="13"/>
      <c r="J36" s="59" t="e">
        <f>SUM(J38:J48)</f>
        <v>#DIV/0!</v>
      </c>
      <c r="K36" s="59"/>
      <c r="L36" s="59" t="e">
        <f>SUM(L38:L48)</f>
        <v>#DIV/0!</v>
      </c>
      <c r="M36" s="13"/>
      <c r="N36" s="74" t="e">
        <f>SUM(N38:N48)</f>
        <v>#DIV/0!</v>
      </c>
      <c r="O36" s="13"/>
      <c r="P36" s="74" t="e">
        <f>SUM(P38:P48)</f>
        <v>#DIV/0!</v>
      </c>
      <c r="Q36" s="13"/>
      <c r="R36" s="59" t="e">
        <f>SUM(R38:R48)</f>
        <v>#DIV/0!</v>
      </c>
      <c r="S36" s="13"/>
      <c r="T36" s="59" t="e">
        <f>SUM(T38:T48)</f>
        <v>#DIV/0!</v>
      </c>
      <c r="U36" s="13"/>
      <c r="V36" s="59" t="e">
        <f>SUM(V38:V47)</f>
        <v>#DIV/0!</v>
      </c>
      <c r="W36" s="13"/>
      <c r="X36" s="13"/>
      <c r="Y36" s="80" t="e">
        <f>SUM(Y38:Y48)</f>
        <v>#DIV/0!</v>
      </c>
      <c r="Z36" s="81"/>
      <c r="AA36" s="80" t="e">
        <f>SUM(AA38:AA48)</f>
        <v>#DIV/0!</v>
      </c>
      <c r="AB36" s="81"/>
      <c r="AC36" s="80" t="e">
        <f>SUM(AC38:AC48)</f>
        <v>#DIV/0!</v>
      </c>
      <c r="AD36" s="81"/>
      <c r="AE36" s="80" t="e">
        <f>SUM(AE38:AE48)</f>
        <v>#DIV/0!</v>
      </c>
      <c r="AF36" s="81"/>
      <c r="AG36" s="80" t="e">
        <f>SUM(AG38:AG48)</f>
        <v>#DIV/0!</v>
      </c>
      <c r="AH36" s="81"/>
      <c r="AI36" s="80" t="e">
        <f>SUM(AI38:AI48)</f>
        <v>#DIV/0!</v>
      </c>
      <c r="AJ36" s="81"/>
      <c r="AK36" s="80" t="e">
        <f>SUM(AK38:AK48)</f>
        <v>#DIV/0!</v>
      </c>
      <c r="AL36" s="81"/>
      <c r="AM36" s="80" t="e">
        <f>SUM(AM38:AM48)</f>
        <v>#DIV/0!</v>
      </c>
      <c r="AN36" s="81"/>
      <c r="AO36" s="80" t="e">
        <f>SUM(AO38:AO48)</f>
        <v>#DIV/0!</v>
      </c>
      <c r="AP36" s="81"/>
      <c r="AQ36" s="80" t="e">
        <f>SUM(AQ38:AQ48)</f>
        <v>#DIV/0!</v>
      </c>
      <c r="AR36" s="81"/>
      <c r="AS36" s="80" t="e">
        <f>SUM(AS38:AS48)</f>
        <v>#DIV/0!</v>
      </c>
      <c r="BH36">
        <f t="shared" si="15"/>
        <v>3</v>
      </c>
      <c r="BI36">
        <v>9</v>
      </c>
      <c r="BJ36" s="107" t="e">
        <f t="shared" si="16"/>
        <v>#DIV/0!</v>
      </c>
      <c r="BP36">
        <f t="shared" si="17"/>
        <v>8</v>
      </c>
      <c r="BQ36">
        <v>5</v>
      </c>
      <c r="BR36" s="107" t="e">
        <f t="shared" si="18"/>
        <v>#DIV/0!</v>
      </c>
    </row>
    <row r="37" spans="1:70" ht="15.75" thickBot="1" x14ac:dyDescent="0.3">
      <c r="A37" s="109" t="s">
        <v>104</v>
      </c>
      <c r="B37" s="107" t="e">
        <f>SUM(BN4:BN14)</f>
        <v>#DIV/0!</v>
      </c>
      <c r="G37" s="103" t="str">
        <f t="shared" ref="G37:T37" si="19">G23</f>
        <v>G</v>
      </c>
      <c r="H37" s="104" t="str">
        <f t="shared" si="19"/>
        <v>p</v>
      </c>
      <c r="I37" s="103" t="str">
        <f t="shared" si="19"/>
        <v>GT</v>
      </c>
      <c r="J37" s="105" t="str">
        <f t="shared" si="19"/>
        <v>p(x)</v>
      </c>
      <c r="K37" s="106" t="str">
        <f t="shared" si="19"/>
        <v>EE(x)</v>
      </c>
      <c r="L37" s="105" t="str">
        <f t="shared" si="19"/>
        <v>p</v>
      </c>
      <c r="M37" s="90" t="str">
        <f t="shared" si="19"/>
        <v>OcaS</v>
      </c>
      <c r="N37" s="30" t="str">
        <f t="shared" si="19"/>
        <v>P</v>
      </c>
      <c r="O37" s="30" t="str">
        <f t="shared" si="19"/>
        <v>O_CA</v>
      </c>
      <c r="P37" s="30" t="str">
        <f t="shared" si="19"/>
        <v>p</v>
      </c>
      <c r="Q37" s="30" t="str">
        <f t="shared" si="19"/>
        <v>TotalN</v>
      </c>
      <c r="R37" s="30" t="str">
        <f t="shared" si="19"/>
        <v>p</v>
      </c>
      <c r="S37" s="30" t="str">
        <f t="shared" si="19"/>
        <v>OcaCA</v>
      </c>
      <c r="T37" s="141" t="str">
        <f t="shared" si="19"/>
        <v>p</v>
      </c>
      <c r="U37" s="142" t="str">
        <f>U23</f>
        <v>Total</v>
      </c>
      <c r="V37" s="143" t="str">
        <f>V23</f>
        <v>P</v>
      </c>
      <c r="W37" s="90" t="str">
        <f>W23</f>
        <v>E(x)</v>
      </c>
      <c r="X37" s="30" t="str">
        <f t="shared" ref="X37" si="20">X23</f>
        <v>G0</v>
      </c>
      <c r="Y37" s="30" t="str">
        <f>Y23</f>
        <v>p</v>
      </c>
      <c r="Z37" s="30" t="str">
        <f t="shared" ref="Z37" si="21">Z23</f>
        <v>G1</v>
      </c>
      <c r="AA37" s="30" t="str">
        <f>AA23</f>
        <v>p</v>
      </c>
      <c r="AB37" s="30" t="str">
        <f t="shared" ref="AB37" si="22">AB23</f>
        <v>G2</v>
      </c>
      <c r="AC37" s="30" t="str">
        <f>AC23</f>
        <v>p</v>
      </c>
      <c r="AD37" s="30" t="str">
        <f t="shared" ref="AD37" si="23">AD23</f>
        <v>G3</v>
      </c>
      <c r="AE37" s="30" t="str">
        <f>AE23</f>
        <v>p</v>
      </c>
      <c r="AF37" s="30" t="str">
        <f t="shared" ref="AF37" si="24">AF23</f>
        <v>G4</v>
      </c>
      <c r="AG37" s="30" t="str">
        <f>AG23</f>
        <v>p</v>
      </c>
      <c r="AH37" s="30" t="str">
        <f t="shared" ref="AH37" si="25">AH23</f>
        <v>G5</v>
      </c>
      <c r="AI37" s="30" t="str">
        <f>AI23</f>
        <v>p</v>
      </c>
      <c r="AJ37" s="30" t="str">
        <f t="shared" ref="AJ37" si="26">AJ23</f>
        <v>G6</v>
      </c>
      <c r="AK37" s="30" t="str">
        <f>AK23</f>
        <v>p</v>
      </c>
      <c r="AL37" s="30" t="str">
        <f t="shared" ref="AL37" si="27">AL23</f>
        <v>G7</v>
      </c>
      <c r="AM37" s="30" t="str">
        <f>AM23</f>
        <v>p</v>
      </c>
      <c r="AN37" s="30" t="str">
        <f t="shared" ref="AN37" si="28">AN23</f>
        <v>G8</v>
      </c>
      <c r="AO37" s="30" t="str">
        <f>AO23</f>
        <v>p</v>
      </c>
      <c r="AP37" s="30" t="str">
        <f t="shared" ref="AP37" si="29">AP23</f>
        <v>G9</v>
      </c>
      <c r="AQ37" s="30" t="str">
        <f>AQ23</f>
        <v>p</v>
      </c>
      <c r="AR37" s="30" t="str">
        <f t="shared" ref="AR37" si="30">AR23</f>
        <v>G10</v>
      </c>
      <c r="AS37" s="30" t="str">
        <f>AS23</f>
        <v>p</v>
      </c>
      <c r="BH37">
        <f t="shared" si="15"/>
        <v>3</v>
      </c>
      <c r="BI37">
        <v>10</v>
      </c>
      <c r="BJ37" s="107" t="e">
        <f t="shared" si="16"/>
        <v>#DIV/0!</v>
      </c>
      <c r="BP37">
        <f t="shared" si="17"/>
        <v>8</v>
      </c>
      <c r="BQ37">
        <v>6</v>
      </c>
      <c r="BR37" s="107" t="e">
        <f t="shared" si="18"/>
        <v>#DIV/0!</v>
      </c>
    </row>
    <row r="38" spans="1:70" x14ac:dyDescent="0.25">
      <c r="A38" s="110" t="s">
        <v>105</v>
      </c>
      <c r="B38" s="107" t="e">
        <f>SUM(BJ4:BJ59)</f>
        <v>#DIV/0!</v>
      </c>
      <c r="G38" s="130">
        <v>0</v>
      </c>
      <c r="H38" s="131" t="e">
        <f>L38*J38</f>
        <v>#DIV/0!</v>
      </c>
      <c r="I38" s="97">
        <v>0</v>
      </c>
      <c r="J38" s="98" t="e">
        <f t="shared" ref="J38:J48" si="31">Y38+AA38+AC38+AE38+AG38+AI38+AK38+AM38+AO38+AQ38+AS38</f>
        <v>#DIV/0!</v>
      </c>
      <c r="K38" s="102">
        <v>0</v>
      </c>
      <c r="L38" s="98" t="e">
        <f>AC20</f>
        <v>#DIV/0!</v>
      </c>
      <c r="M38" s="84">
        <v>0</v>
      </c>
      <c r="N38" s="71" t="e">
        <f>(1-$C$24)^$B$21</f>
        <v>#DIV/0!</v>
      </c>
      <c r="O38" s="70">
        <v>0</v>
      </c>
      <c r="P38" s="71" t="e">
        <f>N38</f>
        <v>#DIV/0!</v>
      </c>
      <c r="Q38" s="12">
        <v>0</v>
      </c>
      <c r="R38" s="73" t="e">
        <f>P38*N38</f>
        <v>#DIV/0!</v>
      </c>
      <c r="S38" s="70">
        <v>0</v>
      </c>
      <c r="T38" s="135" t="e">
        <f>(1-$C$33)^(INT(B23*2*(1-B31)))</f>
        <v>#DIV/0!</v>
      </c>
      <c r="U38" s="140">
        <v>0</v>
      </c>
      <c r="V38" s="86" t="e">
        <f>R38*T38</f>
        <v>#DIV/0!</v>
      </c>
      <c r="W38" s="136" t="e">
        <f>C31</f>
        <v>#DIV/0!</v>
      </c>
      <c r="X38" s="12">
        <v>0</v>
      </c>
      <c r="Y38" s="79" t="e">
        <f>V38</f>
        <v>#DIV/0!</v>
      </c>
      <c r="Z38" s="12">
        <v>0</v>
      </c>
      <c r="AA38" s="78" t="e">
        <f>((1-W38)^Z39)*V39</f>
        <v>#DIV/0!</v>
      </c>
      <c r="AB38" s="12">
        <v>0</v>
      </c>
      <c r="AC38" s="79" t="e">
        <f>(((1-$W$38)^AB40))*V40</f>
        <v>#DIV/0!</v>
      </c>
      <c r="AD38" s="12">
        <v>0</v>
      </c>
      <c r="AE38" s="79" t="e">
        <f>(((1-$W$38)^AB41))*V41</f>
        <v>#DIV/0!</v>
      </c>
      <c r="AF38" s="12">
        <v>0</v>
      </c>
      <c r="AG38" s="79" t="e">
        <f>(((1-$W$38)^AB42))*V42</f>
        <v>#DIV/0!</v>
      </c>
      <c r="AH38" s="12">
        <v>0</v>
      </c>
      <c r="AI38" s="79" t="e">
        <f>(((1-$W$38)^AB43))*V43</f>
        <v>#DIV/0!</v>
      </c>
      <c r="AJ38" s="12">
        <v>0</v>
      </c>
      <c r="AK38" s="79" t="e">
        <f>(((1-$W$38)^AB44))*V44</f>
        <v>#DIV/0!</v>
      </c>
      <c r="AL38" s="12">
        <v>0</v>
      </c>
      <c r="AM38" s="79" t="e">
        <f>(((1-$W$38)^AB45))*V45</f>
        <v>#DIV/0!</v>
      </c>
      <c r="AN38" s="12">
        <v>0</v>
      </c>
      <c r="AO38" s="79" t="e">
        <f>(((1-$W$38)^AB46))*V46</f>
        <v>#DIV/0!</v>
      </c>
      <c r="AP38" s="12">
        <v>0</v>
      </c>
      <c r="AQ38" s="79" t="e">
        <f>(((1-$W$38)^AB47))*V47</f>
        <v>#DIV/0!</v>
      </c>
      <c r="AR38" s="12">
        <v>0</v>
      </c>
      <c r="AS38" s="79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32">BH32+1</f>
        <v>4</v>
      </c>
      <c r="BI38">
        <v>5</v>
      </c>
      <c r="BJ38" s="107" t="e">
        <f t="shared" ref="BJ38:BJ43" si="33">$H$28*H43</f>
        <v>#DIV/0!</v>
      </c>
      <c r="BP38">
        <f>BL11+1</f>
        <v>8</v>
      </c>
      <c r="BQ38">
        <v>7</v>
      </c>
      <c r="BR38" s="107" t="e">
        <f t="shared" si="18"/>
        <v>#DIV/0!</v>
      </c>
    </row>
    <row r="39" spans="1:70" x14ac:dyDescent="0.25">
      <c r="A39" s="111" t="s">
        <v>0</v>
      </c>
      <c r="B39" s="107" t="e">
        <f>SUM(BR4:BR47)</f>
        <v>#DIV/0!</v>
      </c>
      <c r="G39" s="91">
        <v>1</v>
      </c>
      <c r="H39" s="132" t="e">
        <f>L38*J39+L39*J38</f>
        <v>#DIV/0!</v>
      </c>
      <c r="I39" s="93">
        <v>1</v>
      </c>
      <c r="J39" s="86" t="e">
        <f t="shared" si="31"/>
        <v>#DIV/0!</v>
      </c>
      <c r="K39" s="95">
        <v>1</v>
      </c>
      <c r="L39" s="86" t="e">
        <f>AD20</f>
        <v>#DIV/0!</v>
      </c>
      <c r="M39" s="85">
        <v>1</v>
      </c>
      <c r="N39" s="71" t="e">
        <f>(($C$24)^M25)*((1-($C$24))^($B$21-M25))*HLOOKUP($B$21,$AV$24:$BF$34,M25+1)</f>
        <v>#DIV/0!</v>
      </c>
      <c r="O39" s="72">
        <v>1</v>
      </c>
      <c r="P39" s="71" t="e">
        <f t="shared" ref="P39:P43" si="34">N39</f>
        <v>#DIV/0!</v>
      </c>
      <c r="Q39" s="28">
        <v>1</v>
      </c>
      <c r="R39" s="37" t="e">
        <f>P39*N38+P38*N39</f>
        <v>#DIV/0!</v>
      </c>
      <c r="S39" s="72">
        <v>1</v>
      </c>
      <c r="T39" s="135" t="e">
        <f t="shared" ref="T39:T48" si="35">(($C$33)^S39)*((1-($C$33))^(INT($B$23*2*(1-$B$31))-S39))*HLOOKUP(INT($B$23*2*(1-$B$31)),$AV$24:$BF$34,S39+1)</f>
        <v>#DIV/0!</v>
      </c>
      <c r="U39" s="93">
        <v>1</v>
      </c>
      <c r="V39" s="86" t="e">
        <f>R39*T38+T39*R38</f>
        <v>#DIV/0!</v>
      </c>
      <c r="W39" s="137"/>
      <c r="X39" s="28">
        <v>1</v>
      </c>
      <c r="Y39" s="73"/>
      <c r="Z39" s="28">
        <v>1</v>
      </c>
      <c r="AA39" s="79" t="e">
        <f>(1-((1-W38)^Z39))*V39</f>
        <v>#DIV/0!</v>
      </c>
      <c r="AB39" s="28">
        <v>1</v>
      </c>
      <c r="AC39" s="79" t="e">
        <f>((($W$38)^M39)*((1-($W$38))^($U$26-M39))*HLOOKUP($U$26,$AV$24:$BF$34,M39+1))*V40</f>
        <v>#DIV/0!</v>
      </c>
      <c r="AD39" s="28">
        <v>1</v>
      </c>
      <c r="AE39" s="79" t="e">
        <f>((($W$38)^M39)*((1-($W$38))^($U$27-M39))*HLOOKUP($U$27,$AV$24:$BF$34,M39+1))*V41</f>
        <v>#DIV/0!</v>
      </c>
      <c r="AF39" s="28">
        <v>1</v>
      </c>
      <c r="AG39" s="79" t="e">
        <f>((($W$38)^M39)*((1-($W$38))^($U$28-M39))*HLOOKUP($U$28,$AV$24:$BF$34,M39+1))*V42</f>
        <v>#DIV/0!</v>
      </c>
      <c r="AH39" s="28">
        <v>1</v>
      </c>
      <c r="AI39" s="79" t="e">
        <f>((($W$38)^M39)*((1-($W$38))^($U$29-M39))*HLOOKUP($U$29,$AV$24:$BF$34,M39+1))*V43</f>
        <v>#DIV/0!</v>
      </c>
      <c r="AJ39" s="28">
        <v>1</v>
      </c>
      <c r="AK39" s="79" t="e">
        <f>((($W$38)^M39)*((1-($W$38))^($U$30-M39))*HLOOKUP($U$30,$AV$24:$BF$34,M39+1))*V44</f>
        <v>#DIV/0!</v>
      </c>
      <c r="AL39" s="28">
        <v>1</v>
      </c>
      <c r="AM39" s="79" t="e">
        <f>((($W$38)^Q39)*((1-($W$38))^($U$31-Q39))*HLOOKUP($U$31,$AV$24:$BF$34,Q39+1))*V45</f>
        <v>#DIV/0!</v>
      </c>
      <c r="AN39" s="28">
        <v>1</v>
      </c>
      <c r="AO39" s="79" t="e">
        <f>((($W$38)^Q39)*((1-($W$38))^($U$32-Q39))*HLOOKUP($U$32,$AV$24:$BF$34,Q39+1))*V46</f>
        <v>#DIV/0!</v>
      </c>
      <c r="AP39" s="28">
        <v>1</v>
      </c>
      <c r="AQ39" s="79" t="e">
        <f>((($W$38)^Q39)*((1-($W$38))^($U$33-Q39))*HLOOKUP($U$33,$AV$24:$BF$34,Q39+1))*V47</f>
        <v>#DIV/0!</v>
      </c>
      <c r="AR39" s="28">
        <v>1</v>
      </c>
      <c r="AS39" s="79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32"/>
        <v>4</v>
      </c>
      <c r="BI39">
        <v>6</v>
      </c>
      <c r="BJ39" s="107" t="e">
        <f t="shared" si="33"/>
        <v>#DIV/0!</v>
      </c>
      <c r="BP39">
        <f t="shared" ref="BP39:BP46" si="36">BP31+1</f>
        <v>9</v>
      </c>
      <c r="BQ39">
        <v>0</v>
      </c>
      <c r="BR39" s="107" t="e">
        <f t="shared" ref="BR39:BR47" si="37">$H$33*H38</f>
        <v>#DIV/0!</v>
      </c>
    </row>
    <row r="40" spans="1:70" x14ac:dyDescent="0.25">
      <c r="G40" s="91">
        <v>2</v>
      </c>
      <c r="H40" s="132" t="e">
        <f>L38*J40+J39*L39+J38*L40</f>
        <v>#DIV/0!</v>
      </c>
      <c r="I40" s="93">
        <v>2</v>
      </c>
      <c r="J40" s="86" t="e">
        <f t="shared" si="31"/>
        <v>#DIV/0!</v>
      </c>
      <c r="K40" s="95">
        <v>2</v>
      </c>
      <c r="L40" s="86" t="e">
        <f>AE20</f>
        <v>#DIV/0!</v>
      </c>
      <c r="M40" s="85">
        <v>2</v>
      </c>
      <c r="N40" s="71" t="e">
        <f>(($C$24)^M26)*((1-($C$24))^($B$21-M26))*HLOOKUP($B$21,$AV$24:$BF$34,M26+1)</f>
        <v>#DIV/0!</v>
      </c>
      <c r="O40" s="72">
        <v>2</v>
      </c>
      <c r="P40" s="71" t="e">
        <f t="shared" si="34"/>
        <v>#DIV/0!</v>
      </c>
      <c r="Q40" s="28">
        <v>2</v>
      </c>
      <c r="R40" s="37" t="e">
        <f>P40*N38+P39*N39+P38*N40</f>
        <v>#DIV/0!</v>
      </c>
      <c r="S40" s="72">
        <v>2</v>
      </c>
      <c r="T40" s="135" t="e">
        <f t="shared" si="35"/>
        <v>#DIV/0!</v>
      </c>
      <c r="U40" s="93">
        <v>2</v>
      </c>
      <c r="V40" s="86" t="e">
        <f>R40*T38+T39*R39+R38*T40</f>
        <v>#DIV/0!</v>
      </c>
      <c r="W40" s="137"/>
      <c r="X40" s="28">
        <v>2</v>
      </c>
      <c r="Y40" s="73"/>
      <c r="Z40" s="28">
        <v>2</v>
      </c>
      <c r="AA40" s="79"/>
      <c r="AB40" s="28">
        <v>2</v>
      </c>
      <c r="AC40" s="79" t="e">
        <f>((($W$38)^M40)*((1-($W$38))^($U$26-M40))*HLOOKUP($U$26,$AV$24:$BF$34,M40+1))*V40</f>
        <v>#DIV/0!</v>
      </c>
      <c r="AD40" s="28">
        <v>2</v>
      </c>
      <c r="AE40" s="79" t="e">
        <f>((($W$38)^M40)*((1-($W$38))^($U$27-M40))*HLOOKUP($U$27,$AV$24:$BF$34,M40+1))*V41</f>
        <v>#DIV/0!</v>
      </c>
      <c r="AF40" s="28">
        <v>2</v>
      </c>
      <c r="AG40" s="79" t="e">
        <f>((($W$38)^M40)*((1-($W$38))^($U$28-M40))*HLOOKUP($U$28,$AV$24:$BF$34,M40+1))*V42</f>
        <v>#DIV/0!</v>
      </c>
      <c r="AH40" s="28">
        <v>2</v>
      </c>
      <c r="AI40" s="79" t="e">
        <f>((($W$38)^M40)*((1-($W$38))^($U$29-M40))*HLOOKUP($U$29,$AV$24:$BF$34,M40+1))*V43</f>
        <v>#DIV/0!</v>
      </c>
      <c r="AJ40" s="28">
        <v>2</v>
      </c>
      <c r="AK40" s="79" t="e">
        <f>((($W$38)^M40)*((1-($W$38))^($U$30-M40))*HLOOKUP($U$30,$AV$24:$BF$34,M40+1))*V44</f>
        <v>#DIV/0!</v>
      </c>
      <c r="AL40" s="28">
        <v>2</v>
      </c>
      <c r="AM40" s="79" t="e">
        <f>((($W$38)^Q40)*((1-($W$38))^($U$31-Q40))*HLOOKUP($U$31,$AV$24:$BF$34,Q40+1))*V45</f>
        <v>#DIV/0!</v>
      </c>
      <c r="AN40" s="28">
        <v>2</v>
      </c>
      <c r="AO40" s="79" t="e">
        <f>((($W$38)^Q40)*((1-($W$38))^($U$32-Q40))*HLOOKUP($U$32,$AV$24:$BF$34,Q40+1))*V46</f>
        <v>#DIV/0!</v>
      </c>
      <c r="AP40" s="28">
        <v>2</v>
      </c>
      <c r="AQ40" s="79" t="e">
        <f>((($W$38)^Q40)*((1-($W$38))^($U$33-Q40))*HLOOKUP($U$33,$AV$24:$BF$34,Q40+1))*V47</f>
        <v>#DIV/0!</v>
      </c>
      <c r="AR40" s="28">
        <v>2</v>
      </c>
      <c r="AS40" s="79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32"/>
        <v>4</v>
      </c>
      <c r="BI40">
        <v>7</v>
      </c>
      <c r="BJ40" s="107" t="e">
        <f t="shared" si="33"/>
        <v>#DIV/0!</v>
      </c>
      <c r="BP40">
        <f t="shared" si="36"/>
        <v>9</v>
      </c>
      <c r="BQ40">
        <v>1</v>
      </c>
      <c r="BR40" s="107" t="e">
        <f t="shared" si="37"/>
        <v>#DIV/0!</v>
      </c>
    </row>
    <row r="41" spans="1:70" x14ac:dyDescent="0.25">
      <c r="G41" s="91">
        <v>3</v>
      </c>
      <c r="H41" s="132" t="e">
        <f>J41*L38+J40*L39+L41*J38+L40*J39</f>
        <v>#DIV/0!</v>
      </c>
      <c r="I41" s="93">
        <v>3</v>
      </c>
      <c r="J41" s="86" t="e">
        <f t="shared" si="31"/>
        <v>#DIV/0!</v>
      </c>
      <c r="K41" s="95">
        <v>3</v>
      </c>
      <c r="L41" s="86" t="e">
        <f>AF20</f>
        <v>#DIV/0!</v>
      </c>
      <c r="M41" s="85">
        <v>3</v>
      </c>
      <c r="N41" s="71" t="e">
        <f>(($C$24)^M27)*((1-($C$24))^($B$21-M27))*HLOOKUP($B$21,$AV$24:$BF$34,M27+1)</f>
        <v>#DIV/0!</v>
      </c>
      <c r="O41" s="72">
        <v>3</v>
      </c>
      <c r="P41" s="71" t="e">
        <f t="shared" si="34"/>
        <v>#DIV/0!</v>
      </c>
      <c r="Q41" s="28">
        <v>3</v>
      </c>
      <c r="R41" s="37" t="e">
        <f>P41*N38+P40*N39+P39*N40+P38*N41</f>
        <v>#DIV/0!</v>
      </c>
      <c r="S41" s="72">
        <v>3</v>
      </c>
      <c r="T41" s="135" t="e">
        <f t="shared" si="35"/>
        <v>#DIV/0!</v>
      </c>
      <c r="U41" s="93">
        <v>3</v>
      </c>
      <c r="V41" s="86" t="e">
        <f>R41*T38+R40*T39+R39*T40+R38*T41</f>
        <v>#DIV/0!</v>
      </c>
      <c r="W41" s="137"/>
      <c r="X41" s="28">
        <v>3</v>
      </c>
      <c r="Y41" s="73"/>
      <c r="Z41" s="28">
        <v>3</v>
      </c>
      <c r="AA41" s="79"/>
      <c r="AB41" s="28">
        <v>3</v>
      </c>
      <c r="AC41" s="79"/>
      <c r="AD41" s="28">
        <v>3</v>
      </c>
      <c r="AE41" s="79" t="e">
        <f>((($W$38)^M41)*((1-($W$38))^($U$27-M41))*HLOOKUP($U$27,$AV$24:$BF$34,M41+1))*V41</f>
        <v>#DIV/0!</v>
      </c>
      <c r="AF41" s="28">
        <v>3</v>
      </c>
      <c r="AG41" s="79" t="e">
        <f>((($W$38)^M41)*((1-($W$38))^($U$28-M41))*HLOOKUP($U$28,$AV$24:$BF$34,M41+1))*V42</f>
        <v>#DIV/0!</v>
      </c>
      <c r="AH41" s="28">
        <v>3</v>
      </c>
      <c r="AI41" s="79" t="e">
        <f>((($W$38)^M41)*((1-($W$38))^($U$29-M41))*HLOOKUP($U$29,$AV$24:$BF$34,M41+1))*V43</f>
        <v>#DIV/0!</v>
      </c>
      <c r="AJ41" s="28">
        <v>3</v>
      </c>
      <c r="AK41" s="79" t="e">
        <f>((($W$38)^M41)*((1-($W$38))^($U$30-M41))*HLOOKUP($U$30,$AV$24:$BF$34,M41+1))*V44</f>
        <v>#DIV/0!</v>
      </c>
      <c r="AL41" s="28">
        <v>3</v>
      </c>
      <c r="AM41" s="79" t="e">
        <f>((($W$38)^Q41)*((1-($W$38))^($U$31-Q41))*HLOOKUP($U$31,$AV$24:$BF$34,Q41+1))*V45</f>
        <v>#DIV/0!</v>
      </c>
      <c r="AN41" s="28">
        <v>3</v>
      </c>
      <c r="AO41" s="79" t="e">
        <f>((($W$38)^Q41)*((1-($W$38))^($U$32-Q41))*HLOOKUP($U$32,$AV$24:$BF$34,Q41+1))*V46</f>
        <v>#DIV/0!</v>
      </c>
      <c r="AP41" s="28">
        <v>3</v>
      </c>
      <c r="AQ41" s="79" t="e">
        <f>((($W$38)^Q41)*((1-($W$38))^($U$33-Q41))*HLOOKUP($U$33,$AV$24:$BF$34,Q41+1))*V47</f>
        <v>#DIV/0!</v>
      </c>
      <c r="AR41" s="28">
        <v>3</v>
      </c>
      <c r="AS41" s="79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32"/>
        <v>4</v>
      </c>
      <c r="BI41">
        <v>8</v>
      </c>
      <c r="BJ41" s="107" t="e">
        <f t="shared" si="33"/>
        <v>#DIV/0!</v>
      </c>
      <c r="BP41">
        <f t="shared" si="36"/>
        <v>9</v>
      </c>
      <c r="BQ41">
        <v>2</v>
      </c>
      <c r="BR41" s="107" t="e">
        <f t="shared" si="37"/>
        <v>#DIV/0!</v>
      </c>
    </row>
    <row r="42" spans="1:70" ht="15" customHeight="1" x14ac:dyDescent="0.25">
      <c r="G42" s="91">
        <v>4</v>
      </c>
      <c r="H42" s="132" t="e">
        <f>J42*L38+J41*L39+J40*L40+J39*L41</f>
        <v>#DIV/0!</v>
      </c>
      <c r="I42" s="93">
        <v>4</v>
      </c>
      <c r="J42" s="86" t="e">
        <f t="shared" si="31"/>
        <v>#DIV/0!</v>
      </c>
      <c r="K42" s="95">
        <v>4</v>
      </c>
      <c r="L42" s="86"/>
      <c r="M42" s="85">
        <v>4</v>
      </c>
      <c r="N42" s="71" t="e">
        <f>(($C$24)^M28)*((1-($C$24))^($B$21-M28))*HLOOKUP($B$21,$AV$24:$BF$34,M28+1)</f>
        <v>#DIV/0!</v>
      </c>
      <c r="O42" s="72">
        <v>4</v>
      </c>
      <c r="P42" s="71" t="e">
        <f t="shared" si="34"/>
        <v>#DIV/0!</v>
      </c>
      <c r="Q42" s="28">
        <v>4</v>
      </c>
      <c r="R42" s="37" t="e">
        <f>P42*N38+P41*N39+P40*N40+P39*N41+P38*N42</f>
        <v>#DIV/0!</v>
      </c>
      <c r="S42" s="72">
        <v>4</v>
      </c>
      <c r="T42" s="135" t="e">
        <f t="shared" si="35"/>
        <v>#DIV/0!</v>
      </c>
      <c r="U42" s="93">
        <v>4</v>
      </c>
      <c r="V42" s="86" t="e">
        <f>T42*R38+T41*R39+T40*R40+T39*R41+T38*R42</f>
        <v>#DIV/0!</v>
      </c>
      <c r="W42" s="137"/>
      <c r="X42" s="28">
        <v>4</v>
      </c>
      <c r="Y42" s="73"/>
      <c r="Z42" s="28">
        <v>4</v>
      </c>
      <c r="AA42" s="79"/>
      <c r="AB42" s="28">
        <v>4</v>
      </c>
      <c r="AC42" s="79"/>
      <c r="AD42" s="28">
        <v>4</v>
      </c>
      <c r="AE42" s="79"/>
      <c r="AF42" s="28">
        <v>4</v>
      </c>
      <c r="AG42" s="79" t="e">
        <f>((($W$38)^M42)*((1-($W$38))^($U$28-M42))*HLOOKUP($U$28,$AV$24:$BF$34,M42+1))*V42</f>
        <v>#DIV/0!</v>
      </c>
      <c r="AH42" s="28">
        <v>4</v>
      </c>
      <c r="AI42" s="79" t="e">
        <f>((($W$38)^M42)*((1-($W$38))^($U$29-M42))*HLOOKUP($U$29,$AV$24:$BF$34,M42+1))*V43</f>
        <v>#DIV/0!</v>
      </c>
      <c r="AJ42" s="28">
        <v>4</v>
      </c>
      <c r="AK42" s="79" t="e">
        <f>((($W$38)^M42)*((1-($W$38))^($U$30-M42))*HLOOKUP($U$30,$AV$24:$BF$34,M42+1))*V44</f>
        <v>#DIV/0!</v>
      </c>
      <c r="AL42" s="28">
        <v>4</v>
      </c>
      <c r="AM42" s="79" t="e">
        <f>((($W$38)^Q42)*((1-($W$38))^($U$31-Q42))*HLOOKUP($U$31,$AV$24:$BF$34,Q42+1))*V45</f>
        <v>#DIV/0!</v>
      </c>
      <c r="AN42" s="28">
        <v>4</v>
      </c>
      <c r="AO42" s="79" t="e">
        <f>((($W$38)^Q42)*((1-($W$38))^($U$32-Q42))*HLOOKUP($U$32,$AV$24:$BF$34,Q42+1))*V46</f>
        <v>#DIV/0!</v>
      </c>
      <c r="AP42" s="28">
        <v>4</v>
      </c>
      <c r="AQ42" s="79" t="e">
        <f>((($W$38)^Q42)*((1-($W$38))^($U$33-Q42))*HLOOKUP($U$33,$AV$24:$BF$34,Q42+1))*V47</f>
        <v>#DIV/0!</v>
      </c>
      <c r="AR42" s="28">
        <v>4</v>
      </c>
      <c r="AS42" s="79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>BE41+BE42</f>
        <v>210</v>
      </c>
      <c r="BH42">
        <f t="shared" si="32"/>
        <v>4</v>
      </c>
      <c r="BI42">
        <v>9</v>
      </c>
      <c r="BJ42" s="107" t="e">
        <f t="shared" si="33"/>
        <v>#DIV/0!</v>
      </c>
      <c r="BP42">
        <f t="shared" si="36"/>
        <v>9</v>
      </c>
      <c r="BQ42">
        <v>3</v>
      </c>
      <c r="BR42" s="107" t="e">
        <f t="shared" si="37"/>
        <v>#DIV/0!</v>
      </c>
    </row>
    <row r="43" spans="1:70" ht="15" customHeight="1" x14ac:dyDescent="0.25">
      <c r="G43" s="91">
        <v>5</v>
      </c>
      <c r="H43" s="132" t="e">
        <f>J43*L38+J42*L39+J41*L40+J40*L41</f>
        <v>#DIV/0!</v>
      </c>
      <c r="I43" s="93">
        <v>5</v>
      </c>
      <c r="J43" s="86" t="e">
        <f t="shared" si="31"/>
        <v>#DIV/0!</v>
      </c>
      <c r="K43" s="95">
        <v>5</v>
      </c>
      <c r="L43" s="86"/>
      <c r="M43" s="85">
        <v>5</v>
      </c>
      <c r="N43" s="71" t="e">
        <f>(($C$24)^M29)*((1-($C$24))^($B$21-M29))*HLOOKUP($B$21,$AV$24:$BF$34,M29+1)</f>
        <v>#DIV/0!</v>
      </c>
      <c r="O43" s="72">
        <v>5</v>
      </c>
      <c r="P43" s="71" t="e">
        <f t="shared" si="34"/>
        <v>#DIV/0!</v>
      </c>
      <c r="Q43" s="28">
        <v>5</v>
      </c>
      <c r="R43" s="37" t="e">
        <f>P43*N38+P42*N39+P41*N40+P40*N41+P39*N42+P38*N43</f>
        <v>#DIV/0!</v>
      </c>
      <c r="S43" s="72">
        <v>5</v>
      </c>
      <c r="T43" s="135" t="e">
        <f t="shared" si="35"/>
        <v>#DIV/0!</v>
      </c>
      <c r="U43" s="93">
        <v>5</v>
      </c>
      <c r="V43" s="86" t="e">
        <f>T43*R38+T42*R39+T41*R40+T40*R41+T39*R42+T38*R43</f>
        <v>#DIV/0!</v>
      </c>
      <c r="W43" s="137"/>
      <c r="X43" s="28">
        <v>5</v>
      </c>
      <c r="Y43" s="73"/>
      <c r="Z43" s="28">
        <v>5</v>
      </c>
      <c r="AA43" s="79"/>
      <c r="AB43" s="28">
        <v>5</v>
      </c>
      <c r="AC43" s="79"/>
      <c r="AD43" s="28">
        <v>5</v>
      </c>
      <c r="AE43" s="79"/>
      <c r="AF43" s="28">
        <v>5</v>
      </c>
      <c r="AG43" s="79"/>
      <c r="AH43" s="28">
        <v>5</v>
      </c>
      <c r="AI43" s="79" t="e">
        <f>((($W$38)^M43)*((1-($W$38))^($U$29-M43))*HLOOKUP($U$29,$AV$24:$BF$34,M43+1))*V43</f>
        <v>#DIV/0!</v>
      </c>
      <c r="AJ43" s="28">
        <v>5</v>
      </c>
      <c r="AK43" s="79" t="e">
        <f>((($W$38)^M43)*((1-($W$38))^($U$30-M43))*HLOOKUP($U$30,$AV$24:$BF$34,M43+1))*V44</f>
        <v>#DIV/0!</v>
      </c>
      <c r="AL43" s="28">
        <v>5</v>
      </c>
      <c r="AM43" s="79" t="e">
        <f>((($W$38)^Q43)*((1-($W$38))^($U$31-Q43))*HLOOKUP($U$31,$AV$24:$BF$34,Q43+1))*V45</f>
        <v>#DIV/0!</v>
      </c>
      <c r="AN43" s="28">
        <v>5</v>
      </c>
      <c r="AO43" s="79" t="e">
        <f>((($W$38)^Q43)*((1-($W$38))^($U$32-Q43))*HLOOKUP($U$32,$AV$24:$BF$34,Q43+1))*V46</f>
        <v>#DIV/0!</v>
      </c>
      <c r="AP43" s="28">
        <v>5</v>
      </c>
      <c r="AQ43" s="79" t="e">
        <f>((($W$38)^Q43)*((1-($W$38))^($U$33-Q43))*HLOOKUP($U$33,$AV$24:$BF$34,Q43+1))*V47</f>
        <v>#DIV/0!</v>
      </c>
      <c r="AR43" s="28">
        <v>5</v>
      </c>
      <c r="AS43" s="79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ref="BF43:BF48" si="38">BE42+BE43</f>
        <v>252</v>
      </c>
      <c r="BH43">
        <f t="shared" si="32"/>
        <v>4</v>
      </c>
      <c r="BI43">
        <v>10</v>
      </c>
      <c r="BJ43" s="107" t="e">
        <f t="shared" si="33"/>
        <v>#DIV/0!</v>
      </c>
      <c r="BP43">
        <f t="shared" si="36"/>
        <v>9</v>
      </c>
      <c r="BQ43">
        <v>4</v>
      </c>
      <c r="BR43" s="107" t="e">
        <f t="shared" si="37"/>
        <v>#DIV/0!</v>
      </c>
    </row>
    <row r="44" spans="1:70" ht="15" customHeight="1" thickBot="1" x14ac:dyDescent="0.3">
      <c r="G44" s="91">
        <v>6</v>
      </c>
      <c r="H44" s="132" t="e">
        <f>J44*L38+J43*L39+J42*L40+J41*L41</f>
        <v>#DIV/0!</v>
      </c>
      <c r="I44" s="93">
        <v>6</v>
      </c>
      <c r="J44" s="86" t="e">
        <f t="shared" si="31"/>
        <v>#DIV/0!</v>
      </c>
      <c r="K44" s="95">
        <v>6</v>
      </c>
      <c r="L44" s="86"/>
      <c r="M44" s="85"/>
      <c r="N44" s="37"/>
      <c r="O44" s="37"/>
      <c r="P44" s="37"/>
      <c r="Q44" s="28">
        <v>6</v>
      </c>
      <c r="R44" s="37" t="e">
        <f>P43*N39+P42*N40+P41*N41+P40*N42+P39*N43</f>
        <v>#DIV/0!</v>
      </c>
      <c r="S44" s="70">
        <v>6</v>
      </c>
      <c r="T44" s="135" t="e">
        <f t="shared" si="35"/>
        <v>#DIV/0!</v>
      </c>
      <c r="U44" s="93">
        <v>6</v>
      </c>
      <c r="V44" s="86" t="e">
        <f>T44*R38+T43*R39+T42*R40+T41*R41+T40*R42+T39*R43+T38*R44</f>
        <v>#DIV/0!</v>
      </c>
      <c r="W44" s="137"/>
      <c r="X44" s="28">
        <v>6</v>
      </c>
      <c r="Y44" s="73"/>
      <c r="Z44" s="28">
        <v>6</v>
      </c>
      <c r="AA44" s="79"/>
      <c r="AB44" s="28">
        <v>6</v>
      </c>
      <c r="AC44" s="79"/>
      <c r="AD44" s="28">
        <v>6</v>
      </c>
      <c r="AE44" s="79"/>
      <c r="AF44" s="28">
        <v>6</v>
      </c>
      <c r="AG44" s="79"/>
      <c r="AH44" s="28">
        <v>6</v>
      </c>
      <c r="AI44" s="79"/>
      <c r="AJ44" s="28">
        <v>6</v>
      </c>
      <c r="AK44" s="79" t="e">
        <f>((($W$38)^Q44)*((1-($W$38))^($U$30-Q44))*HLOOKUP($U$30,$AV$24:$BF$34,Q44+1))*V44</f>
        <v>#DIV/0!</v>
      </c>
      <c r="AL44" s="28">
        <v>6</v>
      </c>
      <c r="AM44" s="79" t="e">
        <f>((($W$38)^Q44)*((1-($W$38))^($U$31-Q44))*HLOOKUP($U$31,$AV$24:$BF$34,Q44+1))*V45</f>
        <v>#DIV/0!</v>
      </c>
      <c r="AN44" s="28">
        <v>6</v>
      </c>
      <c r="AO44" s="79" t="e">
        <f>((($W$38)^Q44)*((1-($W$38))^($U$32-Q44))*HLOOKUP($U$32,$AV$24:$BF$34,Q44+1))*V46</f>
        <v>#DIV/0!</v>
      </c>
      <c r="AP44" s="28">
        <v>6</v>
      </c>
      <c r="AQ44" s="79" t="e">
        <f>((($W$38)^Q44)*((1-($W$38))^($U$33-Q44))*HLOOKUP($U$33,$AV$24:$BF$34,Q44+1))*V47</f>
        <v>#DIV/0!</v>
      </c>
      <c r="AR44" s="28">
        <v>6</v>
      </c>
      <c r="AS44" s="79" t="e">
        <f>((($W$38)^Q44)*((1-($W$38))^($U$34-Q44))*HLOOKUP($U$34,$AV$24:$BF$34,Q44+1))*V48</f>
        <v>#DIV/0!</v>
      </c>
      <c r="AV44" s="29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8"/>
        <v>210</v>
      </c>
      <c r="BH44">
        <f>BH39+1</f>
        <v>5</v>
      </c>
      <c r="BI44">
        <v>6</v>
      </c>
      <c r="BJ44" s="107" t="e">
        <f>$H$29*H44</f>
        <v>#DIV/0!</v>
      </c>
      <c r="BP44">
        <f t="shared" si="36"/>
        <v>9</v>
      </c>
      <c r="BQ44">
        <v>5</v>
      </c>
      <c r="BR44" s="107" t="e">
        <f t="shared" si="37"/>
        <v>#DIV/0!</v>
      </c>
    </row>
    <row r="45" spans="1:70" ht="15" customHeight="1" thickBot="1" x14ac:dyDescent="0.3">
      <c r="A45" s="112" t="s">
        <v>108</v>
      </c>
      <c r="B45" s="112" t="s">
        <v>109</v>
      </c>
      <c r="C45" s="112" t="s">
        <v>110</v>
      </c>
      <c r="D45" s="112" t="s">
        <v>111</v>
      </c>
      <c r="E45" s="112" t="s">
        <v>23</v>
      </c>
      <c r="G45" s="91">
        <v>7</v>
      </c>
      <c r="H45" s="132" t="e">
        <f>J45*L38+J44*L39+J43*L40+J42*L41</f>
        <v>#DIV/0!</v>
      </c>
      <c r="I45" s="93">
        <v>7</v>
      </c>
      <c r="J45" s="86" t="e">
        <f t="shared" si="31"/>
        <v>#DIV/0!</v>
      </c>
      <c r="K45" s="95">
        <v>7</v>
      </c>
      <c r="L45" s="86"/>
      <c r="M45" s="85"/>
      <c r="N45" s="37"/>
      <c r="O45" s="37"/>
      <c r="P45" s="37"/>
      <c r="Q45" s="28">
        <v>7</v>
      </c>
      <c r="R45" s="37" t="e">
        <f>P43*N40+P42*N41+P41*N42+P40*N43</f>
        <v>#DIV/0!</v>
      </c>
      <c r="S45" s="72">
        <v>7</v>
      </c>
      <c r="T45" s="135" t="e">
        <f t="shared" si="35"/>
        <v>#DIV/0!</v>
      </c>
      <c r="U45" s="93">
        <v>7</v>
      </c>
      <c r="V45" s="86" t="e">
        <f>T45*R38+T44*R39+T43*R40+T42*R41+T41*R42+T40*R43+T39*R44+T38*R45</f>
        <v>#DIV/0!</v>
      </c>
      <c r="W45" s="137"/>
      <c r="X45" s="28">
        <v>7</v>
      </c>
      <c r="Y45" s="73"/>
      <c r="Z45" s="28">
        <v>7</v>
      </c>
      <c r="AA45" s="79"/>
      <c r="AB45" s="28">
        <v>7</v>
      </c>
      <c r="AC45" s="79"/>
      <c r="AD45" s="28">
        <v>7</v>
      </c>
      <c r="AE45" s="79"/>
      <c r="AF45" s="28">
        <v>7</v>
      </c>
      <c r="AG45" s="79"/>
      <c r="AH45" s="28">
        <v>7</v>
      </c>
      <c r="AI45" s="79"/>
      <c r="AJ45" s="28">
        <v>7</v>
      </c>
      <c r="AK45" s="79"/>
      <c r="AL45" s="28">
        <v>7</v>
      </c>
      <c r="AM45" s="79" t="e">
        <f>((($W$38)^Q45)*((1-($W$38))^($U$31-Q45))*HLOOKUP($U$31,$AV$24:$BF$34,Q45+1))*V45</f>
        <v>#DIV/0!</v>
      </c>
      <c r="AN45" s="28">
        <v>7</v>
      </c>
      <c r="AO45" s="79" t="e">
        <f>((($W$38)^Q45)*((1-($W$38))^($U$32-Q45))*HLOOKUP($U$32,$AV$24:$BF$34,Q45+1))*V46</f>
        <v>#DIV/0!</v>
      </c>
      <c r="AP45" s="28">
        <v>7</v>
      </c>
      <c r="AQ45" s="79" t="e">
        <f>((($W$38)^Q45)*((1-($W$38))^($U$33-Q45))*HLOOKUP($U$33,$AV$24:$BF$34,Q45+1))*V47</f>
        <v>#DIV/0!</v>
      </c>
      <c r="AR45" s="28">
        <v>7</v>
      </c>
      <c r="AS45" s="79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38"/>
        <v>120</v>
      </c>
      <c r="BH45">
        <f>BH40+1</f>
        <v>5</v>
      </c>
      <c r="BI45">
        <v>7</v>
      </c>
      <c r="BJ45" s="107" t="e">
        <f>$H$29*H45</f>
        <v>#DIV/0!</v>
      </c>
      <c r="BP45">
        <f t="shared" si="36"/>
        <v>9</v>
      </c>
      <c r="BQ45">
        <v>6</v>
      </c>
      <c r="BR45" s="107" t="e">
        <f t="shared" si="37"/>
        <v>#DIV/0!</v>
      </c>
    </row>
    <row r="46" spans="1:70" ht="15" customHeight="1" thickBot="1" x14ac:dyDescent="0.3">
      <c r="A46" s="113" t="s">
        <v>112</v>
      </c>
      <c r="B46" s="113" t="s">
        <v>21</v>
      </c>
      <c r="C46" s="113" t="s">
        <v>113</v>
      </c>
      <c r="D46" s="113" t="s">
        <v>114</v>
      </c>
      <c r="E46" s="113" t="s">
        <v>115</v>
      </c>
      <c r="G46" s="91">
        <v>8</v>
      </c>
      <c r="H46" s="132" t="e">
        <f>J46*L38+J45*L39+J44*L40+J43*L41</f>
        <v>#DIV/0!</v>
      </c>
      <c r="I46" s="93">
        <v>8</v>
      </c>
      <c r="J46" s="86" t="e">
        <f t="shared" si="31"/>
        <v>#DIV/0!</v>
      </c>
      <c r="K46" s="95">
        <v>8</v>
      </c>
      <c r="L46" s="86"/>
      <c r="M46" s="85"/>
      <c r="N46" s="37"/>
      <c r="O46" s="37"/>
      <c r="P46" s="37"/>
      <c r="Q46" s="28">
        <v>8</v>
      </c>
      <c r="R46" s="37" t="e">
        <f>P43*N41+P42*N42+P41*N43</f>
        <v>#DIV/0!</v>
      </c>
      <c r="S46" s="72">
        <v>8</v>
      </c>
      <c r="T46" s="135" t="e">
        <f t="shared" si="35"/>
        <v>#DIV/0!</v>
      </c>
      <c r="U46" s="93">
        <v>8</v>
      </c>
      <c r="V46" s="86" t="e">
        <f>T46*R38+T45*R39+T44*R40+T43*R41+T42*R42+T41*R43+T40*R44+T39*R45+T38*R46</f>
        <v>#DIV/0!</v>
      </c>
      <c r="W46" s="137"/>
      <c r="X46" s="28">
        <v>8</v>
      </c>
      <c r="Y46" s="73"/>
      <c r="Z46" s="28">
        <v>8</v>
      </c>
      <c r="AA46" s="79"/>
      <c r="AB46" s="28">
        <v>8</v>
      </c>
      <c r="AC46" s="79"/>
      <c r="AD46" s="28">
        <v>8</v>
      </c>
      <c r="AE46" s="79"/>
      <c r="AF46" s="28">
        <v>8</v>
      </c>
      <c r="AG46" s="79"/>
      <c r="AH46" s="28">
        <v>8</v>
      </c>
      <c r="AI46" s="79"/>
      <c r="AJ46" s="28">
        <v>8</v>
      </c>
      <c r="AK46" s="79"/>
      <c r="AL46" s="28">
        <v>8</v>
      </c>
      <c r="AM46" s="79"/>
      <c r="AN46" s="28">
        <v>8</v>
      </c>
      <c r="AO46" s="79" t="e">
        <f>((($W$38)^Q46)*((1-($W$38))^($U$32-Q46))*HLOOKUP($U$32,$AV$24:$BF$34,Q46+1))*V46</f>
        <v>#DIV/0!</v>
      </c>
      <c r="AP46" s="28">
        <v>8</v>
      </c>
      <c r="AQ46" s="79" t="e">
        <f>((($W$38)^Q46)*((1-($W$38))^($U$33-Q46))*HLOOKUP($U$33,$AV$24:$BF$34,Q46+1))*V47</f>
        <v>#DIV/0!</v>
      </c>
      <c r="AR46" s="28">
        <v>8</v>
      </c>
      <c r="AS46" s="79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38"/>
        <v>45</v>
      </c>
      <c r="BH46">
        <f>BH41+1</f>
        <v>5</v>
      </c>
      <c r="BI46">
        <v>8</v>
      </c>
      <c r="BJ46" s="107" t="e">
        <f>$H$29*H46</f>
        <v>#DIV/0!</v>
      </c>
      <c r="BP46">
        <f t="shared" si="36"/>
        <v>9</v>
      </c>
      <c r="BQ46">
        <v>7</v>
      </c>
      <c r="BR46" s="107" t="e">
        <f t="shared" si="37"/>
        <v>#DIV/0!</v>
      </c>
    </row>
    <row r="47" spans="1:70" ht="15" customHeight="1" thickBot="1" x14ac:dyDescent="0.3">
      <c r="A47" s="113" t="s">
        <v>116</v>
      </c>
      <c r="B47" s="113" t="s">
        <v>21</v>
      </c>
      <c r="C47" s="113" t="s">
        <v>117</v>
      </c>
      <c r="D47" s="113" t="s">
        <v>118</v>
      </c>
      <c r="E47" s="113" t="s">
        <v>115</v>
      </c>
      <c r="G47" s="91">
        <v>9</v>
      </c>
      <c r="H47" s="132" t="e">
        <f>J47*L38+J46*L39+J45*L40+J44*L41</f>
        <v>#DIV/0!</v>
      </c>
      <c r="I47" s="93">
        <v>9</v>
      </c>
      <c r="J47" s="86" t="e">
        <f t="shared" si="31"/>
        <v>#DIV/0!</v>
      </c>
      <c r="K47" s="95">
        <v>9</v>
      </c>
      <c r="L47" s="86"/>
      <c r="M47" s="85"/>
      <c r="N47" s="37"/>
      <c r="O47" s="37"/>
      <c r="P47" s="37"/>
      <c r="Q47" s="28">
        <v>9</v>
      </c>
      <c r="R47" s="37" t="e">
        <f>P43*N42+P42*N43</f>
        <v>#DIV/0!</v>
      </c>
      <c r="S47" s="72">
        <v>9</v>
      </c>
      <c r="T47" s="135" t="e">
        <f t="shared" si="35"/>
        <v>#DIV/0!</v>
      </c>
      <c r="U47" s="93">
        <v>9</v>
      </c>
      <c r="V47" s="86" t="e">
        <f>T47*R38+T46*R39+T45*R40+T44*R41+T43*R42+T42*R43+T41*R44+T40*R45+T39*R46+T38*R47</f>
        <v>#DIV/0!</v>
      </c>
      <c r="W47" s="137"/>
      <c r="X47" s="28">
        <v>9</v>
      </c>
      <c r="Y47" s="73"/>
      <c r="Z47" s="28">
        <v>9</v>
      </c>
      <c r="AA47" s="79"/>
      <c r="AB47" s="28">
        <v>9</v>
      </c>
      <c r="AC47" s="79"/>
      <c r="AD47" s="28">
        <v>9</v>
      </c>
      <c r="AE47" s="79"/>
      <c r="AF47" s="28">
        <v>9</v>
      </c>
      <c r="AG47" s="79"/>
      <c r="AH47" s="28">
        <v>9</v>
      </c>
      <c r="AI47" s="79"/>
      <c r="AJ47" s="28">
        <v>9</v>
      </c>
      <c r="AK47" s="79"/>
      <c r="AL47" s="28">
        <v>9</v>
      </c>
      <c r="AM47" s="79"/>
      <c r="AN47" s="28">
        <v>9</v>
      </c>
      <c r="AO47" s="79"/>
      <c r="AP47" s="28">
        <v>9</v>
      </c>
      <c r="AQ47" s="79" t="e">
        <f>((($W$38)^Q47)*((1-($W$38))^($U$33-Q47))*HLOOKUP($U$33,$AV$24:$BF$34,Q47+1))*V47</f>
        <v>#DIV/0!</v>
      </c>
      <c r="AR47" s="28">
        <v>9</v>
      </c>
      <c r="AS47" s="79" t="e">
        <f>((($W$38)^Q47)*((1-($W$38))^($U$34-Q47))*HLOOKUP($U$34,$AV$24:$BF$34,Q47+1))*V48</f>
        <v>#DIV/0!</v>
      </c>
      <c r="AV47" s="29">
        <v>9</v>
      </c>
      <c r="BE47">
        <v>1</v>
      </c>
      <c r="BF47">
        <f t="shared" si="38"/>
        <v>10</v>
      </c>
      <c r="BH47">
        <f>BH42+1</f>
        <v>5</v>
      </c>
      <c r="BI47">
        <v>9</v>
      </c>
      <c r="BJ47" s="107" t="e">
        <f>$H$29*H47</f>
        <v>#DIV/0!</v>
      </c>
      <c r="BP47">
        <f>BL12+1</f>
        <v>9</v>
      </c>
      <c r="BQ47">
        <v>8</v>
      </c>
      <c r="BR47" s="107" t="e">
        <f t="shared" si="37"/>
        <v>#DIV/0!</v>
      </c>
    </row>
    <row r="48" spans="1:70" ht="15" customHeight="1" thickBot="1" x14ac:dyDescent="0.3">
      <c r="A48" s="114" t="s">
        <v>112</v>
      </c>
      <c r="B48" s="114" t="s">
        <v>119</v>
      </c>
      <c r="C48" s="114" t="s">
        <v>117</v>
      </c>
      <c r="D48" s="115" t="s">
        <v>120</v>
      </c>
      <c r="E48" s="114" t="s">
        <v>115</v>
      </c>
      <c r="G48" s="92">
        <v>10</v>
      </c>
      <c r="H48" s="133" t="e">
        <f>J48*L38+J47*L39+J46*L40+J45*L41</f>
        <v>#DIV/0!</v>
      </c>
      <c r="I48" s="94">
        <v>10</v>
      </c>
      <c r="J48" s="89" t="e">
        <f t="shared" si="31"/>
        <v>#DIV/0!</v>
      </c>
      <c r="K48" s="96">
        <v>10</v>
      </c>
      <c r="L48" s="89"/>
      <c r="M48" s="85"/>
      <c r="N48" s="37"/>
      <c r="O48" s="37"/>
      <c r="P48" s="37"/>
      <c r="Q48" s="28">
        <v>10</v>
      </c>
      <c r="R48" s="37" t="e">
        <f>P43*N43</f>
        <v>#DIV/0!</v>
      </c>
      <c r="S48" s="72">
        <v>10</v>
      </c>
      <c r="T48" s="135" t="e">
        <f t="shared" si="35"/>
        <v>#DIV/0!</v>
      </c>
      <c r="U48" s="94">
        <v>10</v>
      </c>
      <c r="V48" s="89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37"/>
      <c r="X48" s="28">
        <v>10</v>
      </c>
      <c r="Y48" s="73"/>
      <c r="Z48" s="28">
        <v>10</v>
      </c>
      <c r="AA48" s="79"/>
      <c r="AB48" s="28">
        <v>10</v>
      </c>
      <c r="AC48" s="79"/>
      <c r="AD48" s="28">
        <v>10</v>
      </c>
      <c r="AE48" s="79"/>
      <c r="AF48" s="28">
        <v>10</v>
      </c>
      <c r="AG48" s="79"/>
      <c r="AH48" s="28">
        <v>10</v>
      </c>
      <c r="AI48" s="79"/>
      <c r="AJ48" s="28">
        <v>10</v>
      </c>
      <c r="AK48" s="79"/>
      <c r="AL48" s="28">
        <v>10</v>
      </c>
      <c r="AM48" s="79"/>
      <c r="AN48" s="28">
        <v>10</v>
      </c>
      <c r="AO48" s="79"/>
      <c r="AP48" s="28">
        <v>10</v>
      </c>
      <c r="AQ48" s="79"/>
      <c r="AR48" s="28">
        <v>10</v>
      </c>
      <c r="AS48" s="79" t="e">
        <f>((($W$38)^Q48)*((1-($W$38))^($U$34-Q48))*HLOOKUP($U$34,$AV$24:$BF$34,Q48+1))*V48</f>
        <v>#DIV/0!</v>
      </c>
      <c r="AV48" s="14">
        <v>10</v>
      </c>
      <c r="BF48">
        <f t="shared" si="38"/>
        <v>1</v>
      </c>
      <c r="BH48">
        <f>BH43+1</f>
        <v>5</v>
      </c>
      <c r="BI48">
        <v>10</v>
      </c>
      <c r="BJ48" s="107" t="e">
        <f>$H$29*H48</f>
        <v>#DIV/0!</v>
      </c>
    </row>
    <row r="49" spans="1:62" ht="15" customHeight="1" thickBot="1" x14ac:dyDescent="0.3">
      <c r="A49" s="114" t="s">
        <v>116</v>
      </c>
      <c r="B49" s="114" t="s">
        <v>119</v>
      </c>
      <c r="C49" s="114" t="s">
        <v>113</v>
      </c>
      <c r="D49" s="114" t="s">
        <v>121</v>
      </c>
      <c r="E49" s="114" t="s">
        <v>122</v>
      </c>
      <c r="G49" s="76"/>
      <c r="H49" s="77"/>
      <c r="I49" s="33"/>
      <c r="J49" s="33"/>
      <c r="K49" s="77"/>
      <c r="L49" s="77"/>
      <c r="M49" s="31"/>
      <c r="N49" s="31"/>
      <c r="O49" s="32"/>
      <c r="P49" s="32"/>
      <c r="Q49" s="32"/>
      <c r="R49" s="32"/>
      <c r="S49" s="76"/>
      <c r="T49" s="76"/>
      <c r="U49" s="76"/>
      <c r="V49" s="77"/>
      <c r="W49" s="33"/>
      <c r="X49" s="13"/>
      <c r="Y49" s="13"/>
      <c r="BH49">
        <f>BP14+1</f>
        <v>6</v>
      </c>
      <c r="BI49">
        <v>0</v>
      </c>
      <c r="BJ49" s="107" t="e">
        <f>$H$30*H38</f>
        <v>#DIV/0!</v>
      </c>
    </row>
    <row r="50" spans="1:62" ht="15.75" thickBot="1" x14ac:dyDescent="0.3">
      <c r="A50" s="116" t="s">
        <v>112</v>
      </c>
      <c r="B50" s="116" t="s">
        <v>123</v>
      </c>
      <c r="C50" s="116" t="s">
        <v>113</v>
      </c>
      <c r="D50" s="116" t="s">
        <v>124</v>
      </c>
      <c r="E50" s="116" t="s">
        <v>115</v>
      </c>
      <c r="BH50">
        <f>BH45+1</f>
        <v>6</v>
      </c>
      <c r="BI50">
        <v>7</v>
      </c>
      <c r="BJ50" s="107" t="e">
        <f>$H$30*H45</f>
        <v>#DIV/0!</v>
      </c>
    </row>
    <row r="51" spans="1:62" ht="15.75" thickBot="1" x14ac:dyDescent="0.3">
      <c r="A51" s="116" t="s">
        <v>116</v>
      </c>
      <c r="B51" s="116" t="s">
        <v>123</v>
      </c>
      <c r="C51" s="116" t="s">
        <v>113</v>
      </c>
      <c r="D51" s="116" t="s">
        <v>125</v>
      </c>
      <c r="E51" s="116" t="s">
        <v>122</v>
      </c>
      <c r="H51" s="107"/>
      <c r="BH51">
        <f>BH46+1</f>
        <v>6</v>
      </c>
      <c r="BI51">
        <v>8</v>
      </c>
      <c r="BJ51" s="107" t="e">
        <f>$H$30*H46</f>
        <v>#DIV/0!</v>
      </c>
    </row>
    <row r="52" spans="1:62" x14ac:dyDescent="0.25">
      <c r="BH52">
        <f>BH47+1</f>
        <v>6</v>
      </c>
      <c r="BI52">
        <v>9</v>
      </c>
      <c r="BJ52" s="107" t="e">
        <f>$H$30*H47</f>
        <v>#DIV/0!</v>
      </c>
    </row>
    <row r="53" spans="1:62" x14ac:dyDescent="0.25">
      <c r="BH53">
        <f>BH48+1</f>
        <v>6</v>
      </c>
      <c r="BI53">
        <v>10</v>
      </c>
      <c r="BJ53" s="107" t="e">
        <f>$H$30*H48</f>
        <v>#DIV/0!</v>
      </c>
    </row>
    <row r="54" spans="1:62" x14ac:dyDescent="0.25">
      <c r="BH54">
        <f>BH51+1</f>
        <v>7</v>
      </c>
      <c r="BI54">
        <v>8</v>
      </c>
      <c r="BJ54" s="107" t="e">
        <f>$H$31*H46</f>
        <v>#DIV/0!</v>
      </c>
    </row>
    <row r="55" spans="1:62" x14ac:dyDescent="0.25">
      <c r="BH55">
        <f>BH52+1</f>
        <v>7</v>
      </c>
      <c r="BI55">
        <v>9</v>
      </c>
      <c r="BJ55" s="107" t="e">
        <f>$H$31*H47</f>
        <v>#DIV/0!</v>
      </c>
    </row>
    <row r="56" spans="1:62" x14ac:dyDescent="0.25">
      <c r="BH56">
        <f>BH53+1</f>
        <v>7</v>
      </c>
      <c r="BI56">
        <v>10</v>
      </c>
      <c r="BJ56" s="107" t="e">
        <f>$H$31*H48</f>
        <v>#DIV/0!</v>
      </c>
    </row>
    <row r="57" spans="1:62" x14ac:dyDescent="0.25">
      <c r="BH57">
        <f>BH55+1</f>
        <v>8</v>
      </c>
      <c r="BI57">
        <v>9</v>
      </c>
      <c r="BJ57" s="107" t="e">
        <f>$H$32*H47</f>
        <v>#DIV/0!</v>
      </c>
    </row>
    <row r="58" spans="1:62" x14ac:dyDescent="0.25">
      <c r="BH58">
        <f>BH56+1</f>
        <v>8</v>
      </c>
      <c r="BI58">
        <v>10</v>
      </c>
      <c r="BJ58" s="107" t="e">
        <f>$H$32*H48</f>
        <v>#DIV/0!</v>
      </c>
    </row>
    <row r="59" spans="1:62" x14ac:dyDescent="0.25">
      <c r="BH59">
        <f t="shared" ref="BH59" si="39">BH58+1</f>
        <v>9</v>
      </c>
      <c r="BI59">
        <v>10</v>
      </c>
      <c r="BJ59" s="107" t="e">
        <f>$H$33*H48</f>
        <v>#DIV/0!</v>
      </c>
    </row>
  </sheetData>
  <mergeCells count="2">
    <mergeCell ref="P1:Q1"/>
    <mergeCell ref="B3:C3"/>
  </mergeCells>
  <conditionalFormatting sqref="V24:V34 V38:V48">
    <cfRule type="cellIs" dxfId="13" priority="14" operator="greaterThan">
      <formula>0.15</formula>
    </cfRule>
  </conditionalFormatting>
  <conditionalFormatting sqref="V34">
    <cfRule type="cellIs" dxfId="12" priority="13" operator="greaterThan">
      <formula>0.15</formula>
    </cfRule>
  </conditionalFormatting>
  <conditionalFormatting sqref="V48">
    <cfRule type="cellIs" dxfId="11" priority="12" operator="greaterThan">
      <formula>0.15</formula>
    </cfRule>
  </conditionalFormatting>
  <conditionalFormatting sqref="V24:V34 V38:V48">
    <cfRule type="cellIs" dxfId="10" priority="11" operator="greaterThan">
      <formula>0.15</formula>
    </cfRule>
  </conditionalFormatting>
  <conditionalFormatting sqref="V34">
    <cfRule type="cellIs" dxfId="9" priority="10" operator="greaterThan">
      <formula>0.15</formula>
    </cfRule>
  </conditionalFormatting>
  <conditionalFormatting sqref="V48">
    <cfRule type="cellIs" dxfId="8" priority="9" operator="greaterThan">
      <formula>0.15</formula>
    </cfRule>
  </conditionalFormatting>
  <conditionalFormatting sqref="H24:H34">
    <cfRule type="cellIs" dxfId="7" priority="8" operator="greaterThan">
      <formula>0.15</formula>
    </cfRule>
  </conditionalFormatting>
  <conditionalFormatting sqref="H34">
    <cfRule type="cellIs" dxfId="6" priority="7" operator="greaterThan">
      <formula>0.15</formula>
    </cfRule>
  </conditionalFormatting>
  <conditionalFormatting sqref="H24:H34">
    <cfRule type="cellIs" dxfId="5" priority="6" operator="greaterThan">
      <formula>0.15</formula>
    </cfRule>
  </conditionalFormatting>
  <conditionalFormatting sqref="H34">
    <cfRule type="cellIs" dxfId="4" priority="5" operator="greaterThan">
      <formula>0.15</formula>
    </cfRule>
  </conditionalFormatting>
  <conditionalFormatting sqref="H38:H48">
    <cfRule type="cellIs" dxfId="3" priority="4" operator="greaterThan">
      <formula>0.15</formula>
    </cfRule>
  </conditionalFormatting>
  <conditionalFormatting sqref="H48">
    <cfRule type="cellIs" dxfId="2" priority="3" operator="greaterThan">
      <formula>0.15</formula>
    </cfRule>
  </conditionalFormatting>
  <conditionalFormatting sqref="H38:H48">
    <cfRule type="cellIs" dxfId="1" priority="2" operator="greaterThan">
      <formula>0.15</formula>
    </cfRule>
  </conditionalFormatting>
  <conditionalFormatting sqref="H48">
    <cfRule type="cellIs" dxfId="0" priority="1" operator="greaterThan">
      <formula>0.15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Pueblica-VADER</vt:lpstr>
      <vt:lpstr>Men-OBIWAN</vt:lpstr>
      <vt:lpstr>SIMULADOR</vt:lpstr>
      <vt:lpstr>SIMULADOR&gt;22-12-17</vt:lpstr>
      <vt:lpstr>SIMULADOR_sinJC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2017-11-17T14:35:54Z</dcterms:modified>
</cp:coreProperties>
</file>