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07A28F33-E08F-4F5B-A880-9FBB78C9A0B6}" xr6:coauthVersionLast="33" xr6:coauthVersionMax="33" xr10:uidLastSave="{00000000-0000-0000-0000-000000000000}"/>
  <bookViews>
    <workbookView xWindow="1680" yWindow="300" windowWidth="14880" windowHeight="7815" firstSheet="18" activeTab="25" xr2:uid="{00000000-000D-0000-FFFF-FFFF00000000}"/>
  </bookViews>
  <sheets>
    <sheet name="Resistencia" sheetId="37" r:id="rId1"/>
    <sheet name="CA_Calculator" sheetId="83" r:id="rId2"/>
    <sheet name="TL_Tactica" sheetId="102" r:id="rId3"/>
    <sheet name="CAPITAN" sheetId="76" r:id="rId4"/>
    <sheet name="ENTRENADOR" sheetId="85" r:id="rId5"/>
    <sheet name="PLANTILLA" sheetId="32" r:id="rId6"/>
    <sheet name="PLANNING" sheetId="115"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8" sheetId="91" r:id="rId20"/>
    <sheet name="A-P_T48" sheetId="92" r:id="rId21"/>
    <sheet name="EconomiaT49" sheetId="100" r:id="rId22"/>
    <sheet name="A-P_T49" sheetId="101" r:id="rId23"/>
    <sheet name="EconomiaT50" sheetId="103" r:id="rId24"/>
    <sheet name="A-P_T50" sheetId="104" r:id="rId25"/>
    <sheet name="TablasEntreno" sheetId="99" r:id="rId26"/>
    <sheet name="Entrenamientos" sheetId="12" r:id="rId27"/>
    <sheet name="NUEVOENTRENADOR" sheetId="41" r:id="rId28"/>
    <sheet name="RiscLesió" sheetId="48" r:id="rId29"/>
    <sheet name="EMPLEADOS" sheetId="93" r:id="rId30"/>
  </sheets>
  <definedNames>
    <definedName name="_xlnm._FilterDatabase" localSheetId="5" hidden="1">PLANTILLA!$A$3:$AN$30</definedName>
  </definedNames>
  <calcPr calcId="179017"/>
</workbook>
</file>

<file path=xl/calcChain.xml><?xml version="1.0" encoding="utf-8"?>
<calcChain xmlns="http://schemas.openxmlformats.org/spreadsheetml/2006/main">
  <c r="I34" i="115" l="1"/>
  <c r="H34" i="115"/>
  <c r="F34" i="115"/>
  <c r="E34" i="115"/>
  <c r="I26" i="115"/>
  <c r="V26" i="115" s="1"/>
  <c r="H26" i="115"/>
  <c r="E26" i="115"/>
  <c r="I25" i="115"/>
  <c r="V25" i="115" s="1"/>
  <c r="H25" i="115"/>
  <c r="U25" i="115" s="1"/>
  <c r="E25" i="115"/>
  <c r="I24" i="115"/>
  <c r="H24" i="115"/>
  <c r="E24" i="115"/>
  <c r="I23" i="115"/>
  <c r="V23" i="115" s="1"/>
  <c r="H23" i="115"/>
  <c r="U23" i="115" s="1"/>
  <c r="E23" i="115"/>
  <c r="R23" i="115" s="1"/>
  <c r="L22" i="115"/>
  <c r="Y22" i="115" s="1"/>
  <c r="Z22" i="115" s="1"/>
  <c r="M22" i="115"/>
  <c r="L23" i="115"/>
  <c r="M23" i="115"/>
  <c r="L24" i="115"/>
  <c r="M24" i="115"/>
  <c r="L25" i="115"/>
  <c r="M25" i="115"/>
  <c r="L26" i="115"/>
  <c r="Y26" i="115" s="1"/>
  <c r="Z26" i="115" s="1"/>
  <c r="M26" i="115"/>
  <c r="L27" i="115"/>
  <c r="M27" i="115"/>
  <c r="L28" i="115"/>
  <c r="M28" i="115"/>
  <c r="L29" i="115"/>
  <c r="M29" i="115"/>
  <c r="L30" i="115"/>
  <c r="Y30" i="115" s="1"/>
  <c r="Z30" i="115" s="1"/>
  <c r="M30" i="115"/>
  <c r="L31" i="115"/>
  <c r="M31" i="115"/>
  <c r="L32" i="115"/>
  <c r="M32" i="115"/>
  <c r="L33" i="115"/>
  <c r="M33" i="115"/>
  <c r="L34" i="115"/>
  <c r="Y34" i="115" s="1"/>
  <c r="Z34" i="115" s="1"/>
  <c r="M34" i="115"/>
  <c r="M21" i="115"/>
  <c r="L21" i="115"/>
  <c r="E22" i="115"/>
  <c r="R22" i="115" s="1"/>
  <c r="S22" i="115"/>
  <c r="H22" i="115"/>
  <c r="I22" i="115"/>
  <c r="T23" i="115"/>
  <c r="S24" i="115"/>
  <c r="T24" i="115"/>
  <c r="U24" i="115"/>
  <c r="U26" i="115"/>
  <c r="W26" i="115"/>
  <c r="E27" i="115"/>
  <c r="F27" i="115"/>
  <c r="G27" i="115"/>
  <c r="H27" i="115"/>
  <c r="I27" i="115"/>
  <c r="V27" i="115" s="1"/>
  <c r="J27" i="115"/>
  <c r="K27" i="115"/>
  <c r="E28" i="115"/>
  <c r="F28" i="115"/>
  <c r="G28" i="115"/>
  <c r="H28" i="115"/>
  <c r="I28" i="115"/>
  <c r="J28" i="115"/>
  <c r="K28" i="115"/>
  <c r="E29" i="115"/>
  <c r="R29" i="115" s="1"/>
  <c r="F29" i="115"/>
  <c r="G29" i="115"/>
  <c r="H29" i="115"/>
  <c r="I29" i="115"/>
  <c r="J29" i="115"/>
  <c r="K29" i="115"/>
  <c r="E30" i="115"/>
  <c r="R30" i="115" s="1"/>
  <c r="F30" i="115"/>
  <c r="G30" i="115"/>
  <c r="H30" i="115"/>
  <c r="I30" i="115"/>
  <c r="J30" i="115"/>
  <c r="K30" i="115"/>
  <c r="E31" i="115"/>
  <c r="F31" i="115"/>
  <c r="G31" i="115"/>
  <c r="H31" i="115"/>
  <c r="I31" i="115"/>
  <c r="J31" i="115"/>
  <c r="K31" i="115"/>
  <c r="E32" i="115"/>
  <c r="F32" i="115"/>
  <c r="S32" i="115" s="1"/>
  <c r="G32" i="115"/>
  <c r="H32" i="115"/>
  <c r="U32" i="115" s="1"/>
  <c r="I32" i="115"/>
  <c r="J32" i="115"/>
  <c r="K32" i="115"/>
  <c r="E33" i="115"/>
  <c r="F33" i="115"/>
  <c r="T33" i="115"/>
  <c r="H33" i="115"/>
  <c r="I33" i="115"/>
  <c r="V33" i="115" s="1"/>
  <c r="U34" i="115"/>
  <c r="V34" i="115"/>
  <c r="W34" i="115"/>
  <c r="G21" i="115"/>
  <c r="T21" i="115" s="1"/>
  <c r="H21" i="115"/>
  <c r="I21" i="115"/>
  <c r="J21" i="115"/>
  <c r="A22" i="115"/>
  <c r="B22" i="115"/>
  <c r="A23" i="115"/>
  <c r="B23" i="115"/>
  <c r="P23" i="115" s="1"/>
  <c r="A24" i="115"/>
  <c r="B24" i="115"/>
  <c r="P24" i="115" s="1"/>
  <c r="A25" i="115"/>
  <c r="B25" i="115"/>
  <c r="P25" i="115" s="1"/>
  <c r="A26" i="115"/>
  <c r="B26" i="115"/>
  <c r="P26" i="115" s="1"/>
  <c r="A27" i="115"/>
  <c r="B27" i="115"/>
  <c r="C27" i="115"/>
  <c r="D27" i="115"/>
  <c r="A28" i="115"/>
  <c r="B28" i="115"/>
  <c r="C28" i="115"/>
  <c r="D28" i="115"/>
  <c r="A29" i="115"/>
  <c r="B29" i="115"/>
  <c r="P29" i="115" s="1"/>
  <c r="C29" i="115"/>
  <c r="D29" i="115"/>
  <c r="A30" i="115"/>
  <c r="B30" i="115"/>
  <c r="C30" i="115"/>
  <c r="D30" i="115"/>
  <c r="A31" i="115"/>
  <c r="B31" i="115"/>
  <c r="C31" i="115"/>
  <c r="D31" i="115"/>
  <c r="Q31" i="115" s="1"/>
  <c r="A32" i="115"/>
  <c r="B32" i="115"/>
  <c r="C32" i="115"/>
  <c r="D32" i="115"/>
  <c r="A33" i="115"/>
  <c r="B33" i="115"/>
  <c r="D33" i="115"/>
  <c r="Q33" i="115" s="1"/>
  <c r="A34" i="115"/>
  <c r="B34" i="115"/>
  <c r="D34" i="115"/>
  <c r="Q34" i="115" s="1"/>
  <c r="D21" i="115"/>
  <c r="B21" i="115"/>
  <c r="P21" i="115" s="1"/>
  <c r="A21" i="115"/>
  <c r="T34" i="115"/>
  <c r="S34" i="115"/>
  <c r="R34" i="115"/>
  <c r="P34" i="115"/>
  <c r="Y33" i="115"/>
  <c r="Z33" i="115" s="1"/>
  <c r="W33" i="115"/>
  <c r="U33" i="115"/>
  <c r="S33" i="115"/>
  <c r="R33" i="115"/>
  <c r="P33" i="115"/>
  <c r="Y32" i="115"/>
  <c r="Z32" i="115" s="1"/>
  <c r="T32" i="115"/>
  <c r="P32" i="115"/>
  <c r="V32" i="115"/>
  <c r="R32" i="115"/>
  <c r="Q32" i="115"/>
  <c r="W31" i="115"/>
  <c r="T31" i="115"/>
  <c r="P31" i="115"/>
  <c r="Y31" i="115"/>
  <c r="Z31" i="115" s="1"/>
  <c r="V31" i="115"/>
  <c r="U31" i="115"/>
  <c r="S31" i="115"/>
  <c r="R31" i="115"/>
  <c r="W30" i="115"/>
  <c r="T30" i="115"/>
  <c r="P30" i="115"/>
  <c r="V30" i="115"/>
  <c r="U30" i="115"/>
  <c r="S30" i="115"/>
  <c r="Q30" i="115"/>
  <c r="W29" i="115"/>
  <c r="T29" i="115"/>
  <c r="Y29" i="115"/>
  <c r="Z29" i="115" s="1"/>
  <c r="V29" i="115"/>
  <c r="U29" i="115"/>
  <c r="S29" i="115"/>
  <c r="Q29" i="115"/>
  <c r="Y28" i="115"/>
  <c r="Z28" i="115" s="1"/>
  <c r="W28" i="115"/>
  <c r="Q28" i="115"/>
  <c r="P28" i="115"/>
  <c r="V28" i="115"/>
  <c r="U28" i="115"/>
  <c r="S28" i="115"/>
  <c r="R28" i="115"/>
  <c r="W27" i="115"/>
  <c r="T27" i="115"/>
  <c r="P27" i="115"/>
  <c r="Y27" i="115"/>
  <c r="Z27" i="115" s="1"/>
  <c r="U27" i="115"/>
  <c r="S27" i="115"/>
  <c r="R27" i="115"/>
  <c r="Q27" i="115"/>
  <c r="T26" i="115"/>
  <c r="S26" i="115"/>
  <c r="R26" i="115"/>
  <c r="Q26" i="115"/>
  <c r="Y25" i="115"/>
  <c r="Z25" i="115" s="1"/>
  <c r="W25" i="115"/>
  <c r="T25" i="115"/>
  <c r="S25" i="115"/>
  <c r="R25" i="115"/>
  <c r="Q25" i="115"/>
  <c r="AC24" i="115"/>
  <c r="AC25" i="115" s="1"/>
  <c r="Y24" i="115"/>
  <c r="Z24" i="115" s="1"/>
  <c r="W24" i="115"/>
  <c r="V24" i="115"/>
  <c r="R24" i="115"/>
  <c r="Q24" i="115"/>
  <c r="Y23" i="115"/>
  <c r="Z23" i="115" s="1"/>
  <c r="W23" i="115"/>
  <c r="S23" i="115"/>
  <c r="Q23" i="115"/>
  <c r="W22" i="115"/>
  <c r="V22" i="115"/>
  <c r="U22" i="115"/>
  <c r="T22" i="115"/>
  <c r="Q22" i="115"/>
  <c r="P22" i="115"/>
  <c r="Y21" i="115"/>
  <c r="W21" i="115"/>
  <c r="V21" i="115"/>
  <c r="U21" i="115"/>
  <c r="S21" i="115"/>
  <c r="R21" i="115"/>
  <c r="L15" i="115"/>
  <c r="Y15" i="115" s="1"/>
  <c r="Z15" i="115" s="1"/>
  <c r="L11" i="115"/>
  <c r="M11" i="115" s="1"/>
  <c r="L12" i="115"/>
  <c r="Y12" i="115" s="1"/>
  <c r="Z12" i="115" s="1"/>
  <c r="L13" i="115"/>
  <c r="Y13" i="115" s="1"/>
  <c r="Z13" i="115" s="1"/>
  <c r="L14" i="115"/>
  <c r="Y14" i="115" s="1"/>
  <c r="Z14" i="115" s="1"/>
  <c r="L10" i="115"/>
  <c r="Y10" i="115" s="1"/>
  <c r="Z10" i="115" s="1"/>
  <c r="W14" i="115"/>
  <c r="W13" i="115"/>
  <c r="W11" i="115"/>
  <c r="W12" i="115"/>
  <c r="W10" i="115"/>
  <c r="Y5" i="115"/>
  <c r="Z5" i="115" s="1"/>
  <c r="Y6" i="115"/>
  <c r="Z6" i="115" s="1"/>
  <c r="Y7" i="115"/>
  <c r="Z7" i="115"/>
  <c r="Y8" i="115"/>
  <c r="Z8" i="115" s="1"/>
  <c r="Y9" i="115"/>
  <c r="Z9" i="115"/>
  <c r="Y16" i="115"/>
  <c r="Z16" i="115" s="1"/>
  <c r="Y17" i="115"/>
  <c r="Z17" i="115"/>
  <c r="Y4" i="115"/>
  <c r="Z4" i="115" s="1"/>
  <c r="T15" i="115"/>
  <c r="T14" i="115"/>
  <c r="T13" i="115"/>
  <c r="T12" i="115"/>
  <c r="T10" i="115"/>
  <c r="R5" i="115"/>
  <c r="S5" i="115"/>
  <c r="T5" i="115"/>
  <c r="U5" i="115"/>
  <c r="V5" i="115"/>
  <c r="W5" i="115"/>
  <c r="X5" i="115"/>
  <c r="R6" i="115"/>
  <c r="S6" i="115"/>
  <c r="T6" i="115"/>
  <c r="U6" i="115"/>
  <c r="V6" i="115"/>
  <c r="W6" i="115"/>
  <c r="X6" i="115"/>
  <c r="R7" i="115"/>
  <c r="S7" i="115"/>
  <c r="T7" i="115"/>
  <c r="U7" i="115"/>
  <c r="V7" i="115"/>
  <c r="W7" i="115"/>
  <c r="X7" i="115"/>
  <c r="R8" i="115"/>
  <c r="S8" i="115"/>
  <c r="T8" i="115"/>
  <c r="U8" i="115"/>
  <c r="V8" i="115"/>
  <c r="W8" i="115"/>
  <c r="X8" i="115"/>
  <c r="R9" i="115"/>
  <c r="S9" i="115"/>
  <c r="T9" i="115"/>
  <c r="U9" i="115"/>
  <c r="V9" i="115"/>
  <c r="W9" i="115"/>
  <c r="X9" i="115"/>
  <c r="V10" i="115"/>
  <c r="R11" i="115"/>
  <c r="S11" i="115"/>
  <c r="X12" i="115"/>
  <c r="R13" i="115"/>
  <c r="X13" i="115"/>
  <c r="R14" i="115"/>
  <c r="S14" i="115"/>
  <c r="U14" i="115"/>
  <c r="V14" i="115"/>
  <c r="R16" i="115"/>
  <c r="S16" i="115"/>
  <c r="T16" i="115"/>
  <c r="U16" i="115"/>
  <c r="V16" i="115"/>
  <c r="W16" i="115"/>
  <c r="X16" i="115"/>
  <c r="R17" i="115"/>
  <c r="S17" i="115"/>
  <c r="T17" i="115"/>
  <c r="U17" i="115"/>
  <c r="V17" i="115"/>
  <c r="W17" i="115"/>
  <c r="X17" i="115"/>
  <c r="S4" i="115"/>
  <c r="T4" i="115"/>
  <c r="U4" i="115"/>
  <c r="V4" i="115"/>
  <c r="W4" i="115"/>
  <c r="X4" i="115"/>
  <c r="R4" i="115"/>
  <c r="AC7" i="115"/>
  <c r="AC8" i="115" s="1"/>
  <c r="E11" i="115"/>
  <c r="F11" i="115"/>
  <c r="G11" i="115"/>
  <c r="H11" i="115"/>
  <c r="U11" i="115" s="1"/>
  <c r="I11" i="115"/>
  <c r="V11" i="115" s="1"/>
  <c r="J11" i="115"/>
  <c r="K11" i="115"/>
  <c r="X11" i="115" s="1"/>
  <c r="E12" i="115"/>
  <c r="R12" i="115" s="1"/>
  <c r="F12" i="115"/>
  <c r="S12" i="115" s="1"/>
  <c r="G12" i="115"/>
  <c r="H12" i="115"/>
  <c r="U12" i="115" s="1"/>
  <c r="I12" i="115"/>
  <c r="V12" i="115" s="1"/>
  <c r="J12" i="115"/>
  <c r="K12" i="115"/>
  <c r="E13" i="115"/>
  <c r="F13" i="115"/>
  <c r="S13" i="115" s="1"/>
  <c r="G13" i="115"/>
  <c r="H13" i="115"/>
  <c r="U13" i="115" s="1"/>
  <c r="I13" i="115"/>
  <c r="V13" i="115" s="1"/>
  <c r="J13" i="115"/>
  <c r="K13" i="115"/>
  <c r="E14" i="115"/>
  <c r="F14" i="115"/>
  <c r="G14" i="115"/>
  <c r="H14" i="115"/>
  <c r="I14" i="115"/>
  <c r="J14" i="115"/>
  <c r="K14" i="115"/>
  <c r="X14" i="115" s="1"/>
  <c r="E15" i="115"/>
  <c r="R15" i="115" s="1"/>
  <c r="F15" i="115"/>
  <c r="S15" i="115" s="1"/>
  <c r="G15" i="115"/>
  <c r="H15" i="115"/>
  <c r="U15" i="115" s="1"/>
  <c r="I15" i="115"/>
  <c r="V15" i="115" s="1"/>
  <c r="J15" i="115"/>
  <c r="K15" i="115"/>
  <c r="X15" i="115" s="1"/>
  <c r="F10" i="115"/>
  <c r="S10" i="115" s="1"/>
  <c r="G10" i="115"/>
  <c r="H10" i="115"/>
  <c r="U10" i="115" s="1"/>
  <c r="I10" i="115"/>
  <c r="J10" i="115"/>
  <c r="K10" i="115"/>
  <c r="X10" i="115" s="1"/>
  <c r="E10" i="115"/>
  <c r="R10" i="115" s="1"/>
  <c r="C11" i="115"/>
  <c r="D11" i="115"/>
  <c r="C12" i="115"/>
  <c r="D12" i="115"/>
  <c r="Q12" i="115" s="1"/>
  <c r="C13" i="115"/>
  <c r="D13" i="115"/>
  <c r="Q13" i="115" s="1"/>
  <c r="C14" i="115"/>
  <c r="D14" i="115"/>
  <c r="Q14" i="115" s="1"/>
  <c r="C15" i="115"/>
  <c r="D15" i="115"/>
  <c r="Q15" i="115" s="1"/>
  <c r="D10" i="115"/>
  <c r="Q10" i="115" s="1"/>
  <c r="C10" i="115"/>
  <c r="P5" i="115"/>
  <c r="Q5" i="115"/>
  <c r="P6" i="115"/>
  <c r="Q6" i="115"/>
  <c r="P7" i="115"/>
  <c r="Q7" i="115"/>
  <c r="P8" i="115"/>
  <c r="Q8" i="115"/>
  <c r="P9" i="115"/>
  <c r="Q9" i="115"/>
  <c r="P10" i="115"/>
  <c r="P11" i="115"/>
  <c r="Q11" i="115"/>
  <c r="P12" i="115"/>
  <c r="P13" i="115"/>
  <c r="P14" i="115"/>
  <c r="P15" i="115"/>
  <c r="P16" i="115"/>
  <c r="Q16" i="115"/>
  <c r="P17" i="115"/>
  <c r="Q17" i="115"/>
  <c r="P4" i="115"/>
  <c r="M16" i="115"/>
  <c r="M17" i="115"/>
  <c r="M14" i="115"/>
  <c r="M12" i="115"/>
  <c r="M9" i="115"/>
  <c r="M8" i="115"/>
  <c r="M7" i="115"/>
  <c r="M6" i="115"/>
  <c r="M5" i="115"/>
  <c r="M4" i="115"/>
  <c r="M13" i="115" l="1"/>
  <c r="Y19" i="115"/>
  <c r="L19" i="115"/>
  <c r="Z21" i="115"/>
  <c r="Z19" i="115" s="1"/>
  <c r="M19" i="115"/>
  <c r="M15" i="115"/>
  <c r="M2" i="115" s="1"/>
  <c r="Y11" i="115"/>
  <c r="Z11" i="115" s="1"/>
  <c r="Z2" i="115" s="1"/>
  <c r="Y2" i="115"/>
  <c r="L2" i="115"/>
  <c r="Y15" i="86" l="1"/>
  <c r="Y16" i="86"/>
  <c r="Y17" i="86"/>
  <c r="Y18" i="86"/>
  <c r="Y19" i="86"/>
  <c r="Y20" i="86"/>
  <c r="AF20" i="86" s="1"/>
  <c r="Y21" i="86"/>
  <c r="Y22" i="86"/>
  <c r="Y23" i="86"/>
  <c r="Y14" i="86"/>
  <c r="X23" i="86"/>
  <c r="X22" i="86"/>
  <c r="X20" i="86"/>
  <c r="AE20" i="86" s="1"/>
  <c r="X19" i="86"/>
  <c r="X18" i="86"/>
  <c r="X15" i="86"/>
  <c r="X14" i="86"/>
  <c r="X16" i="86"/>
  <c r="X17" i="86"/>
  <c r="X21" i="86"/>
  <c r="T22" i="86"/>
  <c r="T21" i="86"/>
  <c r="T20" i="86"/>
  <c r="T17" i="86"/>
  <c r="AA17" i="86" s="1"/>
  <c r="T16" i="86"/>
  <c r="AA16" i="86" s="1"/>
  <c r="T15" i="86"/>
  <c r="T14" i="86"/>
  <c r="U14" i="86"/>
  <c r="U15" i="86"/>
  <c r="U16" i="86"/>
  <c r="U17" i="86"/>
  <c r="U18" i="86"/>
  <c r="U19" i="86"/>
  <c r="U20" i="86"/>
  <c r="U21" i="86"/>
  <c r="U22" i="86"/>
  <c r="U23" i="86"/>
  <c r="T23" i="86"/>
  <c r="T19" i="86"/>
  <c r="T18" i="86"/>
  <c r="AA18" i="86" s="1"/>
  <c r="S14" i="86"/>
  <c r="V14" i="86"/>
  <c r="W14" i="86"/>
  <c r="S15" i="86"/>
  <c r="Z15" i="86" s="1"/>
  <c r="V15" i="86"/>
  <c r="W15" i="86"/>
  <c r="S16" i="86"/>
  <c r="V16" i="86"/>
  <c r="W16" i="86"/>
  <c r="S17" i="86"/>
  <c r="V17" i="86"/>
  <c r="AC17" i="86" s="1"/>
  <c r="W17" i="86"/>
  <c r="S18" i="86"/>
  <c r="V18" i="86"/>
  <c r="W18" i="86"/>
  <c r="S19" i="86"/>
  <c r="V19" i="86"/>
  <c r="W19" i="86"/>
  <c r="AD19" i="86" s="1"/>
  <c r="S20" i="86"/>
  <c r="V20" i="86"/>
  <c r="W20" i="86"/>
  <c r="S21" i="86"/>
  <c r="V21" i="86"/>
  <c r="W21" i="86"/>
  <c r="S22" i="86"/>
  <c r="V22" i="86"/>
  <c r="W22" i="86"/>
  <c r="S23" i="86"/>
  <c r="V23" i="86"/>
  <c r="W23" i="86"/>
  <c r="S24" i="86"/>
  <c r="T24" i="86"/>
  <c r="U24" i="86"/>
  <c r="V24" i="86"/>
  <c r="W24" i="86"/>
  <c r="X24" i="86"/>
  <c r="Y24" i="86"/>
  <c r="S25" i="86"/>
  <c r="T25" i="86"/>
  <c r="U25" i="86"/>
  <c r="V25" i="86"/>
  <c r="W25" i="86"/>
  <c r="X25" i="86"/>
  <c r="Y25" i="86"/>
  <c r="S26" i="86"/>
  <c r="T26" i="86"/>
  <c r="U26" i="86"/>
  <c r="V26" i="86"/>
  <c r="W26" i="86"/>
  <c r="X26" i="86"/>
  <c r="AE26" i="86" s="1"/>
  <c r="Y26" i="86"/>
  <c r="S27" i="86"/>
  <c r="T27" i="86"/>
  <c r="U27" i="86"/>
  <c r="V27" i="86"/>
  <c r="W27" i="86"/>
  <c r="X27" i="86"/>
  <c r="Y27" i="86"/>
  <c r="S28" i="86"/>
  <c r="T28" i="86"/>
  <c r="U28" i="86"/>
  <c r="V28" i="86"/>
  <c r="W28" i="86"/>
  <c r="X28" i="86"/>
  <c r="Y28" i="86"/>
  <c r="T4" i="86"/>
  <c r="U4" i="86"/>
  <c r="V4" i="86"/>
  <c r="W4" i="86"/>
  <c r="X4" i="86"/>
  <c r="Y4" i="86"/>
  <c r="T5" i="86"/>
  <c r="U5" i="86"/>
  <c r="V5" i="86"/>
  <c r="W5" i="86"/>
  <c r="X5" i="86"/>
  <c r="Y5" i="86"/>
  <c r="T6" i="86"/>
  <c r="U6" i="86"/>
  <c r="V6" i="86"/>
  <c r="W6" i="86"/>
  <c r="X6" i="86"/>
  <c r="Y6" i="86"/>
  <c r="AF6" i="86" s="1"/>
  <c r="T7" i="86"/>
  <c r="U7" i="86"/>
  <c r="V7" i="86"/>
  <c r="W7" i="86"/>
  <c r="AD7" i="86" s="1"/>
  <c r="X7" i="86"/>
  <c r="Y7" i="86"/>
  <c r="T8" i="86"/>
  <c r="U8" i="86"/>
  <c r="V8" i="86"/>
  <c r="W8" i="86"/>
  <c r="X8" i="86"/>
  <c r="AE8" i="86" s="1"/>
  <c r="Y8" i="86"/>
  <c r="T9" i="86"/>
  <c r="U9" i="86"/>
  <c r="V9" i="86"/>
  <c r="W9" i="86"/>
  <c r="X9" i="86"/>
  <c r="Y9" i="86"/>
  <c r="T10" i="86"/>
  <c r="U10" i="86"/>
  <c r="V10" i="86"/>
  <c r="W10" i="86"/>
  <c r="X10" i="86"/>
  <c r="Y10" i="86"/>
  <c r="AF10" i="86" s="1"/>
  <c r="T11" i="86"/>
  <c r="U11" i="86"/>
  <c r="V11" i="86"/>
  <c r="W11" i="86"/>
  <c r="X11" i="86"/>
  <c r="Y11" i="86"/>
  <c r="T12" i="86"/>
  <c r="U12" i="86"/>
  <c r="V12" i="86"/>
  <c r="W12" i="86"/>
  <c r="X12" i="86"/>
  <c r="Y12" i="86"/>
  <c r="T13" i="86"/>
  <c r="U13" i="86"/>
  <c r="V13" i="86"/>
  <c r="W13" i="86"/>
  <c r="X13" i="86"/>
  <c r="Y13" i="86"/>
  <c r="S5" i="86"/>
  <c r="S6" i="86"/>
  <c r="S7" i="86"/>
  <c r="S8" i="86"/>
  <c r="S9" i="86"/>
  <c r="S10" i="86"/>
  <c r="S11" i="86"/>
  <c r="S12" i="86"/>
  <c r="S13" i="86"/>
  <c r="S4" i="86"/>
  <c r="A6" i="86"/>
  <c r="C6" i="86"/>
  <c r="D6" i="86"/>
  <c r="G6" i="86"/>
  <c r="H6" i="86"/>
  <c r="I6" i="86"/>
  <c r="Z6" i="86" s="1"/>
  <c r="J6" i="86"/>
  <c r="AA6" i="86" s="1"/>
  <c r="K6" i="86"/>
  <c r="AB6" i="86" s="1"/>
  <c r="L6" i="86"/>
  <c r="AC6" i="86" s="1"/>
  <c r="M6" i="86"/>
  <c r="AD6" i="86" s="1"/>
  <c r="N6" i="86"/>
  <c r="AE6" i="86" s="1"/>
  <c r="O6" i="86"/>
  <c r="P6" i="86"/>
  <c r="R6" i="86"/>
  <c r="A7" i="86"/>
  <c r="C7" i="86"/>
  <c r="D7" i="86"/>
  <c r="P7" i="86" s="1"/>
  <c r="F7" i="86"/>
  <c r="G7" i="86"/>
  <c r="H7" i="86"/>
  <c r="I7" i="86"/>
  <c r="Z7" i="86" s="1"/>
  <c r="J7" i="86"/>
  <c r="AA7" i="86" s="1"/>
  <c r="K7" i="86"/>
  <c r="AB7" i="86" s="1"/>
  <c r="L7" i="86"/>
  <c r="M7" i="86"/>
  <c r="N7" i="86"/>
  <c r="AE7" i="86" s="1"/>
  <c r="O7" i="86"/>
  <c r="R7" i="86"/>
  <c r="A8" i="86"/>
  <c r="C8" i="86"/>
  <c r="D8" i="86"/>
  <c r="G8" i="86"/>
  <c r="H8" i="86"/>
  <c r="I8" i="86"/>
  <c r="J8" i="86"/>
  <c r="K8" i="86"/>
  <c r="L8" i="86"/>
  <c r="AC8" i="86" s="1"/>
  <c r="M8" i="86"/>
  <c r="AD8" i="86" s="1"/>
  <c r="N8" i="86"/>
  <c r="O8" i="86"/>
  <c r="AF8" i="86" s="1"/>
  <c r="P8" i="86"/>
  <c r="R8" i="86"/>
  <c r="A9" i="86"/>
  <c r="C9" i="86"/>
  <c r="D9" i="86"/>
  <c r="P9" i="86" s="1"/>
  <c r="F9" i="86"/>
  <c r="G9" i="86"/>
  <c r="H9" i="86"/>
  <c r="I9" i="86"/>
  <c r="J9" i="86"/>
  <c r="AA9" i="86" s="1"/>
  <c r="K9" i="86"/>
  <c r="L9" i="86"/>
  <c r="AC9" i="86" s="1"/>
  <c r="M9" i="86"/>
  <c r="AD9" i="86" s="1"/>
  <c r="N9" i="86"/>
  <c r="AE9" i="86" s="1"/>
  <c r="O9" i="86"/>
  <c r="AF9" i="86" s="1"/>
  <c r="R9" i="86"/>
  <c r="Z9" i="86"/>
  <c r="A10" i="86"/>
  <c r="C10" i="86"/>
  <c r="D10" i="86"/>
  <c r="P10" i="86" s="1"/>
  <c r="G10" i="86"/>
  <c r="H10" i="86"/>
  <c r="R10" i="86" s="1"/>
  <c r="I10" i="86"/>
  <c r="Z10" i="86" s="1"/>
  <c r="J10" i="86"/>
  <c r="AA10" i="86" s="1"/>
  <c r="K10" i="86"/>
  <c r="AB10" i="86" s="1"/>
  <c r="L10" i="86"/>
  <c r="AC10" i="86" s="1"/>
  <c r="M10" i="86"/>
  <c r="N10" i="86"/>
  <c r="AE10" i="86" s="1"/>
  <c r="O10" i="86"/>
  <c r="A11" i="86"/>
  <c r="C11" i="86"/>
  <c r="D11" i="86"/>
  <c r="P11" i="86" s="1"/>
  <c r="F11" i="86"/>
  <c r="G11" i="86"/>
  <c r="H11" i="86"/>
  <c r="R11" i="86" s="1"/>
  <c r="I11" i="86"/>
  <c r="Z11" i="86" s="1"/>
  <c r="J11" i="86"/>
  <c r="AA11" i="86" s="1"/>
  <c r="K11" i="86"/>
  <c r="AB11" i="86" s="1"/>
  <c r="L11" i="86"/>
  <c r="AC11" i="86" s="1"/>
  <c r="M11" i="86"/>
  <c r="AD11" i="86" s="1"/>
  <c r="N11" i="86"/>
  <c r="AE11" i="86" s="1"/>
  <c r="O11" i="86"/>
  <c r="A12" i="86"/>
  <c r="C12" i="86"/>
  <c r="D12" i="86"/>
  <c r="P12" i="86" s="1"/>
  <c r="G12" i="86"/>
  <c r="H12" i="86"/>
  <c r="I12" i="86"/>
  <c r="J12" i="86"/>
  <c r="K12" i="86"/>
  <c r="L12" i="86"/>
  <c r="AC12" i="86" s="1"/>
  <c r="M12" i="86"/>
  <c r="AD12" i="86" s="1"/>
  <c r="N12" i="86"/>
  <c r="O12" i="86"/>
  <c r="AF12" i="86" s="1"/>
  <c r="R12" i="86"/>
  <c r="A13" i="86"/>
  <c r="C13" i="86"/>
  <c r="D13" i="86"/>
  <c r="P13" i="86" s="1"/>
  <c r="F13" i="86"/>
  <c r="G13" i="86"/>
  <c r="H13" i="86"/>
  <c r="R13" i="86" s="1"/>
  <c r="I13" i="86"/>
  <c r="Z13" i="86" s="1"/>
  <c r="J13" i="86"/>
  <c r="AA13" i="86" s="1"/>
  <c r="K13" i="86"/>
  <c r="L13" i="86"/>
  <c r="M13" i="86"/>
  <c r="N13" i="86"/>
  <c r="AE13" i="86" s="1"/>
  <c r="O13" i="86"/>
  <c r="AF13" i="86" s="1"/>
  <c r="A14" i="86"/>
  <c r="C14" i="86"/>
  <c r="D14" i="86"/>
  <c r="P14" i="86" s="1"/>
  <c r="G14" i="86"/>
  <c r="H14" i="86"/>
  <c r="I14" i="86"/>
  <c r="J14" i="86"/>
  <c r="K14" i="86"/>
  <c r="L14" i="86"/>
  <c r="AC14" i="86" s="1"/>
  <c r="M14" i="86"/>
  <c r="AD14" i="86" s="1"/>
  <c r="N14" i="86"/>
  <c r="AE14" i="86" s="1"/>
  <c r="O14" i="86"/>
  <c r="R14" i="86"/>
  <c r="Z14" i="86"/>
  <c r="AB14" i="86"/>
  <c r="A15" i="86"/>
  <c r="C15" i="86"/>
  <c r="D15" i="86"/>
  <c r="P15" i="86" s="1"/>
  <c r="F15" i="86"/>
  <c r="G15" i="86"/>
  <c r="H15" i="86"/>
  <c r="I15" i="86"/>
  <c r="J15" i="86"/>
  <c r="K15" i="86"/>
  <c r="L15" i="86"/>
  <c r="AC15" i="86" s="1"/>
  <c r="M15" i="86"/>
  <c r="AD15" i="86" s="1"/>
  <c r="N15" i="86"/>
  <c r="O15" i="86"/>
  <c r="R15" i="86"/>
  <c r="A16" i="86"/>
  <c r="C16" i="86"/>
  <c r="D16" i="86"/>
  <c r="G16" i="86"/>
  <c r="H16" i="86"/>
  <c r="R16" i="86" s="1"/>
  <c r="I16" i="86"/>
  <c r="J16" i="86"/>
  <c r="K16" i="86"/>
  <c r="L16" i="86"/>
  <c r="AC16" i="86" s="1"/>
  <c r="M16" i="86"/>
  <c r="AD16" i="86" s="1"/>
  <c r="N16" i="86"/>
  <c r="AE16" i="86" s="1"/>
  <c r="O16" i="86"/>
  <c r="P16" i="86"/>
  <c r="Z16" i="86"/>
  <c r="A17" i="86"/>
  <c r="C17" i="86"/>
  <c r="D17" i="86"/>
  <c r="P17" i="86" s="1"/>
  <c r="F17" i="86"/>
  <c r="G17" i="86"/>
  <c r="H17" i="86"/>
  <c r="R17" i="86" s="1"/>
  <c r="I17" i="86"/>
  <c r="J17" i="86"/>
  <c r="K17" i="86"/>
  <c r="L17" i="86"/>
  <c r="M17" i="86"/>
  <c r="N17" i="86"/>
  <c r="AE17" i="86" s="1"/>
  <c r="O17" i="86"/>
  <c r="AF17" i="86" s="1"/>
  <c r="A18" i="86"/>
  <c r="C18" i="86"/>
  <c r="D18" i="86"/>
  <c r="P18" i="86" s="1"/>
  <c r="G18" i="86"/>
  <c r="H18" i="86"/>
  <c r="R18" i="86" s="1"/>
  <c r="I18" i="86"/>
  <c r="Z18" i="86" s="1"/>
  <c r="J18" i="86"/>
  <c r="K18" i="86"/>
  <c r="L18" i="86"/>
  <c r="AC18" i="86" s="1"/>
  <c r="M18" i="86"/>
  <c r="AD18" i="86" s="1"/>
  <c r="N18" i="86"/>
  <c r="O18" i="86"/>
  <c r="AB18" i="86"/>
  <c r="A19" i="86"/>
  <c r="C19" i="86"/>
  <c r="D19" i="86"/>
  <c r="P19" i="86" s="1"/>
  <c r="F19" i="86"/>
  <c r="G19" i="86"/>
  <c r="H19" i="86"/>
  <c r="R19" i="86" s="1"/>
  <c r="I19" i="86"/>
  <c r="Z19" i="86" s="1"/>
  <c r="J19" i="86"/>
  <c r="K19" i="86"/>
  <c r="AB19" i="86" s="1"/>
  <c r="L19" i="86"/>
  <c r="AC19" i="86" s="1"/>
  <c r="M19" i="86"/>
  <c r="N19" i="86"/>
  <c r="AE19" i="86" s="1"/>
  <c r="O19" i="86"/>
  <c r="AF19" i="86" s="1"/>
  <c r="A20" i="86"/>
  <c r="C20" i="86"/>
  <c r="D20" i="86"/>
  <c r="G20" i="86"/>
  <c r="H20" i="86"/>
  <c r="R20" i="86" s="1"/>
  <c r="I20" i="86"/>
  <c r="Z20" i="86" s="1"/>
  <c r="J20" i="86"/>
  <c r="K20" i="86"/>
  <c r="L20" i="86"/>
  <c r="M20" i="86"/>
  <c r="AD20" i="86" s="1"/>
  <c r="N20" i="86"/>
  <c r="O20" i="86"/>
  <c r="P20" i="86"/>
  <c r="A21" i="86"/>
  <c r="C21" i="86"/>
  <c r="D21" i="86"/>
  <c r="F21" i="86"/>
  <c r="G21" i="86"/>
  <c r="H21" i="86"/>
  <c r="R21" i="86" s="1"/>
  <c r="I21" i="86"/>
  <c r="Z21" i="86" s="1"/>
  <c r="J21" i="86"/>
  <c r="K21" i="86"/>
  <c r="L21" i="86"/>
  <c r="M21" i="86"/>
  <c r="AD21" i="86" s="1"/>
  <c r="N21" i="86"/>
  <c r="AE21" i="86" s="1"/>
  <c r="O21" i="86"/>
  <c r="P21" i="86"/>
  <c r="AC21" i="86"/>
  <c r="A22" i="86"/>
  <c r="C22" i="86"/>
  <c r="D22" i="86"/>
  <c r="P22" i="86" s="1"/>
  <c r="G22" i="86"/>
  <c r="H22" i="86"/>
  <c r="I22" i="86"/>
  <c r="J22" i="86"/>
  <c r="K22" i="86"/>
  <c r="AB22" i="86" s="1"/>
  <c r="L22" i="86"/>
  <c r="AC22" i="86" s="1"/>
  <c r="M22" i="86"/>
  <c r="N22" i="86"/>
  <c r="O22" i="86"/>
  <c r="R22" i="86"/>
  <c r="A23" i="86"/>
  <c r="C23" i="86"/>
  <c r="D23" i="86"/>
  <c r="P23" i="86" s="1"/>
  <c r="F23" i="86"/>
  <c r="G23" i="86"/>
  <c r="H23" i="86"/>
  <c r="I23" i="86"/>
  <c r="J23" i="86"/>
  <c r="AA23" i="86" s="1"/>
  <c r="K23" i="86"/>
  <c r="L23" i="86"/>
  <c r="AC23" i="86" s="1"/>
  <c r="M23" i="86"/>
  <c r="AD23" i="86" s="1"/>
  <c r="N23" i="86"/>
  <c r="AE23" i="86" s="1"/>
  <c r="O23" i="86"/>
  <c r="R23" i="86"/>
  <c r="A24" i="86"/>
  <c r="C24" i="86"/>
  <c r="D24" i="86"/>
  <c r="P24" i="86" s="1"/>
  <c r="G24" i="86"/>
  <c r="H24" i="86"/>
  <c r="R24" i="86" s="1"/>
  <c r="I24" i="86"/>
  <c r="Z24" i="86" s="1"/>
  <c r="J24" i="86"/>
  <c r="K24" i="86"/>
  <c r="L24" i="86"/>
  <c r="AC24" i="86" s="1"/>
  <c r="M24" i="86"/>
  <c r="N24" i="86"/>
  <c r="AE24" i="86" s="1"/>
  <c r="O24" i="86"/>
  <c r="AF24" i="86" s="1"/>
  <c r="AD24" i="86"/>
  <c r="A25" i="86"/>
  <c r="C25" i="86"/>
  <c r="D25" i="86"/>
  <c r="F25" i="86"/>
  <c r="G25" i="86"/>
  <c r="H25" i="86"/>
  <c r="I25" i="86"/>
  <c r="Z25" i="86" s="1"/>
  <c r="J25" i="86"/>
  <c r="AA25" i="86" s="1"/>
  <c r="K25" i="86"/>
  <c r="L25" i="86"/>
  <c r="M25" i="86"/>
  <c r="N25" i="86"/>
  <c r="O25" i="86"/>
  <c r="AF25" i="86" s="1"/>
  <c r="P25" i="86"/>
  <c r="R25" i="86"/>
  <c r="AD25" i="86"/>
  <c r="AE25" i="86"/>
  <c r="A26" i="86"/>
  <c r="C26" i="86"/>
  <c r="D26" i="86"/>
  <c r="P26" i="86" s="1"/>
  <c r="G26" i="86"/>
  <c r="H26" i="86"/>
  <c r="R26" i="86" s="1"/>
  <c r="I26" i="86"/>
  <c r="Z26" i="86" s="1"/>
  <c r="J26" i="86"/>
  <c r="AA26" i="86" s="1"/>
  <c r="K26" i="86"/>
  <c r="AB26" i="86" s="1"/>
  <c r="L26" i="86"/>
  <c r="M26" i="86"/>
  <c r="N26" i="86"/>
  <c r="O26" i="86"/>
  <c r="AF26" i="86" s="1"/>
  <c r="A27" i="86"/>
  <c r="C27" i="86"/>
  <c r="D27" i="86"/>
  <c r="P27" i="86" s="1"/>
  <c r="F27" i="86"/>
  <c r="G27" i="86"/>
  <c r="H27" i="86"/>
  <c r="R27" i="86" s="1"/>
  <c r="I27" i="86"/>
  <c r="J27" i="86"/>
  <c r="K27" i="86"/>
  <c r="AB27" i="86" s="1"/>
  <c r="L27" i="86"/>
  <c r="AC27" i="86" s="1"/>
  <c r="M27" i="86"/>
  <c r="N27" i="86"/>
  <c r="O27" i="86"/>
  <c r="Z27" i="86"/>
  <c r="A28" i="86"/>
  <c r="C28" i="86"/>
  <c r="D28" i="86"/>
  <c r="P28" i="86" s="1"/>
  <c r="G28" i="86"/>
  <c r="H28" i="86"/>
  <c r="I28" i="86"/>
  <c r="Z28" i="86" s="1"/>
  <c r="J28" i="86"/>
  <c r="AA28" i="86" s="1"/>
  <c r="K28" i="86"/>
  <c r="AB28" i="86" s="1"/>
  <c r="L28" i="86"/>
  <c r="AC28" i="86" s="1"/>
  <c r="M28" i="86"/>
  <c r="AD28" i="86" s="1"/>
  <c r="N28" i="86"/>
  <c r="AE28" i="86" s="1"/>
  <c r="O28" i="86"/>
  <c r="AF28" i="86" s="1"/>
  <c r="R28" i="86"/>
  <c r="A4" i="113"/>
  <c r="B4" i="113"/>
  <c r="D4" i="113"/>
  <c r="S4" i="113"/>
  <c r="F4" i="113"/>
  <c r="G4" i="113"/>
  <c r="BT4" i="113" s="1"/>
  <c r="H4" i="113"/>
  <c r="I4" i="113"/>
  <c r="J4" i="113"/>
  <c r="AG4" i="113" s="1"/>
  <c r="K4" i="113"/>
  <c r="L4" i="113"/>
  <c r="M4" i="113"/>
  <c r="AY4" i="113" s="1"/>
  <c r="N4" i="113"/>
  <c r="O4" i="113"/>
  <c r="AL4" i="113" s="1"/>
  <c r="P4" i="113"/>
  <c r="R4" i="113"/>
  <c r="AM4" i="113"/>
  <c r="AO4" i="113" s="1"/>
  <c r="AU4" i="113"/>
  <c r="BC4" i="113"/>
  <c r="BS4" i="113"/>
  <c r="CB4" i="113"/>
  <c r="A5" i="113"/>
  <c r="B5" i="113"/>
  <c r="D5" i="113"/>
  <c r="F5" i="113"/>
  <c r="AP5" i="113" s="1"/>
  <c r="G5" i="113"/>
  <c r="H5" i="113"/>
  <c r="U5" i="113" s="1"/>
  <c r="I5" i="113"/>
  <c r="AA5" i="113" s="1"/>
  <c r="AC5" i="113" s="1"/>
  <c r="J5" i="113"/>
  <c r="K5" i="113"/>
  <c r="L5" i="113"/>
  <c r="BJ5" i="113" s="1"/>
  <c r="M5" i="113"/>
  <c r="N5" i="113"/>
  <c r="S5" i="113"/>
  <c r="T5" i="113"/>
  <c r="V5" i="113" s="1"/>
  <c r="X5" i="113"/>
  <c r="AF5" i="113"/>
  <c r="AK5" i="113"/>
  <c r="AU5" i="113"/>
  <c r="BA5" i="113"/>
  <c r="BL5" i="113"/>
  <c r="BQ5" i="113"/>
  <c r="A6" i="113"/>
  <c r="B6" i="113"/>
  <c r="D6" i="113"/>
  <c r="S6" i="113"/>
  <c r="F6" i="113"/>
  <c r="G6" i="113"/>
  <c r="BB6" i="113" s="1"/>
  <c r="H6" i="113"/>
  <c r="I6" i="113"/>
  <c r="J6" i="113"/>
  <c r="AG6" i="113" s="1"/>
  <c r="K6" i="113"/>
  <c r="AH6" i="113" s="1"/>
  <c r="L6" i="113"/>
  <c r="M6" i="113"/>
  <c r="N6" i="113"/>
  <c r="R6" i="113" s="1"/>
  <c r="O6" i="113"/>
  <c r="U6" i="113"/>
  <c r="AF6" i="113"/>
  <c r="AL6" i="113"/>
  <c r="AT6" i="113"/>
  <c r="AV6" i="113" s="1"/>
  <c r="BJ6" i="113"/>
  <c r="BQ6" i="113"/>
  <c r="BR6" i="113"/>
  <c r="BY6" i="113"/>
  <c r="A7" i="113"/>
  <c r="B7" i="113"/>
  <c r="D7" i="113"/>
  <c r="S7" i="113"/>
  <c r="F7" i="113"/>
  <c r="G7" i="113"/>
  <c r="BD7" i="113" s="1"/>
  <c r="H7" i="113"/>
  <c r="I7" i="113"/>
  <c r="J7" i="113"/>
  <c r="BH7" i="113" s="1"/>
  <c r="K7" i="113"/>
  <c r="L7" i="113"/>
  <c r="BJ7" i="113" s="1"/>
  <c r="M7" i="113"/>
  <c r="AR7" i="113" s="1"/>
  <c r="N7" i="113"/>
  <c r="Z7" i="113"/>
  <c r="AQ7" i="113"/>
  <c r="AS7" i="113" s="1"/>
  <c r="AX7" i="113"/>
  <c r="AZ7" i="113" s="1"/>
  <c r="BE7" i="113"/>
  <c r="BO7" i="113"/>
  <c r="BT7" i="113"/>
  <c r="A8" i="113"/>
  <c r="B8" i="113"/>
  <c r="D8" i="113"/>
  <c r="S8" i="113"/>
  <c r="F8" i="113"/>
  <c r="G8" i="113"/>
  <c r="BG8" i="113" s="1"/>
  <c r="H8" i="113"/>
  <c r="I8" i="113"/>
  <c r="J8" i="113"/>
  <c r="BC8" i="113" s="1"/>
  <c r="K8" i="113"/>
  <c r="BX8" i="113" s="1"/>
  <c r="L8" i="113"/>
  <c r="M8" i="113"/>
  <c r="AR8" i="113" s="1"/>
  <c r="N8" i="113"/>
  <c r="T8" i="113"/>
  <c r="V8" i="113" s="1"/>
  <c r="AA8" i="113"/>
  <c r="AC8" i="113" s="1"/>
  <c r="AB8" i="113"/>
  <c r="AJ8" i="113"/>
  <c r="AT8" i="113"/>
  <c r="AV8" i="113" s="1"/>
  <c r="AY8" i="113"/>
  <c r="BH8" i="113"/>
  <c r="BO8" i="113"/>
  <c r="BR8" i="113"/>
  <c r="A9" i="113"/>
  <c r="B9" i="113"/>
  <c r="D9" i="113"/>
  <c r="CA9" i="113" s="1"/>
  <c r="CC9" i="113" s="1"/>
  <c r="S9" i="113"/>
  <c r="F9" i="113"/>
  <c r="G9" i="113"/>
  <c r="AI9" i="113" s="1"/>
  <c r="H9" i="113"/>
  <c r="I9" i="113"/>
  <c r="AA9" i="113" s="1"/>
  <c r="AC9" i="113" s="1"/>
  <c r="J9" i="113"/>
  <c r="BM9" i="113" s="1"/>
  <c r="K9" i="113"/>
  <c r="L9" i="113"/>
  <c r="M9" i="113"/>
  <c r="CE9" i="113" s="1"/>
  <c r="N9" i="113"/>
  <c r="O9" i="113"/>
  <c r="AL9" i="113" s="1"/>
  <c r="W9" i="113"/>
  <c r="Y9" i="113" s="1"/>
  <c r="AG9" i="113"/>
  <c r="AM9" i="113"/>
  <c r="AO9" i="113" s="1"/>
  <c r="AW9" i="113"/>
  <c r="BE9" i="113"/>
  <c r="BK9" i="113"/>
  <c r="BR9" i="113"/>
  <c r="BW9" i="113"/>
  <c r="A10" i="113"/>
  <c r="B10" i="113"/>
  <c r="D10" i="113"/>
  <c r="F10" i="113"/>
  <c r="T10" i="113" s="1"/>
  <c r="V10" i="113" s="1"/>
  <c r="G10" i="113"/>
  <c r="P10" i="113" s="1"/>
  <c r="H10" i="113"/>
  <c r="I10" i="113"/>
  <c r="BF10" i="113" s="1"/>
  <c r="J10" i="113"/>
  <c r="K10" i="113"/>
  <c r="L10" i="113"/>
  <c r="AX10" i="113" s="1"/>
  <c r="AZ10" i="113" s="1"/>
  <c r="M10" i="113"/>
  <c r="N10" i="113"/>
  <c r="Q10" i="113"/>
  <c r="S10" i="113"/>
  <c r="AT10" i="113"/>
  <c r="AV10" i="113" s="1"/>
  <c r="BV10" i="113"/>
  <c r="A11" i="113"/>
  <c r="B11" i="113"/>
  <c r="D11" i="113"/>
  <c r="S11" i="113"/>
  <c r="F11" i="113"/>
  <c r="AD11" i="113" s="1"/>
  <c r="G11" i="113"/>
  <c r="H11" i="113"/>
  <c r="T11" i="113" s="1"/>
  <c r="V11" i="113" s="1"/>
  <c r="I11" i="113"/>
  <c r="BB11" i="113" s="1"/>
  <c r="J11" i="113"/>
  <c r="K11" i="113"/>
  <c r="CA11" i="113" s="1"/>
  <c r="CC11" i="113" s="1"/>
  <c r="L11" i="113"/>
  <c r="M11" i="113"/>
  <c r="AR11" i="113" s="1"/>
  <c r="N11" i="113"/>
  <c r="Q11" i="113" s="1"/>
  <c r="BC11" i="113"/>
  <c r="BN11" i="113"/>
  <c r="A12" i="113"/>
  <c r="B12" i="113"/>
  <c r="D12" i="113"/>
  <c r="S12" i="113"/>
  <c r="F12" i="113"/>
  <c r="G12" i="113"/>
  <c r="AH12" i="113" s="1"/>
  <c r="H12" i="113"/>
  <c r="I12" i="113"/>
  <c r="AE12" i="113" s="1"/>
  <c r="J12" i="113"/>
  <c r="BM12" i="113" s="1"/>
  <c r="K12" i="113"/>
  <c r="L12" i="113"/>
  <c r="M12" i="113"/>
  <c r="CD12" i="113" s="1"/>
  <c r="CF12" i="113" s="1"/>
  <c r="N12" i="113"/>
  <c r="R12" i="113"/>
  <c r="W12" i="113"/>
  <c r="Y12" i="113" s="1"/>
  <c r="AJ12" i="113"/>
  <c r="AX12" i="113"/>
  <c r="AZ12" i="113" s="1"/>
  <c r="BK12" i="113"/>
  <c r="BP12" i="113"/>
  <c r="BV12" i="113"/>
  <c r="A13" i="113"/>
  <c r="B13" i="113"/>
  <c r="D13" i="113"/>
  <c r="E13" i="113"/>
  <c r="G13" i="113"/>
  <c r="H13" i="113"/>
  <c r="I13" i="113"/>
  <c r="R13" i="113" s="1"/>
  <c r="J13" i="113"/>
  <c r="K13" i="113"/>
  <c r="L13" i="113"/>
  <c r="O13" i="113" s="1"/>
  <c r="M13" i="113"/>
  <c r="N13" i="113"/>
  <c r="A14" i="113"/>
  <c r="B14" i="113"/>
  <c r="D14" i="113"/>
  <c r="E14" i="113"/>
  <c r="S14" i="113" s="1"/>
  <c r="G14" i="113"/>
  <c r="H14" i="113"/>
  <c r="I14" i="113"/>
  <c r="J14" i="113"/>
  <c r="K14" i="113"/>
  <c r="L14" i="113"/>
  <c r="M14" i="113"/>
  <c r="Q14" i="113" s="1"/>
  <c r="N14" i="113"/>
  <c r="A15" i="113"/>
  <c r="B15" i="113"/>
  <c r="D15" i="113"/>
  <c r="E15" i="113"/>
  <c r="G15" i="113"/>
  <c r="H15" i="113"/>
  <c r="I15" i="113"/>
  <c r="R15" i="113" s="1"/>
  <c r="J15" i="113"/>
  <c r="K15" i="113"/>
  <c r="L15" i="113"/>
  <c r="O15" i="113" s="1"/>
  <c r="M15" i="113"/>
  <c r="N15" i="113"/>
  <c r="S15" i="113"/>
  <c r="A16" i="113"/>
  <c r="B16" i="113"/>
  <c r="D16" i="113"/>
  <c r="E16" i="113"/>
  <c r="G16" i="113"/>
  <c r="H16" i="113"/>
  <c r="I16" i="113"/>
  <c r="R16" i="113" s="1"/>
  <c r="J16" i="113"/>
  <c r="K16" i="113"/>
  <c r="L16" i="113"/>
  <c r="M16" i="113"/>
  <c r="N16" i="113"/>
  <c r="O16" i="113"/>
  <c r="A17" i="113"/>
  <c r="B17" i="113"/>
  <c r="D17" i="113"/>
  <c r="E17" i="113"/>
  <c r="G17" i="113"/>
  <c r="H17" i="113"/>
  <c r="I17" i="113"/>
  <c r="R17" i="113" s="1"/>
  <c r="J17" i="113"/>
  <c r="K17" i="113"/>
  <c r="L17" i="113"/>
  <c r="O17" i="113" s="1"/>
  <c r="M17" i="113"/>
  <c r="N17" i="113"/>
  <c r="Q17" i="113" s="1"/>
  <c r="A18" i="113"/>
  <c r="B18" i="113"/>
  <c r="D18" i="113"/>
  <c r="E18" i="113"/>
  <c r="S18" i="113" s="1"/>
  <c r="G18" i="113"/>
  <c r="H18" i="113"/>
  <c r="I18" i="113"/>
  <c r="J18" i="113"/>
  <c r="K18" i="113"/>
  <c r="L18" i="113"/>
  <c r="M18" i="113"/>
  <c r="N18" i="113"/>
  <c r="A19" i="113"/>
  <c r="B19" i="113"/>
  <c r="D19" i="113"/>
  <c r="E19" i="113"/>
  <c r="S19" i="113" s="1"/>
  <c r="G19" i="113"/>
  <c r="H19" i="113"/>
  <c r="I19" i="113"/>
  <c r="J19" i="113"/>
  <c r="K19" i="113"/>
  <c r="L19" i="113"/>
  <c r="M19" i="113"/>
  <c r="N19" i="113"/>
  <c r="A20" i="113"/>
  <c r="B20" i="113"/>
  <c r="D20" i="113"/>
  <c r="E20" i="113"/>
  <c r="S20" i="113" s="1"/>
  <c r="G20" i="113"/>
  <c r="H20" i="113"/>
  <c r="I20" i="113"/>
  <c r="R20" i="113" s="1"/>
  <c r="J20" i="113"/>
  <c r="K20" i="113"/>
  <c r="L20" i="113"/>
  <c r="M20" i="113"/>
  <c r="N20" i="113"/>
  <c r="Q20" i="113" s="1"/>
  <c r="A21" i="113"/>
  <c r="B21" i="113"/>
  <c r="D21" i="113"/>
  <c r="E21" i="113"/>
  <c r="S21" i="113" s="1"/>
  <c r="G21" i="113"/>
  <c r="H21" i="113"/>
  <c r="I21" i="113"/>
  <c r="J21" i="113"/>
  <c r="K21" i="113"/>
  <c r="L21" i="113"/>
  <c r="M21" i="113"/>
  <c r="N21" i="113"/>
  <c r="Q21" i="113" s="1"/>
  <c r="O21" i="113"/>
  <c r="A22" i="113"/>
  <c r="B22" i="113"/>
  <c r="D22" i="113"/>
  <c r="E22" i="113"/>
  <c r="G22" i="113"/>
  <c r="H22" i="113"/>
  <c r="I22" i="113"/>
  <c r="J22" i="113"/>
  <c r="K22" i="113"/>
  <c r="L22" i="113"/>
  <c r="M22" i="113"/>
  <c r="N22" i="113"/>
  <c r="R22" i="113"/>
  <c r="S22" i="113"/>
  <c r="A23" i="113"/>
  <c r="B23" i="113"/>
  <c r="D23" i="113"/>
  <c r="S23" i="113"/>
  <c r="F23" i="113"/>
  <c r="G23" i="113"/>
  <c r="H23" i="113"/>
  <c r="I23" i="113"/>
  <c r="BP23" i="113" s="1"/>
  <c r="J23" i="113"/>
  <c r="K23" i="113"/>
  <c r="L23" i="113"/>
  <c r="O23" i="113" s="1"/>
  <c r="M23" i="113"/>
  <c r="N23" i="113"/>
  <c r="AK23" i="113" s="1"/>
  <c r="CG23" i="113"/>
  <c r="A24" i="113"/>
  <c r="B24" i="113"/>
  <c r="D24" i="113"/>
  <c r="F24" i="113"/>
  <c r="AG24" i="113" s="1"/>
  <c r="G24" i="113"/>
  <c r="H24" i="113"/>
  <c r="I24" i="113"/>
  <c r="AU24" i="113" s="1"/>
  <c r="J24" i="113"/>
  <c r="BH24" i="113" s="1"/>
  <c r="K24" i="113"/>
  <c r="BS24" i="113" s="1"/>
  <c r="L24" i="113"/>
  <c r="M24" i="113"/>
  <c r="P24" i="113" s="1"/>
  <c r="N24" i="113"/>
  <c r="Q24" i="113" s="1"/>
  <c r="S24" i="113"/>
  <c r="AY24" i="113"/>
  <c r="BT24" i="113"/>
  <c r="CG24" i="113"/>
  <c r="A25" i="113"/>
  <c r="B25" i="113"/>
  <c r="D25" i="113"/>
  <c r="F25" i="113"/>
  <c r="AP25" i="113" s="1"/>
  <c r="G25" i="113"/>
  <c r="P25" i="113" s="1"/>
  <c r="H25" i="113"/>
  <c r="I25" i="113"/>
  <c r="AN25" i="113" s="1"/>
  <c r="J25" i="113"/>
  <c r="K25" i="113"/>
  <c r="L25" i="113"/>
  <c r="O25" i="113" s="1"/>
  <c r="AL25" i="113" s="1"/>
  <c r="M25" i="113"/>
  <c r="N25" i="113"/>
  <c r="R25" i="113"/>
  <c r="S25" i="113"/>
  <c r="AD25" i="113"/>
  <c r="BC25" i="113"/>
  <c r="CA25" i="113"/>
  <c r="CC25" i="113" s="1"/>
  <c r="A26" i="113"/>
  <c r="B26" i="113"/>
  <c r="D26" i="113"/>
  <c r="S26" i="113"/>
  <c r="F26" i="113"/>
  <c r="AT26" i="113" s="1"/>
  <c r="AV26" i="113" s="1"/>
  <c r="G26" i="113"/>
  <c r="H26" i="113"/>
  <c r="I26" i="113"/>
  <c r="J26" i="113"/>
  <c r="BZ26" i="113" s="1"/>
  <c r="K26" i="113"/>
  <c r="L26" i="113"/>
  <c r="M26" i="113"/>
  <c r="N26" i="113"/>
  <c r="R26" i="113" s="1"/>
  <c r="O26" i="113"/>
  <c r="AI26" i="113"/>
  <c r="A27" i="113"/>
  <c r="B27" i="113"/>
  <c r="D27" i="113"/>
  <c r="S27" i="113"/>
  <c r="F27" i="113"/>
  <c r="G27" i="113"/>
  <c r="AF27" i="113" s="1"/>
  <c r="H27" i="113"/>
  <c r="I27" i="113"/>
  <c r="J27" i="113"/>
  <c r="AG27" i="113" s="1"/>
  <c r="K27" i="113"/>
  <c r="BX27" i="113" s="1"/>
  <c r="L27" i="113"/>
  <c r="BJ27" i="113" s="1"/>
  <c r="M27" i="113"/>
  <c r="AR27" i="113" s="1"/>
  <c r="N27" i="113"/>
  <c r="U27" i="113"/>
  <c r="AJ27" i="113"/>
  <c r="AT27" i="113"/>
  <c r="AV27" i="113" s="1"/>
  <c r="BA27" i="113"/>
  <c r="BB27" i="113"/>
  <c r="BP27" i="113"/>
  <c r="BV27" i="113"/>
  <c r="BZ27" i="113"/>
  <c r="D3" i="113"/>
  <c r="A4" i="94"/>
  <c r="B4" i="94"/>
  <c r="D4" i="94"/>
  <c r="F4" i="94"/>
  <c r="H4" i="94" s="1"/>
  <c r="G4" i="94"/>
  <c r="I4" i="94"/>
  <c r="J4" i="94"/>
  <c r="BR4" i="94" s="1"/>
  <c r="K4" i="94"/>
  <c r="Y4" i="94" s="1"/>
  <c r="L4" i="94"/>
  <c r="BE4" i="94" s="1"/>
  <c r="M4" i="94"/>
  <c r="N4" i="94"/>
  <c r="O4" i="94"/>
  <c r="P4" i="94"/>
  <c r="Q4" i="94"/>
  <c r="T4" i="94" s="1"/>
  <c r="V4" i="94"/>
  <c r="W4" i="94"/>
  <c r="A5" i="94"/>
  <c r="B5" i="94"/>
  <c r="D5" i="94"/>
  <c r="F5" i="94"/>
  <c r="I5" i="94"/>
  <c r="J5" i="94"/>
  <c r="K5" i="94"/>
  <c r="L5" i="94"/>
  <c r="BE5" i="94" s="1"/>
  <c r="M5" i="94"/>
  <c r="N5" i="94"/>
  <c r="CH5" i="94" s="1"/>
  <c r="CJ5" i="94" s="1"/>
  <c r="O5" i="94"/>
  <c r="BB5" i="94" s="1"/>
  <c r="BD5" i="94" s="1"/>
  <c r="P5" i="94"/>
  <c r="Q5" i="94"/>
  <c r="V5" i="94"/>
  <c r="AL5" i="94"/>
  <c r="BN5" i="94"/>
  <c r="BR5" i="94"/>
  <c r="A6" i="94"/>
  <c r="B6" i="94"/>
  <c r="D6" i="94"/>
  <c r="F6" i="94"/>
  <c r="H6" i="94" s="1"/>
  <c r="I6" i="94"/>
  <c r="AB6" i="94" s="1"/>
  <c r="J6" i="94"/>
  <c r="K6" i="94"/>
  <c r="L6" i="94"/>
  <c r="U6" i="94" s="1"/>
  <c r="M6" i="94"/>
  <c r="N6" i="94"/>
  <c r="BM6" i="94" s="1"/>
  <c r="O6" i="94"/>
  <c r="R6" i="94" s="1"/>
  <c r="AP6" i="94" s="1"/>
  <c r="P6" i="94"/>
  <c r="T6" i="94" s="1"/>
  <c r="Q6" i="94"/>
  <c r="AO6" i="94"/>
  <c r="BH6" i="94"/>
  <c r="CI6" i="94"/>
  <c r="A7" i="94"/>
  <c r="B7" i="94"/>
  <c r="D7" i="94"/>
  <c r="F7" i="94"/>
  <c r="G7" i="94" s="1"/>
  <c r="H7" i="94"/>
  <c r="I7" i="94"/>
  <c r="BL7" i="94" s="1"/>
  <c r="J7" i="94"/>
  <c r="BB7" i="94" s="1"/>
  <c r="BD7" i="94" s="1"/>
  <c r="K7" i="94"/>
  <c r="L7" i="94"/>
  <c r="AA7" i="94" s="1"/>
  <c r="AC7" i="94" s="1"/>
  <c r="M7" i="94"/>
  <c r="N7" i="94"/>
  <c r="O7" i="94"/>
  <c r="P7" i="94"/>
  <c r="Q7" i="94"/>
  <c r="T7" i="94" s="1"/>
  <c r="S7" i="94"/>
  <c r="V7" i="94"/>
  <c r="BG7" i="94"/>
  <c r="BX7" i="94"/>
  <c r="A8" i="94"/>
  <c r="B8" i="94"/>
  <c r="D8" i="94"/>
  <c r="CE8" i="94" s="1"/>
  <c r="CG8" i="94" s="1"/>
  <c r="V8" i="94"/>
  <c r="W8" i="94" s="1"/>
  <c r="F8" i="94"/>
  <c r="G8" i="94" s="1"/>
  <c r="I8" i="94"/>
  <c r="J8" i="94"/>
  <c r="K8" i="94"/>
  <c r="L8" i="94"/>
  <c r="AI8" i="94" s="1"/>
  <c r="M8" i="94"/>
  <c r="N8" i="94"/>
  <c r="O8" i="94"/>
  <c r="P8" i="94"/>
  <c r="Q8" i="94"/>
  <c r="S8" i="94"/>
  <c r="BC8" i="94"/>
  <c r="BN8" i="94"/>
  <c r="BW8" i="94"/>
  <c r="CI8" i="94"/>
  <c r="A9" i="94"/>
  <c r="B9" i="94"/>
  <c r="D9" i="94"/>
  <c r="V9" i="94"/>
  <c r="F9" i="94"/>
  <c r="I9" i="94"/>
  <c r="Y9" i="94" s="1"/>
  <c r="J9" i="94"/>
  <c r="K9" i="94"/>
  <c r="L9" i="94"/>
  <c r="M9" i="94"/>
  <c r="N9" i="94"/>
  <c r="O9" i="94"/>
  <c r="BM9" i="94" s="1"/>
  <c r="P9" i="94"/>
  <c r="Q9" i="94"/>
  <c r="BU9" i="94"/>
  <c r="CK9" i="94"/>
  <c r="A10" i="94"/>
  <c r="B10" i="94"/>
  <c r="D10" i="94"/>
  <c r="V10" i="94"/>
  <c r="F10" i="94"/>
  <c r="G10" i="94" s="1"/>
  <c r="H10" i="94"/>
  <c r="I10" i="94"/>
  <c r="BE10" i="94" s="1"/>
  <c r="J10" i="94"/>
  <c r="K10" i="94"/>
  <c r="L10" i="94"/>
  <c r="M10" i="94"/>
  <c r="N10" i="94"/>
  <c r="O10" i="94"/>
  <c r="P10" i="94"/>
  <c r="Q10" i="94"/>
  <c r="A11" i="94"/>
  <c r="B11" i="94"/>
  <c r="D11" i="94"/>
  <c r="V11" i="94"/>
  <c r="F11" i="94"/>
  <c r="G11" i="94"/>
  <c r="H11" i="94"/>
  <c r="I11" i="94"/>
  <c r="CB11" i="94" s="1"/>
  <c r="J11" i="94"/>
  <c r="K11" i="94"/>
  <c r="L11" i="94"/>
  <c r="M11" i="94"/>
  <c r="BL11" i="94" s="1"/>
  <c r="N11" i="94"/>
  <c r="O11" i="94"/>
  <c r="AU11" i="94" s="1"/>
  <c r="AW11" i="94" s="1"/>
  <c r="P11" i="94"/>
  <c r="CI11" i="94" s="1"/>
  <c r="Q11" i="94"/>
  <c r="W11" i="94"/>
  <c r="BN11" i="94"/>
  <c r="BS11" i="94"/>
  <c r="CA11" i="94"/>
  <c r="A12" i="94"/>
  <c r="B12" i="94"/>
  <c r="D12" i="94"/>
  <c r="V12" i="94"/>
  <c r="F12" i="94"/>
  <c r="G12" i="94" s="1"/>
  <c r="I12" i="94"/>
  <c r="J12" i="94"/>
  <c r="K12" i="94"/>
  <c r="Y12" i="94" s="1"/>
  <c r="L12" i="94"/>
  <c r="M12" i="94"/>
  <c r="AT12" i="94" s="1"/>
  <c r="N12" i="94"/>
  <c r="AL12" i="94" s="1"/>
  <c r="O12" i="94"/>
  <c r="BX12" i="94" s="1"/>
  <c r="P12" i="94"/>
  <c r="T12" i="94" s="1"/>
  <c r="Q12" i="94"/>
  <c r="AD12" i="94"/>
  <c r="AI12" i="94"/>
  <c r="AO12" i="94"/>
  <c r="BO12" i="94"/>
  <c r="BS12" i="94"/>
  <c r="BZ12" i="94"/>
  <c r="A13" i="94"/>
  <c r="B13" i="94"/>
  <c r="D13" i="94"/>
  <c r="E13" i="94"/>
  <c r="F13" i="94"/>
  <c r="H13" i="94" s="1"/>
  <c r="J13" i="94"/>
  <c r="K13" i="94"/>
  <c r="L13" i="94"/>
  <c r="M13" i="94"/>
  <c r="N13" i="94"/>
  <c r="O13" i="94"/>
  <c r="R13" i="94" s="1"/>
  <c r="P13" i="94"/>
  <c r="Q13" i="94"/>
  <c r="A14" i="94"/>
  <c r="B14" i="94"/>
  <c r="D14" i="94"/>
  <c r="E14" i="94"/>
  <c r="F14" i="94"/>
  <c r="G14" i="94" s="1"/>
  <c r="J14" i="94"/>
  <c r="K14" i="94"/>
  <c r="L14" i="94"/>
  <c r="M14" i="94"/>
  <c r="N14" i="94"/>
  <c r="O14" i="94"/>
  <c r="P14" i="94"/>
  <c r="Q14" i="94"/>
  <c r="A15" i="94"/>
  <c r="B15" i="94"/>
  <c r="D15" i="94"/>
  <c r="E15" i="94"/>
  <c r="V15" i="94" s="1"/>
  <c r="F15" i="94"/>
  <c r="G15" i="94" s="1"/>
  <c r="J15" i="94"/>
  <c r="K15" i="94"/>
  <c r="L15" i="94"/>
  <c r="U15" i="94" s="1"/>
  <c r="M15" i="94"/>
  <c r="N15" i="94"/>
  <c r="O15" i="94"/>
  <c r="P15" i="94"/>
  <c r="T15" i="94" s="1"/>
  <c r="Q15" i="94"/>
  <c r="A16" i="94"/>
  <c r="B16" i="94"/>
  <c r="D16" i="94"/>
  <c r="E16" i="94"/>
  <c r="F16" i="94"/>
  <c r="G16" i="94" s="1"/>
  <c r="J16" i="94"/>
  <c r="K16" i="94"/>
  <c r="L16" i="94"/>
  <c r="M16" i="94"/>
  <c r="N16" i="94"/>
  <c r="O16" i="94"/>
  <c r="P16" i="94"/>
  <c r="T16" i="94" s="1"/>
  <c r="Q16" i="94"/>
  <c r="U16" i="94"/>
  <c r="A17" i="94"/>
  <c r="B17" i="94"/>
  <c r="D17" i="94"/>
  <c r="E17" i="94"/>
  <c r="V17" i="94" s="1"/>
  <c r="F17" i="94"/>
  <c r="J17" i="94"/>
  <c r="K17" i="94"/>
  <c r="L17" i="94"/>
  <c r="M17" i="94"/>
  <c r="N17" i="94"/>
  <c r="O17" i="94"/>
  <c r="P17" i="94"/>
  <c r="T17" i="94" s="1"/>
  <c r="Q17" i="94"/>
  <c r="A18" i="94"/>
  <c r="B18" i="94"/>
  <c r="D18" i="94"/>
  <c r="E18" i="94"/>
  <c r="V18" i="94" s="1"/>
  <c r="F18" i="94"/>
  <c r="J18" i="94"/>
  <c r="K18" i="94"/>
  <c r="L18" i="94"/>
  <c r="M18" i="94"/>
  <c r="N18" i="94"/>
  <c r="O18" i="94"/>
  <c r="R18" i="94" s="1"/>
  <c r="P18" i="94"/>
  <c r="T18" i="94" s="1"/>
  <c r="Q18" i="94"/>
  <c r="U18" i="94" s="1"/>
  <c r="A19" i="94"/>
  <c r="B19" i="94"/>
  <c r="D19" i="94"/>
  <c r="E19" i="94"/>
  <c r="F19" i="94"/>
  <c r="G19" i="94" s="1"/>
  <c r="J19" i="94"/>
  <c r="K19" i="94"/>
  <c r="L19" i="94"/>
  <c r="M19" i="94"/>
  <c r="N19" i="94"/>
  <c r="O19" i="94"/>
  <c r="P19" i="94"/>
  <c r="Q19" i="94"/>
  <c r="A20" i="94"/>
  <c r="B20" i="94"/>
  <c r="D20" i="94"/>
  <c r="E20" i="94"/>
  <c r="V20" i="94" s="1"/>
  <c r="F20" i="94"/>
  <c r="G20" i="94" s="1"/>
  <c r="J20" i="94"/>
  <c r="K20" i="94"/>
  <c r="L20" i="94"/>
  <c r="M20" i="94"/>
  <c r="N20" i="94"/>
  <c r="O20" i="94"/>
  <c r="P20" i="94"/>
  <c r="T20" i="94" s="1"/>
  <c r="Q20" i="94"/>
  <c r="A21" i="94"/>
  <c r="B21" i="94"/>
  <c r="D21" i="94"/>
  <c r="E21" i="94"/>
  <c r="V21" i="94" s="1"/>
  <c r="W21" i="94" s="1"/>
  <c r="F21" i="94"/>
  <c r="J21" i="94"/>
  <c r="K21" i="94"/>
  <c r="L21" i="94"/>
  <c r="M21" i="94"/>
  <c r="N21" i="94"/>
  <c r="O21" i="94"/>
  <c r="P21" i="94"/>
  <c r="Q21" i="94"/>
  <c r="U21" i="94" s="1"/>
  <c r="A22" i="94"/>
  <c r="B22" i="94"/>
  <c r="D22" i="94"/>
  <c r="E22" i="94"/>
  <c r="F22" i="94"/>
  <c r="J22" i="94"/>
  <c r="K22" i="94"/>
  <c r="L22" i="94"/>
  <c r="M22" i="94"/>
  <c r="N22" i="94"/>
  <c r="O22" i="94"/>
  <c r="P22" i="94"/>
  <c r="Q22" i="94"/>
  <c r="T22" i="94" s="1"/>
  <c r="R22" i="94"/>
  <c r="A23" i="94"/>
  <c r="B23" i="94"/>
  <c r="D23" i="94"/>
  <c r="CE23" i="94" s="1"/>
  <c r="CG23" i="94" s="1"/>
  <c r="V23" i="94"/>
  <c r="F23" i="94"/>
  <c r="H23" i="94" s="1"/>
  <c r="G23" i="94"/>
  <c r="I23" i="94"/>
  <c r="J23" i="94"/>
  <c r="K23" i="94"/>
  <c r="L23" i="94"/>
  <c r="AN23" i="94" s="1"/>
  <c r="M23" i="94"/>
  <c r="AK23" i="94" s="1"/>
  <c r="N23" i="94"/>
  <c r="BH23" i="94" s="1"/>
  <c r="O23" i="94"/>
  <c r="R23" i="94" s="1"/>
  <c r="AP23" i="94" s="1"/>
  <c r="P23" i="94"/>
  <c r="S23" i="94" s="1"/>
  <c r="Q23" i="94"/>
  <c r="U23" i="94"/>
  <c r="AA23" i="94"/>
  <c r="AC23" i="94" s="1"/>
  <c r="AE23" i="94"/>
  <c r="AG23" i="94" s="1"/>
  <c r="AF23" i="94"/>
  <c r="AO23" i="94"/>
  <c r="AY23" i="94"/>
  <c r="BG23" i="94"/>
  <c r="BO23" i="94"/>
  <c r="BQ23" i="94"/>
  <c r="BV23" i="94"/>
  <c r="BY23" i="94"/>
  <c r="A24" i="94"/>
  <c r="B24" i="94"/>
  <c r="D24" i="94"/>
  <c r="V24" i="94"/>
  <c r="F24" i="94"/>
  <c r="H24" i="94" s="1"/>
  <c r="I24" i="94"/>
  <c r="J24" i="94"/>
  <c r="K24" i="94"/>
  <c r="Y24" i="94" s="1"/>
  <c r="L24" i="94"/>
  <c r="U24" i="94" s="1"/>
  <c r="M24" i="94"/>
  <c r="BG24" i="94" s="1"/>
  <c r="N24" i="94"/>
  <c r="O24" i="94"/>
  <c r="CF24" i="94" s="1"/>
  <c r="P24" i="94"/>
  <c r="S24" i="94" s="1"/>
  <c r="Q24" i="94"/>
  <c r="T24" i="94"/>
  <c r="X24" i="94"/>
  <c r="Z24" i="94" s="1"/>
  <c r="AE24" i="94"/>
  <c r="AG24" i="94" s="1"/>
  <c r="AF24" i="94"/>
  <c r="AJ24" i="94"/>
  <c r="AX24" i="94"/>
  <c r="AZ24" i="94" s="1"/>
  <c r="AY24" i="94"/>
  <c r="BC24" i="94"/>
  <c r="BU24" i="94"/>
  <c r="BY24" i="94"/>
  <c r="CC24" i="94"/>
  <c r="A25" i="94"/>
  <c r="B25" i="94"/>
  <c r="D25" i="94"/>
  <c r="F25" i="94"/>
  <c r="G25" i="94"/>
  <c r="H25" i="94"/>
  <c r="I25" i="94"/>
  <c r="J25" i="94"/>
  <c r="AF25" i="94" s="1"/>
  <c r="K25" i="94"/>
  <c r="L25" i="94"/>
  <c r="AA25" i="94" s="1"/>
  <c r="AC25" i="94" s="1"/>
  <c r="M25" i="94"/>
  <c r="N25" i="94"/>
  <c r="O25" i="94"/>
  <c r="P25" i="94"/>
  <c r="Q25" i="94"/>
  <c r="S25" i="94"/>
  <c r="V25" i="94"/>
  <c r="W25" i="94"/>
  <c r="AQ25" i="94"/>
  <c r="AS25" i="94" s="1"/>
  <c r="CA25" i="94"/>
  <c r="A26" i="94"/>
  <c r="B26" i="94"/>
  <c r="D26" i="94"/>
  <c r="F26" i="94"/>
  <c r="H26" i="94" s="1"/>
  <c r="G26" i="94"/>
  <c r="I26" i="94"/>
  <c r="AE26" i="94" s="1"/>
  <c r="AG26" i="94" s="1"/>
  <c r="J26" i="94"/>
  <c r="K26" i="94"/>
  <c r="L26" i="94"/>
  <c r="M26" i="94"/>
  <c r="N26" i="94"/>
  <c r="O26" i="94"/>
  <c r="R26" i="94" s="1"/>
  <c r="P26" i="94"/>
  <c r="S26" i="94" s="1"/>
  <c r="Q26" i="94"/>
  <c r="U26" i="94" s="1"/>
  <c r="V26" i="94"/>
  <c r="BF26" i="94"/>
  <c r="CE26" i="94"/>
  <c r="CG26" i="94" s="1"/>
  <c r="A27" i="94"/>
  <c r="B27" i="94"/>
  <c r="D27" i="94"/>
  <c r="F27" i="94"/>
  <c r="G27" i="94" s="1"/>
  <c r="H27" i="94"/>
  <c r="I27" i="94"/>
  <c r="BL27" i="94" s="1"/>
  <c r="J27" i="94"/>
  <c r="K27" i="94"/>
  <c r="L27" i="94"/>
  <c r="M27" i="94"/>
  <c r="N27" i="94"/>
  <c r="O27" i="94"/>
  <c r="BB27" i="94" s="1"/>
  <c r="BD27" i="94" s="1"/>
  <c r="P27" i="94"/>
  <c r="S27" i="94" s="1"/>
  <c r="Q27" i="94"/>
  <c r="U27" i="94" s="1"/>
  <c r="V27" i="94"/>
  <c r="AH27" i="94"/>
  <c r="AK27" i="94"/>
  <c r="AM27" i="94"/>
  <c r="AR27" i="94"/>
  <c r="BE27" i="94"/>
  <c r="BI27" i="94"/>
  <c r="BJ27" i="94"/>
  <c r="BV27" i="94"/>
  <c r="BZ27" i="94"/>
  <c r="CA27" i="94"/>
  <c r="CD27" i="94"/>
  <c r="CK27" i="94"/>
  <c r="D3" i="94"/>
  <c r="A4" i="76"/>
  <c r="B4" i="76"/>
  <c r="C4" i="76"/>
  <c r="D4" i="76"/>
  <c r="E4" i="76" s="1"/>
  <c r="G4" i="76"/>
  <c r="H4" i="76" s="1"/>
  <c r="A5" i="76"/>
  <c r="B5" i="76"/>
  <c r="C5" i="76"/>
  <c r="D5" i="76"/>
  <c r="E5" i="76"/>
  <c r="F5" i="76" s="1"/>
  <c r="G5" i="76"/>
  <c r="I5" i="76" s="1"/>
  <c r="A6" i="76"/>
  <c r="B6" i="76"/>
  <c r="C6" i="76"/>
  <c r="G6" i="76" s="1"/>
  <c r="D6" i="76"/>
  <c r="E6" i="76"/>
  <c r="F6" i="76"/>
  <c r="A7" i="76"/>
  <c r="B7" i="76"/>
  <c r="C7" i="76"/>
  <c r="G7" i="76" s="1"/>
  <c r="D7" i="76"/>
  <c r="E7" i="76" s="1"/>
  <c r="F7" i="76" s="1"/>
  <c r="A8" i="76"/>
  <c r="B8" i="76"/>
  <c r="C8" i="76"/>
  <c r="D8" i="76"/>
  <c r="E8" i="76"/>
  <c r="F8" i="76" s="1"/>
  <c r="G8" i="76"/>
  <c r="H8" i="76" s="1"/>
  <c r="J8" i="76" s="1"/>
  <c r="I8" i="76"/>
  <c r="A9" i="76"/>
  <c r="B9" i="76"/>
  <c r="C9" i="76"/>
  <c r="D9" i="76"/>
  <c r="E9" i="76"/>
  <c r="F9" i="76" s="1"/>
  <c r="G9" i="76"/>
  <c r="I9" i="76" s="1"/>
  <c r="H9" i="76"/>
  <c r="J9" i="76" s="1"/>
  <c r="A10" i="76"/>
  <c r="B10" i="76"/>
  <c r="C10" i="76"/>
  <c r="G10" i="76" s="1"/>
  <c r="D10" i="76"/>
  <c r="E10" i="76"/>
  <c r="F10" i="76"/>
  <c r="A11" i="76"/>
  <c r="B11" i="76"/>
  <c r="C11" i="76"/>
  <c r="G11" i="76" s="1"/>
  <c r="D11" i="76"/>
  <c r="E11" i="76" s="1"/>
  <c r="F11" i="76" s="1"/>
  <c r="A12" i="76"/>
  <c r="B12" i="76"/>
  <c r="C12" i="76"/>
  <c r="D12" i="76"/>
  <c r="E12" i="76"/>
  <c r="F12" i="76" s="1"/>
  <c r="G12" i="76"/>
  <c r="H12" i="76" s="1"/>
  <c r="J12" i="76" s="1"/>
  <c r="I12" i="76"/>
  <c r="A13" i="76"/>
  <c r="B13" i="76"/>
  <c r="C13" i="76"/>
  <c r="D13" i="76"/>
  <c r="E13" i="76"/>
  <c r="F13" i="76" s="1"/>
  <c r="G13" i="76"/>
  <c r="I13" i="76" s="1"/>
  <c r="H13" i="76"/>
  <c r="J13" i="76" s="1"/>
  <c r="A14" i="76"/>
  <c r="B14" i="76"/>
  <c r="C14" i="76"/>
  <c r="G14" i="76" s="1"/>
  <c r="D14" i="76"/>
  <c r="E14" i="76"/>
  <c r="F14" i="76"/>
  <c r="A15" i="76"/>
  <c r="B15" i="76"/>
  <c r="C15" i="76"/>
  <c r="G15" i="76" s="1"/>
  <c r="D15" i="76"/>
  <c r="E15" i="76" s="1"/>
  <c r="F15" i="76" s="1"/>
  <c r="A16" i="76"/>
  <c r="B16" i="76"/>
  <c r="C16" i="76"/>
  <c r="D16" i="76"/>
  <c r="E16" i="76"/>
  <c r="F16" i="76" s="1"/>
  <c r="G16" i="76"/>
  <c r="H16" i="76" s="1"/>
  <c r="J16" i="76" s="1"/>
  <c r="I16" i="76"/>
  <c r="A17" i="76"/>
  <c r="B17" i="76"/>
  <c r="C17" i="76"/>
  <c r="D17" i="76"/>
  <c r="E17" i="76"/>
  <c r="F17" i="76" s="1"/>
  <c r="G17" i="76"/>
  <c r="I17" i="76" s="1"/>
  <c r="H17" i="76"/>
  <c r="J17" i="76" s="1"/>
  <c r="A18" i="76"/>
  <c r="B18" i="76"/>
  <c r="C18" i="76"/>
  <c r="G18" i="76" s="1"/>
  <c r="D18" i="76"/>
  <c r="E18" i="76"/>
  <c r="F18" i="76"/>
  <c r="A19" i="76"/>
  <c r="B19" i="76"/>
  <c r="C19" i="76"/>
  <c r="G19" i="76" s="1"/>
  <c r="D19" i="76"/>
  <c r="E19" i="76" s="1"/>
  <c r="F19" i="76" s="1"/>
  <c r="A20" i="76"/>
  <c r="B20" i="76"/>
  <c r="C20" i="76"/>
  <c r="D20" i="76"/>
  <c r="E20" i="76"/>
  <c r="F20" i="76" s="1"/>
  <c r="G20" i="76"/>
  <c r="H20" i="76" s="1"/>
  <c r="J20" i="76" s="1"/>
  <c r="I20" i="76"/>
  <c r="A21" i="76"/>
  <c r="B21" i="76"/>
  <c r="C21" i="76"/>
  <c r="D21" i="76"/>
  <c r="E21" i="76"/>
  <c r="F21" i="76" s="1"/>
  <c r="G21" i="76"/>
  <c r="I21" i="76" s="1"/>
  <c r="H21" i="76"/>
  <c r="J21" i="76" s="1"/>
  <c r="A22" i="76"/>
  <c r="B22" i="76"/>
  <c r="C22" i="76"/>
  <c r="G22" i="76" s="1"/>
  <c r="D22" i="76"/>
  <c r="E22" i="76"/>
  <c r="F22" i="76"/>
  <c r="A23" i="76"/>
  <c r="B23" i="76"/>
  <c r="C23" i="76"/>
  <c r="G23" i="76" s="1"/>
  <c r="D23" i="76"/>
  <c r="E23" i="76" s="1"/>
  <c r="F23" i="76" s="1"/>
  <c r="A24" i="76"/>
  <c r="B24" i="76"/>
  <c r="C24" i="76"/>
  <c r="D24" i="76"/>
  <c r="E24" i="76"/>
  <c r="F24" i="76" s="1"/>
  <c r="G24" i="76"/>
  <c r="H24" i="76" s="1"/>
  <c r="J24" i="76" s="1"/>
  <c r="I24" i="76"/>
  <c r="A25" i="76"/>
  <c r="B25" i="76"/>
  <c r="C25" i="76"/>
  <c r="D25" i="76"/>
  <c r="E25" i="76"/>
  <c r="F25" i="76" s="1"/>
  <c r="G25" i="76"/>
  <c r="I25" i="76" s="1"/>
  <c r="H25" i="76"/>
  <c r="J25" i="76" s="1"/>
  <c r="A26" i="76"/>
  <c r="B26" i="76"/>
  <c r="C26" i="76"/>
  <c r="G26" i="76" s="1"/>
  <c r="D26" i="76"/>
  <c r="E26" i="76"/>
  <c r="F26" i="76"/>
  <c r="A27" i="76"/>
  <c r="B27" i="76"/>
  <c r="C27" i="76"/>
  <c r="G27" i="76" s="1"/>
  <c r="D27" i="76"/>
  <c r="E27" i="76" s="1"/>
  <c r="F27" i="76" s="1"/>
  <c r="A3" i="102"/>
  <c r="B3" i="102"/>
  <c r="C3" i="102"/>
  <c r="D3" i="102"/>
  <c r="E3" i="102"/>
  <c r="F3" i="102"/>
  <c r="G3" i="102"/>
  <c r="H3" i="102"/>
  <c r="A4" i="102"/>
  <c r="B4" i="102"/>
  <c r="C4" i="102"/>
  <c r="D4" i="102"/>
  <c r="E4" i="102"/>
  <c r="F4" i="102"/>
  <c r="G4" i="102"/>
  <c r="H4" i="102"/>
  <c r="A5" i="102"/>
  <c r="B5" i="102"/>
  <c r="C5" i="102"/>
  <c r="D5" i="102"/>
  <c r="E5" i="102"/>
  <c r="F5" i="102"/>
  <c r="G5" i="102"/>
  <c r="H5" i="102"/>
  <c r="A6" i="102"/>
  <c r="B6" i="102"/>
  <c r="C6" i="102"/>
  <c r="D6" i="102"/>
  <c r="E6" i="102"/>
  <c r="F6" i="102"/>
  <c r="G6" i="102"/>
  <c r="H6" i="102"/>
  <c r="A7" i="102"/>
  <c r="B7" i="102"/>
  <c r="C7" i="102"/>
  <c r="D7" i="102"/>
  <c r="E7" i="102"/>
  <c r="F7" i="102"/>
  <c r="G7" i="102"/>
  <c r="H7" i="102"/>
  <c r="A8" i="102"/>
  <c r="B8" i="102"/>
  <c r="C8" i="102"/>
  <c r="D8" i="102"/>
  <c r="E8" i="102"/>
  <c r="F8" i="102"/>
  <c r="G8" i="102"/>
  <c r="H8" i="102"/>
  <c r="A9" i="102"/>
  <c r="B9" i="102"/>
  <c r="C9" i="102"/>
  <c r="D9" i="102"/>
  <c r="E9" i="102"/>
  <c r="F9" i="102"/>
  <c r="G9" i="102"/>
  <c r="H9" i="102"/>
  <c r="A10" i="102"/>
  <c r="B10" i="102"/>
  <c r="C10" i="102"/>
  <c r="D10" i="102"/>
  <c r="E10" i="102"/>
  <c r="F10" i="102"/>
  <c r="G10" i="102"/>
  <c r="H10" i="102"/>
  <c r="A11" i="102"/>
  <c r="B11" i="102"/>
  <c r="C11" i="102"/>
  <c r="D11" i="102"/>
  <c r="E11" i="102"/>
  <c r="F11" i="102"/>
  <c r="G11" i="102"/>
  <c r="H11" i="102"/>
  <c r="A12" i="102"/>
  <c r="B12" i="102"/>
  <c r="C12" i="102"/>
  <c r="D12" i="102"/>
  <c r="A13" i="102"/>
  <c r="B13" i="102"/>
  <c r="C13" i="102"/>
  <c r="D13" i="102"/>
  <c r="A14" i="102"/>
  <c r="B14" i="102"/>
  <c r="C14" i="102"/>
  <c r="D14" i="102"/>
  <c r="A15" i="102"/>
  <c r="B15" i="102"/>
  <c r="C15" i="102"/>
  <c r="D15" i="102"/>
  <c r="A16" i="102"/>
  <c r="B16" i="102"/>
  <c r="C16" i="102"/>
  <c r="D16" i="102"/>
  <c r="A17" i="102"/>
  <c r="B17" i="102"/>
  <c r="C17" i="102"/>
  <c r="D17" i="102"/>
  <c r="A18" i="102"/>
  <c r="B18" i="102"/>
  <c r="C18" i="102"/>
  <c r="D18" i="102"/>
  <c r="A19" i="102"/>
  <c r="B19" i="102"/>
  <c r="C19" i="102"/>
  <c r="D19" i="102"/>
  <c r="A20" i="102"/>
  <c r="B20" i="102"/>
  <c r="C20" i="102"/>
  <c r="D20" i="102"/>
  <c r="A21" i="102"/>
  <c r="B21" i="102"/>
  <c r="C21" i="102"/>
  <c r="D21" i="102"/>
  <c r="A22" i="102"/>
  <c r="B22" i="102"/>
  <c r="C22" i="102"/>
  <c r="D22" i="102"/>
  <c r="E22" i="102"/>
  <c r="F22" i="102"/>
  <c r="G22" i="102"/>
  <c r="H22" i="102"/>
  <c r="A23" i="102"/>
  <c r="B23" i="102"/>
  <c r="C23" i="102"/>
  <c r="D23" i="102"/>
  <c r="E23" i="102"/>
  <c r="F23" i="102"/>
  <c r="G23" i="102"/>
  <c r="H23" i="102"/>
  <c r="A24" i="102"/>
  <c r="B24" i="102"/>
  <c r="C24" i="102"/>
  <c r="D24" i="102"/>
  <c r="E24" i="102"/>
  <c r="F24" i="102"/>
  <c r="G24" i="102"/>
  <c r="H24" i="102"/>
  <c r="A25" i="102"/>
  <c r="B25" i="102"/>
  <c r="C25" i="102"/>
  <c r="D25" i="102"/>
  <c r="E25" i="102"/>
  <c r="F25" i="102"/>
  <c r="G25" i="102"/>
  <c r="H25" i="102"/>
  <c r="A26" i="102"/>
  <c r="B26" i="102"/>
  <c r="C26" i="102"/>
  <c r="D26" i="102"/>
  <c r="E26" i="102"/>
  <c r="F26" i="102"/>
  <c r="G26" i="102"/>
  <c r="H26" i="102"/>
  <c r="A3" i="83"/>
  <c r="B3" i="83"/>
  <c r="C3" i="83"/>
  <c r="D3" i="83" s="1"/>
  <c r="A4" i="83"/>
  <c r="B4" i="83"/>
  <c r="C4" i="83"/>
  <c r="D4" i="83"/>
  <c r="E4" i="83" s="1"/>
  <c r="A5" i="83"/>
  <c r="B5" i="83"/>
  <c r="C5" i="83"/>
  <c r="D5" i="83"/>
  <c r="E5" i="83" s="1"/>
  <c r="A6" i="83"/>
  <c r="B6" i="83"/>
  <c r="C6" i="83"/>
  <c r="D6" i="83" s="1"/>
  <c r="A7" i="83"/>
  <c r="B7" i="83"/>
  <c r="C7" i="83"/>
  <c r="D7" i="83" s="1"/>
  <c r="A8" i="83"/>
  <c r="B8" i="83"/>
  <c r="C8" i="83"/>
  <c r="D8" i="83" s="1"/>
  <c r="E8" i="83" s="1"/>
  <c r="A9" i="83"/>
  <c r="B9" i="83"/>
  <c r="C9" i="83"/>
  <c r="D9" i="83"/>
  <c r="E9" i="83" s="1"/>
  <c r="A10" i="83"/>
  <c r="B10" i="83"/>
  <c r="C10" i="83"/>
  <c r="D10" i="83" s="1"/>
  <c r="A11" i="83"/>
  <c r="B11" i="83"/>
  <c r="C11" i="83"/>
  <c r="D11" i="83" s="1"/>
  <c r="A12" i="83"/>
  <c r="A13" i="83"/>
  <c r="A14" i="83"/>
  <c r="A15" i="83"/>
  <c r="A16" i="83"/>
  <c r="A17" i="83"/>
  <c r="A18" i="83"/>
  <c r="A19" i="83"/>
  <c r="A20" i="83"/>
  <c r="A21" i="83"/>
  <c r="A22" i="83"/>
  <c r="B22" i="83"/>
  <c r="C22" i="83"/>
  <c r="D22" i="83" s="1"/>
  <c r="A23" i="83"/>
  <c r="B23" i="83"/>
  <c r="C23" i="83"/>
  <c r="D23" i="83" s="1"/>
  <c r="A24" i="83"/>
  <c r="B24" i="83"/>
  <c r="C24" i="83"/>
  <c r="D24" i="83" s="1"/>
  <c r="F24" i="83" s="1"/>
  <c r="A25" i="83"/>
  <c r="B25" i="83"/>
  <c r="C25" i="83"/>
  <c r="D25" i="83"/>
  <c r="E25" i="83" s="1"/>
  <c r="A26" i="83"/>
  <c r="B26" i="83"/>
  <c r="C26" i="83"/>
  <c r="D26" i="83" s="1"/>
  <c r="AF16" i="86" l="1"/>
  <c r="AF18" i="86"/>
  <c r="AF22" i="86"/>
  <c r="AF14" i="86"/>
  <c r="AE18" i="86"/>
  <c r="AE15" i="86"/>
  <c r="AB21" i="86"/>
  <c r="AB16" i="86"/>
  <c r="AA21" i="86"/>
  <c r="AA20" i="86"/>
  <c r="AA22" i="86"/>
  <c r="AA19" i="86"/>
  <c r="AA15" i="86"/>
  <c r="AA14" i="86"/>
  <c r="AA27" i="86"/>
  <c r="AB23" i="86"/>
  <c r="Z22" i="86"/>
  <c r="AF21" i="86"/>
  <c r="Z17" i="86"/>
  <c r="AF15" i="86"/>
  <c r="Z23" i="86"/>
  <c r="AF27" i="86"/>
  <c r="AD26" i="86"/>
  <c r="AB24" i="86"/>
  <c r="AE22" i="86"/>
  <c r="AC20" i="86"/>
  <c r="AE27" i="86"/>
  <c r="AC26" i="86"/>
  <c r="AC25" i="86"/>
  <c r="AA24" i="86"/>
  <c r="AF23" i="86"/>
  <c r="AD22" i="86"/>
  <c r="AB20" i="86"/>
  <c r="AD17" i="86"/>
  <c r="AB15" i="86"/>
  <c r="AD27" i="86"/>
  <c r="AB25" i="86"/>
  <c r="AB17" i="86"/>
  <c r="AE12" i="86"/>
  <c r="AC7" i="86"/>
  <c r="AD13" i="86"/>
  <c r="AB12" i="86"/>
  <c r="AF11" i="86"/>
  <c r="AD10" i="86"/>
  <c r="AB9" i="86"/>
  <c r="AB8" i="86"/>
  <c r="AC13" i="86"/>
  <c r="AA12" i="86"/>
  <c r="AA8" i="86"/>
  <c r="AB13" i="86"/>
  <c r="AF7" i="86"/>
  <c r="Z12" i="86"/>
  <c r="Z8" i="86"/>
  <c r="CG27" i="113"/>
  <c r="AK27" i="113"/>
  <c r="Z27" i="113"/>
  <c r="BU26" i="113"/>
  <c r="CB25" i="113"/>
  <c r="AF25" i="113"/>
  <c r="BW24" i="113"/>
  <c r="AD24" i="113"/>
  <c r="Q13" i="113"/>
  <c r="BL12" i="113"/>
  <c r="AN12" i="113"/>
  <c r="BX11" i="113"/>
  <c r="AG11" i="113"/>
  <c r="BW11" i="113"/>
  <c r="R10" i="113"/>
  <c r="BG9" i="113"/>
  <c r="BP8" i="113"/>
  <c r="AD8" i="113"/>
  <c r="CE8" i="113"/>
  <c r="BR7" i="113"/>
  <c r="AW7" i="113"/>
  <c r="AK7" i="113"/>
  <c r="BY7" i="113"/>
  <c r="BT6" i="113"/>
  <c r="AN6" i="113"/>
  <c r="BT5" i="113"/>
  <c r="BF5" i="113"/>
  <c r="AM5" i="113"/>
  <c r="AO5" i="113" s="1"/>
  <c r="Z5" i="113"/>
  <c r="AR5" i="113"/>
  <c r="BK4" i="113"/>
  <c r="Q4" i="113"/>
  <c r="AA4" i="113"/>
  <c r="AC4" i="113" s="1"/>
  <c r="CA27" i="113"/>
  <c r="CC27" i="113" s="1"/>
  <c r="BO25" i="113"/>
  <c r="AA25" i="113"/>
  <c r="AC25" i="113" s="1"/>
  <c r="BI12" i="113"/>
  <c r="AF12" i="113"/>
  <c r="BY12" i="113"/>
  <c r="BM11" i="113"/>
  <c r="U11" i="113"/>
  <c r="BU10" i="113"/>
  <c r="AJ10" i="113"/>
  <c r="AK10" i="113"/>
  <c r="BU9" i="113"/>
  <c r="BC9" i="113"/>
  <c r="AE9" i="113"/>
  <c r="AX9" i="113"/>
  <c r="AZ9" i="113" s="1"/>
  <c r="BM7" i="113"/>
  <c r="AP7" i="113"/>
  <c r="BP5" i="113"/>
  <c r="AY5" i="113"/>
  <c r="AJ5" i="113"/>
  <c r="W5" i="113"/>
  <c r="Y5" i="113" s="1"/>
  <c r="BN5" i="113"/>
  <c r="AP27" i="113"/>
  <c r="U26" i="113"/>
  <c r="BN25" i="113"/>
  <c r="BW25" i="113"/>
  <c r="BX12" i="113"/>
  <c r="BA12" i="113"/>
  <c r="BE11" i="113"/>
  <c r="BP10" i="113"/>
  <c r="AI10" i="113"/>
  <c r="BS9" i="113"/>
  <c r="BB9" i="113"/>
  <c r="AH9" i="113"/>
  <c r="W8" i="113"/>
  <c r="Y8" i="113" s="1"/>
  <c r="CE7" i="113"/>
  <c r="AG7" i="113"/>
  <c r="BL6" i="113"/>
  <c r="X6" i="113"/>
  <c r="CG5" i="113"/>
  <c r="BO5" i="113"/>
  <c r="AX5" i="113"/>
  <c r="AZ5" i="113" s="1"/>
  <c r="AI5" i="113"/>
  <c r="AN4" i="113"/>
  <c r="AI23" i="113"/>
  <c r="BJ10" i="113"/>
  <c r="AH10" i="113"/>
  <c r="AY10" i="113"/>
  <c r="CB7" i="113"/>
  <c r="CE5" i="113"/>
  <c r="AE11" i="113"/>
  <c r="BM27" i="113"/>
  <c r="BB25" i="113"/>
  <c r="CE24" i="113"/>
  <c r="S16" i="113"/>
  <c r="BU12" i="113"/>
  <c r="AU12" i="113"/>
  <c r="U12" i="113"/>
  <c r="BG10" i="113"/>
  <c r="AB10" i="113"/>
  <c r="BI10" i="113"/>
  <c r="BO9" i="113"/>
  <c r="AU9" i="113"/>
  <c r="BZ8" i="113"/>
  <c r="BZ7" i="113"/>
  <c r="AI7" i="113"/>
  <c r="CG6" i="113"/>
  <c r="BI6" i="113"/>
  <c r="BY5" i="113"/>
  <c r="BK5" i="113"/>
  <c r="AQ5" i="113"/>
  <c r="AS5" i="113" s="1"/>
  <c r="AE5" i="113"/>
  <c r="CA4" i="113"/>
  <c r="CC4" i="113" s="1"/>
  <c r="AE4" i="113"/>
  <c r="BL27" i="113"/>
  <c r="BO26" i="113"/>
  <c r="AT25" i="113"/>
  <c r="AV25" i="113" s="1"/>
  <c r="BY24" i="113"/>
  <c r="AR24" i="113"/>
  <c r="BO24" i="113"/>
  <c r="CA24" i="113"/>
  <c r="CC24" i="113" s="1"/>
  <c r="O19" i="113"/>
  <c r="R14" i="113"/>
  <c r="BT12" i="113"/>
  <c r="AR12" i="113"/>
  <c r="T12" i="113"/>
  <c r="V12" i="113" s="1"/>
  <c r="BZ11" i="113"/>
  <c r="AX11" i="113"/>
  <c r="AZ11" i="113" s="1"/>
  <c r="AQ9" i="113"/>
  <c r="AS9" i="113" s="1"/>
  <c r="Q9" i="113"/>
  <c r="BW8" i="113"/>
  <c r="AK8" i="113"/>
  <c r="BW7" i="113"/>
  <c r="AY7" i="113"/>
  <c r="Q7" i="113"/>
  <c r="CB6" i="113"/>
  <c r="BD6" i="113"/>
  <c r="BW5" i="113"/>
  <c r="BI5" i="113"/>
  <c r="AB5" i="113"/>
  <c r="R5" i="113"/>
  <c r="AT5" i="113"/>
  <c r="AV5" i="113" s="1"/>
  <c r="W4" i="113"/>
  <c r="Y4" i="113" s="1"/>
  <c r="BE26" i="113"/>
  <c r="BX24" i="113"/>
  <c r="BN24" i="113"/>
  <c r="S17" i="113"/>
  <c r="AP12" i="113"/>
  <c r="BY11" i="113"/>
  <c r="AK11" i="113"/>
  <c r="BB10" i="113"/>
  <c r="P7" i="113"/>
  <c r="BV5" i="113"/>
  <c r="BG5" i="113"/>
  <c r="AN5" i="113"/>
  <c r="T25" i="113"/>
  <c r="V25" i="113" s="1"/>
  <c r="U25" i="113"/>
  <c r="AE24" i="113"/>
  <c r="AN24" i="113"/>
  <c r="BU24" i="113"/>
  <c r="W24" i="113"/>
  <c r="Y24" i="113" s="1"/>
  <c r="AF24" i="113"/>
  <c r="BF24" i="113"/>
  <c r="BV24" i="113"/>
  <c r="R24" i="113"/>
  <c r="AA24" i="113"/>
  <c r="AC24" i="113" s="1"/>
  <c r="AJ24" i="113"/>
  <c r="AT24" i="113"/>
  <c r="AV24" i="113" s="1"/>
  <c r="BB24" i="113"/>
  <c r="AG23" i="113"/>
  <c r="BY27" i="113"/>
  <c r="BN27" i="113"/>
  <c r="BD27" i="113"/>
  <c r="AH27" i="113"/>
  <c r="X27" i="113"/>
  <c r="AY27" i="113"/>
  <c r="CE27" i="113"/>
  <c r="CA26" i="113"/>
  <c r="CC26" i="113" s="1"/>
  <c r="BQ26" i="113"/>
  <c r="BF26" i="113"/>
  <c r="AU26" i="113"/>
  <c r="AK26" i="113"/>
  <c r="Z26" i="113"/>
  <c r="CD25" i="113"/>
  <c r="CF25" i="113" s="1"/>
  <c r="BR25" i="113"/>
  <c r="BD25" i="113"/>
  <c r="AQ25" i="113"/>
  <c r="AS25" i="113" s="1"/>
  <c r="AE25" i="113"/>
  <c r="BI24" i="113"/>
  <c r="AH24" i="113"/>
  <c r="BS23" i="113"/>
  <c r="BA23" i="113"/>
  <c r="AL23" i="113"/>
  <c r="O22" i="113"/>
  <c r="Z23" i="113"/>
  <c r="AP23" i="113"/>
  <c r="T23" i="113"/>
  <c r="V23" i="113" s="1"/>
  <c r="W23" i="113"/>
  <c r="Y23" i="113" s="1"/>
  <c r="AU23" i="113"/>
  <c r="BG23" i="113"/>
  <c r="BQ23" i="113"/>
  <c r="AW23" i="113"/>
  <c r="BH23" i="113"/>
  <c r="BR23" i="113"/>
  <c r="AE23" i="113"/>
  <c r="BB23" i="113"/>
  <c r="BM23" i="113"/>
  <c r="BN26" i="113"/>
  <c r="AH26" i="113"/>
  <c r="W26" i="113"/>
  <c r="Y26" i="113" s="1"/>
  <c r="P26" i="113"/>
  <c r="AR26" i="113"/>
  <c r="BG24" i="113"/>
  <c r="BO23" i="113"/>
  <c r="AY23" i="113"/>
  <c r="AD23" i="113"/>
  <c r="AR23" i="113"/>
  <c r="R18" i="113"/>
  <c r="T4" i="113"/>
  <c r="V4" i="113" s="1"/>
  <c r="U4" i="113"/>
  <c r="BY26" i="113"/>
  <c r="BU27" i="113"/>
  <c r="AD27" i="113"/>
  <c r="T27" i="113"/>
  <c r="V27" i="113" s="1"/>
  <c r="BW27" i="113"/>
  <c r="BC27" i="113"/>
  <c r="BW26" i="113"/>
  <c r="BM26" i="113"/>
  <c r="BB26" i="113"/>
  <c r="AQ26" i="113"/>
  <c r="AS26" i="113" s="1"/>
  <c r="AG26" i="113"/>
  <c r="BZ25" i="113"/>
  <c r="BL25" i="113"/>
  <c r="AY25" i="113"/>
  <c r="AM25" i="113"/>
  <c r="AO25" i="113" s="1"/>
  <c r="Z25" i="113"/>
  <c r="AK25" i="113"/>
  <c r="AB25" i="113"/>
  <c r="AJ25" i="113"/>
  <c r="AR25" i="113"/>
  <c r="BP25" i="113"/>
  <c r="BA25" i="113"/>
  <c r="BQ25" i="113"/>
  <c r="BU25" i="113"/>
  <c r="BQ24" i="113"/>
  <c r="BD24" i="113"/>
  <c r="AQ24" i="113"/>
  <c r="AS24" i="113" s="1"/>
  <c r="AB24" i="113"/>
  <c r="O24" i="113"/>
  <c r="AL24" i="113" s="1"/>
  <c r="AW24" i="113"/>
  <c r="BM24" i="113"/>
  <c r="CD24" i="113"/>
  <c r="CF24" i="113" s="1"/>
  <c r="BR24" i="113"/>
  <c r="BZ24" i="113"/>
  <c r="CE23" i="113"/>
  <c r="BK23" i="113"/>
  <c r="AT23" i="113"/>
  <c r="AV23" i="113" s="1"/>
  <c r="AQ27" i="113"/>
  <c r="AS27" i="113" s="1"/>
  <c r="BO27" i="113"/>
  <c r="O27" i="113"/>
  <c r="AL27" i="113" s="1"/>
  <c r="U24" i="113"/>
  <c r="CD27" i="113"/>
  <c r="CF27" i="113" s="1"/>
  <c r="BT27" i="113"/>
  <c r="BI27" i="113"/>
  <c r="AX27" i="113"/>
  <c r="AZ27" i="113" s="1"/>
  <c r="AN27" i="113"/>
  <c r="R27" i="113"/>
  <c r="AA27" i="113"/>
  <c r="AC27" i="113" s="1"/>
  <c r="AI27" i="113"/>
  <c r="BG27" i="113"/>
  <c r="W27" i="113"/>
  <c r="Y27" i="113" s="1"/>
  <c r="AE27" i="113"/>
  <c r="AM27" i="113"/>
  <c r="AO27" i="113" s="1"/>
  <c r="AU27" i="113"/>
  <c r="BK27" i="113"/>
  <c r="CG26" i="113"/>
  <c r="BV26" i="113"/>
  <c r="BK26" i="113"/>
  <c r="BA26" i="113"/>
  <c r="AP26" i="113"/>
  <c r="AE26" i="113"/>
  <c r="BD26" i="113"/>
  <c r="BX26" i="113"/>
  <c r="BK25" i="113"/>
  <c r="AX25" i="113"/>
  <c r="AZ25" i="113" s="1"/>
  <c r="X25" i="113"/>
  <c r="Q25" i="113"/>
  <c r="CB24" i="113"/>
  <c r="BP24" i="113"/>
  <c r="BC24" i="113"/>
  <c r="AP24" i="113"/>
  <c r="Z24" i="113"/>
  <c r="BZ23" i="113"/>
  <c r="BJ23" i="113"/>
  <c r="AA23" i="113"/>
  <c r="AC23" i="113" s="1"/>
  <c r="BD23" i="113"/>
  <c r="AH23" i="113"/>
  <c r="BN23" i="113"/>
  <c r="CA23" i="113"/>
  <c r="CC23" i="113" s="1"/>
  <c r="BX23" i="113"/>
  <c r="BT26" i="113"/>
  <c r="CB26" i="113"/>
  <c r="T26" i="113"/>
  <c r="V26" i="113" s="1"/>
  <c r="BC26" i="113"/>
  <c r="BR27" i="113"/>
  <c r="BH27" i="113"/>
  <c r="AW27" i="113"/>
  <c r="AB27" i="113"/>
  <c r="Q27" i="113"/>
  <c r="CE26" i="113"/>
  <c r="BJ26" i="113"/>
  <c r="AY26" i="113"/>
  <c r="AD26" i="113"/>
  <c r="BH26" i="113"/>
  <c r="BV25" i="113"/>
  <c r="BJ25" i="113"/>
  <c r="AI25" i="113"/>
  <c r="W25" i="113"/>
  <c r="Y25" i="113" s="1"/>
  <c r="BY25" i="113"/>
  <c r="BA24" i="113"/>
  <c r="AM24" i="113"/>
  <c r="AO24" i="113" s="1"/>
  <c r="BY23" i="113"/>
  <c r="BI23" i="113"/>
  <c r="AQ23" i="113"/>
  <c r="AS23" i="113" s="1"/>
  <c r="CB27" i="113"/>
  <c r="BQ27" i="113"/>
  <c r="BF27" i="113"/>
  <c r="P27" i="113"/>
  <c r="CD26" i="113"/>
  <c r="CF26" i="113" s="1"/>
  <c r="BS26" i="113"/>
  <c r="BI26" i="113"/>
  <c r="AX26" i="113"/>
  <c r="AZ26" i="113" s="1"/>
  <c r="AM26" i="113"/>
  <c r="AO26" i="113" s="1"/>
  <c r="X26" i="113"/>
  <c r="AF26" i="113"/>
  <c r="AN26" i="113"/>
  <c r="BL26" i="113"/>
  <c r="AB26" i="113"/>
  <c r="AJ26" i="113"/>
  <c r="BP26" i="113"/>
  <c r="BT25" i="113"/>
  <c r="BG25" i="113"/>
  <c r="AU25" i="113"/>
  <c r="AH25" i="113"/>
  <c r="BX25" i="113"/>
  <c r="BI25" i="113"/>
  <c r="BL24" i="113"/>
  <c r="X24" i="113"/>
  <c r="BE24" i="113"/>
  <c r="AX24" i="113"/>
  <c r="AZ24" i="113" s="1"/>
  <c r="BJ24" i="113"/>
  <c r="BW23" i="113"/>
  <c r="BE23" i="113"/>
  <c r="U23" i="113"/>
  <c r="Q16" i="113"/>
  <c r="CG10" i="113"/>
  <c r="BC10" i="113"/>
  <c r="BW10" i="113"/>
  <c r="Z10" i="113"/>
  <c r="BM10" i="113"/>
  <c r="BZ10" i="113"/>
  <c r="AP10" i="113"/>
  <c r="AD10" i="113"/>
  <c r="AG10" i="113"/>
  <c r="BR10" i="113"/>
  <c r="BH10" i="113"/>
  <c r="AW10" i="113"/>
  <c r="BE27" i="113"/>
  <c r="BS27" i="113"/>
  <c r="BR26" i="113"/>
  <c r="BG26" i="113"/>
  <c r="AW26" i="113"/>
  <c r="AL26" i="113"/>
  <c r="AA26" i="113"/>
  <c r="AC26" i="113" s="1"/>
  <c r="Q26" i="113"/>
  <c r="CE25" i="113"/>
  <c r="BS25" i="113"/>
  <c r="BF25" i="113"/>
  <c r="BH25" i="113"/>
  <c r="CG25" i="113"/>
  <c r="AG25" i="113"/>
  <c r="AW25" i="113"/>
  <c r="BM25" i="113"/>
  <c r="BK24" i="113"/>
  <c r="AI24" i="113"/>
  <c r="T24" i="113"/>
  <c r="V24" i="113" s="1"/>
  <c r="BU23" i="113"/>
  <c r="BC23" i="113"/>
  <c r="AM23" i="113"/>
  <c r="AO23" i="113" s="1"/>
  <c r="Q23" i="113"/>
  <c r="BE25" i="113"/>
  <c r="X23" i="113"/>
  <c r="R21" i="113"/>
  <c r="Q19" i="113"/>
  <c r="AK24" i="113"/>
  <c r="P23" i="113"/>
  <c r="CD23" i="113"/>
  <c r="CF23" i="113" s="1"/>
  <c r="O20" i="113"/>
  <c r="BT23" i="113"/>
  <c r="Q18" i="113"/>
  <c r="R19" i="113"/>
  <c r="O18" i="113"/>
  <c r="S13" i="113"/>
  <c r="CG12" i="113"/>
  <c r="CA12" i="113"/>
  <c r="CC12" i="113" s="1"/>
  <c r="X11" i="113"/>
  <c r="AF11" i="113"/>
  <c r="AN11" i="113"/>
  <c r="BL11" i="113"/>
  <c r="R11" i="113"/>
  <c r="AA11" i="113"/>
  <c r="AC11" i="113" s="1"/>
  <c r="AI11" i="113"/>
  <c r="BG11" i="113"/>
  <c r="AJ11" i="113"/>
  <c r="AT11" i="113"/>
  <c r="AV11" i="113" s="1"/>
  <c r="BP11" i="113"/>
  <c r="W11" i="113"/>
  <c r="Y11" i="113" s="1"/>
  <c r="AU11" i="113"/>
  <c r="BF11" i="113"/>
  <c r="BQ11" i="113"/>
  <c r="AB11" i="113"/>
  <c r="AM11" i="113"/>
  <c r="AO11" i="113" s="1"/>
  <c r="BU11" i="113"/>
  <c r="BA11" i="113"/>
  <c r="BK11" i="113"/>
  <c r="BV11" i="113"/>
  <c r="AJ23" i="113"/>
  <c r="AB23" i="113"/>
  <c r="Q22" i="113"/>
  <c r="BW12" i="113"/>
  <c r="AD12" i="113"/>
  <c r="BR12" i="113"/>
  <c r="BZ12" i="113"/>
  <c r="Z12" i="113"/>
  <c r="AW12" i="113"/>
  <c r="BH12" i="113"/>
  <c r="R7" i="113"/>
  <c r="BF7" i="113"/>
  <c r="BV7" i="113"/>
  <c r="AB7" i="113"/>
  <c r="AJ7" i="113"/>
  <c r="BP7" i="113"/>
  <c r="BA7" i="113"/>
  <c r="BQ7" i="113"/>
  <c r="AT7" i="113"/>
  <c r="AV7" i="113" s="1"/>
  <c r="BB7" i="113"/>
  <c r="O7" i="113"/>
  <c r="AL7" i="113" s="1"/>
  <c r="W7" i="113"/>
  <c r="Y7" i="113" s="1"/>
  <c r="AE7" i="113"/>
  <c r="AM7" i="113"/>
  <c r="AO7" i="113" s="1"/>
  <c r="AU7" i="113"/>
  <c r="BK7" i="113"/>
  <c r="X7" i="113"/>
  <c r="BU7" i="113"/>
  <c r="BG7" i="113"/>
  <c r="AA7" i="113"/>
  <c r="AC7" i="113" s="1"/>
  <c r="BL7" i="113"/>
  <c r="AF7" i="113"/>
  <c r="BV23" i="113"/>
  <c r="BF23" i="113"/>
  <c r="AX23" i="113"/>
  <c r="AZ23" i="113" s="1"/>
  <c r="R23" i="113"/>
  <c r="BC12" i="113"/>
  <c r="T7" i="113"/>
  <c r="V7" i="113" s="1"/>
  <c r="U7" i="113"/>
  <c r="Q15" i="113"/>
  <c r="O14" i="113"/>
  <c r="CB23" i="113"/>
  <c r="BL23" i="113"/>
  <c r="AN23" i="113"/>
  <c r="AF23" i="113"/>
  <c r="AG12" i="113"/>
  <c r="AY12" i="113"/>
  <c r="CE12" i="113"/>
  <c r="P12" i="113"/>
  <c r="Q12" i="113"/>
  <c r="AN7" i="113"/>
  <c r="BS12" i="113"/>
  <c r="AM12" i="113"/>
  <c r="AO12" i="113" s="1"/>
  <c r="AB12" i="113"/>
  <c r="AA12" i="113"/>
  <c r="AC12" i="113" s="1"/>
  <c r="AI12" i="113"/>
  <c r="BG12" i="113"/>
  <c r="AT12" i="113"/>
  <c r="AV12" i="113" s="1"/>
  <c r="BB12" i="113"/>
  <c r="CG11" i="113"/>
  <c r="AP11" i="113"/>
  <c r="CE10" i="113"/>
  <c r="AR10" i="113"/>
  <c r="BA10" i="113"/>
  <c r="BQ10" i="113"/>
  <c r="W10" i="113"/>
  <c r="Y10" i="113" s="1"/>
  <c r="AE10" i="113"/>
  <c r="AM10" i="113"/>
  <c r="AO10" i="113" s="1"/>
  <c r="AU10" i="113"/>
  <c r="BK10" i="113"/>
  <c r="X10" i="113"/>
  <c r="AF10" i="113"/>
  <c r="AN10" i="113"/>
  <c r="BL10" i="113"/>
  <c r="AY9" i="113"/>
  <c r="X9" i="113"/>
  <c r="AF9" i="113"/>
  <c r="AN9" i="113"/>
  <c r="BL9" i="113"/>
  <c r="R9" i="113"/>
  <c r="BF9" i="113"/>
  <c r="BV9" i="113"/>
  <c r="AB9" i="113"/>
  <c r="AJ9" i="113"/>
  <c r="BP9" i="113"/>
  <c r="BA9" i="113"/>
  <c r="BQ9" i="113"/>
  <c r="BJ8" i="113"/>
  <c r="AQ8" i="113"/>
  <c r="AS8" i="113" s="1"/>
  <c r="P6" i="113"/>
  <c r="T6" i="113"/>
  <c r="V6" i="113" s="1"/>
  <c r="BE4" i="113"/>
  <c r="BU4" i="113"/>
  <c r="Z4" i="113"/>
  <c r="AH4" i="113"/>
  <c r="AP4" i="113"/>
  <c r="AX4" i="113"/>
  <c r="AZ4" i="113" s="1"/>
  <c r="BF4" i="113"/>
  <c r="BN4" i="113"/>
  <c r="BV4" i="113"/>
  <c r="CD4" i="113"/>
  <c r="CF4" i="113" s="1"/>
  <c r="BX4" i="113"/>
  <c r="AK4" i="113"/>
  <c r="BA4" i="113"/>
  <c r="BI4" i="113"/>
  <c r="BQ4" i="113"/>
  <c r="BY4" i="113"/>
  <c r="CB12" i="113"/>
  <c r="BQ12" i="113"/>
  <c r="BF12" i="113"/>
  <c r="AK12" i="113"/>
  <c r="BJ11" i="113"/>
  <c r="O11" i="113"/>
  <c r="AL11" i="113" s="1"/>
  <c r="CD10" i="113"/>
  <c r="CF10" i="113" s="1"/>
  <c r="BE10" i="113"/>
  <c r="AQ10" i="113"/>
  <c r="AS10" i="113" s="1"/>
  <c r="U9" i="113"/>
  <c r="BZ6" i="113"/>
  <c r="AK6" i="113"/>
  <c r="CD5" i="113"/>
  <c r="CF5" i="113" s="1"/>
  <c r="CA5" i="113"/>
  <c r="CC5" i="113" s="1"/>
  <c r="BL4" i="113"/>
  <c r="AF4" i="113"/>
  <c r="BE12" i="113"/>
  <c r="O12" i="113"/>
  <c r="AL12" i="113" s="1"/>
  <c r="CD11" i="113"/>
  <c r="CF11" i="113" s="1"/>
  <c r="BS11" i="113"/>
  <c r="BI11" i="113"/>
  <c r="BD11" i="113"/>
  <c r="Z11" i="113"/>
  <c r="AH11" i="113"/>
  <c r="BO10" i="113"/>
  <c r="P9" i="113"/>
  <c r="CD9" i="113"/>
  <c r="CF9" i="113" s="1"/>
  <c r="U8" i="113"/>
  <c r="BA8" i="113"/>
  <c r="BQ8" i="113"/>
  <c r="CG8" i="113"/>
  <c r="AG8" i="113"/>
  <c r="AW8" i="113"/>
  <c r="BM8" i="113"/>
  <c r="BU8" i="113"/>
  <c r="Z8" i="113"/>
  <c r="AP8" i="113"/>
  <c r="W6" i="113"/>
  <c r="Y6" i="113" s="1"/>
  <c r="AE6" i="113"/>
  <c r="AM6" i="113"/>
  <c r="AO6" i="113" s="1"/>
  <c r="AU6" i="113"/>
  <c r="BC6" i="113"/>
  <c r="BK6" i="113"/>
  <c r="BS6" i="113"/>
  <c r="CA6" i="113"/>
  <c r="CC6" i="113" s="1"/>
  <c r="BE6" i="113"/>
  <c r="BU6" i="113"/>
  <c r="Z6" i="113"/>
  <c r="AP6" i="113"/>
  <c r="AX6" i="113"/>
  <c r="AZ6" i="113" s="1"/>
  <c r="BF6" i="113"/>
  <c r="BV6" i="113"/>
  <c r="AA6" i="113"/>
  <c r="AC6" i="113" s="1"/>
  <c r="AI6" i="113"/>
  <c r="AQ6" i="113"/>
  <c r="AS6" i="113" s="1"/>
  <c r="BG6" i="113"/>
  <c r="BO6" i="113"/>
  <c r="BW6" i="113"/>
  <c r="AB6" i="113"/>
  <c r="AJ6" i="113"/>
  <c r="BP6" i="113"/>
  <c r="BX5" i="113"/>
  <c r="BS5" i="113"/>
  <c r="BD5" i="113"/>
  <c r="BN12" i="113"/>
  <c r="BD12" i="113"/>
  <c r="X12" i="113"/>
  <c r="BR11" i="113"/>
  <c r="BH11" i="113"/>
  <c r="AW11" i="113"/>
  <c r="P11" i="113"/>
  <c r="AY11" i="113"/>
  <c r="CE11" i="113"/>
  <c r="BN10" i="113"/>
  <c r="AA10" i="113"/>
  <c r="AC10" i="113" s="1"/>
  <c r="U10" i="113"/>
  <c r="BS10" i="113"/>
  <c r="BZ9" i="113"/>
  <c r="BJ9" i="113"/>
  <c r="AT9" i="113"/>
  <c r="AV9" i="113" s="1"/>
  <c r="AD9" i="113"/>
  <c r="AK9" i="113"/>
  <c r="BD9" i="113"/>
  <c r="BT9" i="113"/>
  <c r="CB9" i="113"/>
  <c r="Z9" i="113"/>
  <c r="AP9" i="113"/>
  <c r="T9" i="113"/>
  <c r="V9" i="113" s="1"/>
  <c r="AR9" i="113"/>
  <c r="BH9" i="113"/>
  <c r="BX9" i="113"/>
  <c r="CG9" i="113"/>
  <c r="BB8" i="113"/>
  <c r="AI8" i="113"/>
  <c r="P8" i="113"/>
  <c r="BA6" i="113"/>
  <c r="AD6" i="113"/>
  <c r="Q6" i="113"/>
  <c r="CD6" i="113"/>
  <c r="CF6" i="113" s="1"/>
  <c r="AY6" i="113"/>
  <c r="CE6" i="113"/>
  <c r="AR6" i="113"/>
  <c r="AH5" i="113"/>
  <c r="BH5" i="113"/>
  <c r="AD5" i="113"/>
  <c r="BR5" i="113"/>
  <c r="BZ5" i="113"/>
  <c r="BC5" i="113"/>
  <c r="AG5" i="113"/>
  <c r="AW5" i="113"/>
  <c r="BM5" i="113"/>
  <c r="BD4" i="113"/>
  <c r="X4" i="113"/>
  <c r="AQ4" i="113"/>
  <c r="AS4" i="113" s="1"/>
  <c r="BT11" i="113"/>
  <c r="CB11" i="113"/>
  <c r="AQ11" i="113"/>
  <c r="AS11" i="113" s="1"/>
  <c r="BO11" i="113"/>
  <c r="BX10" i="113"/>
  <c r="BY8" i="113"/>
  <c r="O8" i="113"/>
  <c r="AL8" i="113" s="1"/>
  <c r="BT8" i="113"/>
  <c r="CB8" i="113"/>
  <c r="BE8" i="113"/>
  <c r="AX8" i="113"/>
  <c r="AZ8" i="113" s="1"/>
  <c r="CA8" i="113"/>
  <c r="CC8" i="113" s="1"/>
  <c r="AH7" i="113"/>
  <c r="BN7" i="113"/>
  <c r="CD7" i="113"/>
  <c r="CF7" i="113" s="1"/>
  <c r="BX7" i="113"/>
  <c r="BI7" i="113"/>
  <c r="BS7" i="113"/>
  <c r="CA7" i="113"/>
  <c r="CC7" i="113" s="1"/>
  <c r="AQ12" i="113"/>
  <c r="AS12" i="113" s="1"/>
  <c r="BO12" i="113"/>
  <c r="BJ12" i="113"/>
  <c r="BY10" i="113"/>
  <c r="O10" i="113"/>
  <c r="AL10" i="113" s="1"/>
  <c r="BT10" i="113"/>
  <c r="CB10" i="113"/>
  <c r="CA10" i="113"/>
  <c r="CC10" i="113" s="1"/>
  <c r="BI8" i="113"/>
  <c r="BS8" i="113"/>
  <c r="BD8" i="113"/>
  <c r="AH8" i="113"/>
  <c r="BN8" i="113"/>
  <c r="BD10" i="113"/>
  <c r="BY9" i="113"/>
  <c r="BI9" i="113"/>
  <c r="CD8" i="113"/>
  <c r="CF8" i="113" s="1"/>
  <c r="BV8" i="113"/>
  <c r="BF8" i="113"/>
  <c r="R8" i="113"/>
  <c r="BC7" i="113"/>
  <c r="BX6" i="113"/>
  <c r="BH6" i="113"/>
  <c r="BU5" i="113"/>
  <c r="BE5" i="113"/>
  <c r="Q5" i="113"/>
  <c r="BZ4" i="113"/>
  <c r="BR4" i="113"/>
  <c r="BJ4" i="113"/>
  <c r="BB4" i="113"/>
  <c r="AT4" i="113"/>
  <c r="AV4" i="113" s="1"/>
  <c r="AD4" i="113"/>
  <c r="Q8" i="113"/>
  <c r="AD7" i="113"/>
  <c r="CB5" i="113"/>
  <c r="P5" i="113"/>
  <c r="CG4" i="113"/>
  <c r="BL8" i="113"/>
  <c r="AN8" i="113"/>
  <c r="AF8" i="113"/>
  <c r="X8" i="113"/>
  <c r="CG7" i="113"/>
  <c r="BN6" i="113"/>
  <c r="O5" i="113"/>
  <c r="AL5" i="113" s="1"/>
  <c r="BP4" i="113"/>
  <c r="BH4" i="113"/>
  <c r="AR4" i="113"/>
  <c r="AJ4" i="113"/>
  <c r="AB4" i="113"/>
  <c r="BN9" i="113"/>
  <c r="BK8" i="113"/>
  <c r="AU8" i="113"/>
  <c r="AM8" i="113"/>
  <c r="AO8" i="113" s="1"/>
  <c r="AE8" i="113"/>
  <c r="BM6" i="113"/>
  <c r="AW6" i="113"/>
  <c r="BB5" i="113"/>
  <c r="CE4" i="113"/>
  <c r="BW4" i="113"/>
  <c r="BO4" i="113"/>
  <c r="BG4" i="113"/>
  <c r="AI4" i="113"/>
  <c r="BM4" i="113"/>
  <c r="AW4" i="113"/>
  <c r="CE24" i="94"/>
  <c r="CG24" i="94" s="1"/>
  <c r="AA8" i="94"/>
  <c r="AC8" i="94" s="1"/>
  <c r="AT4" i="94"/>
  <c r="BF8" i="94"/>
  <c r="CD4" i="94"/>
  <c r="BA27" i="94"/>
  <c r="AF27" i="94"/>
  <c r="BW27" i="94"/>
  <c r="BY26" i="94"/>
  <c r="AT26" i="94"/>
  <c r="AP26" i="94"/>
  <c r="BP25" i="94"/>
  <c r="AJ25" i="94"/>
  <c r="BP23" i="94"/>
  <c r="AU23" i="94"/>
  <c r="AW23" i="94" s="1"/>
  <c r="W23" i="94"/>
  <c r="V22" i="94"/>
  <c r="W15" i="94"/>
  <c r="CK12" i="94"/>
  <c r="BG12" i="94"/>
  <c r="BB9" i="94"/>
  <c r="BD9" i="94" s="1"/>
  <c r="BT7" i="94"/>
  <c r="AY7" i="94"/>
  <c r="AI7" i="94"/>
  <c r="CC6" i="94"/>
  <c r="AJ6" i="94"/>
  <c r="CE6" i="94"/>
  <c r="CG6" i="94" s="1"/>
  <c r="BJ5" i="94"/>
  <c r="U5" i="94"/>
  <c r="Y5" i="94"/>
  <c r="CK4" i="94"/>
  <c r="BK4" i="94"/>
  <c r="AM4" i="94"/>
  <c r="AK25" i="94"/>
  <c r="BS27" i="94"/>
  <c r="AX27" i="94"/>
  <c r="AZ27" i="94" s="1"/>
  <c r="AD27" i="94"/>
  <c r="BV26" i="94"/>
  <c r="AI26" i="94"/>
  <c r="BO25" i="94"/>
  <c r="AE25" i="94"/>
  <c r="AG25" i="94" s="1"/>
  <c r="BX25" i="94"/>
  <c r="AT24" i="94"/>
  <c r="CF12" i="94"/>
  <c r="BB12" i="94"/>
  <c r="BD12" i="94" s="1"/>
  <c r="AV11" i="94"/>
  <c r="BG11" i="94"/>
  <c r="AD9" i="94"/>
  <c r="BP9" i="94"/>
  <c r="AY8" i="94"/>
  <c r="CK7" i="94"/>
  <c r="BR7" i="94"/>
  <c r="AV7" i="94"/>
  <c r="AD7" i="94"/>
  <c r="R7" i="94"/>
  <c r="AP7" i="94" s="1"/>
  <c r="BY6" i="94"/>
  <c r="BI5" i="94"/>
  <c r="R5" i="94"/>
  <c r="AP5" i="94" s="1"/>
  <c r="X5" i="94"/>
  <c r="Z5" i="94" s="1"/>
  <c r="CH4" i="94"/>
  <c r="CJ4" i="94" s="1"/>
  <c r="BJ4" i="94"/>
  <c r="AL4" i="94"/>
  <c r="CI4" i="94"/>
  <c r="AN25" i="94"/>
  <c r="AO4" i="94"/>
  <c r="BQ27" i="94"/>
  <c r="AT27" i="94"/>
  <c r="Y27" i="94"/>
  <c r="AE27" i="94"/>
  <c r="AG27" i="94" s="1"/>
  <c r="BR26" i="94"/>
  <c r="AD26" i="94"/>
  <c r="BN25" i="94"/>
  <c r="AB25" i="94"/>
  <c r="BP24" i="94"/>
  <c r="AN24" i="94"/>
  <c r="BL24" i="94"/>
  <c r="BL23" i="94"/>
  <c r="T23" i="94"/>
  <c r="Y23" i="94"/>
  <c r="W19" i="94"/>
  <c r="W14" i="94"/>
  <c r="H14" i="94"/>
  <c r="U13" i="94"/>
  <c r="CA12" i="94"/>
  <c r="AU12" i="94"/>
  <c r="AW12" i="94" s="1"/>
  <c r="CE11" i="94"/>
  <c r="CG11" i="94" s="1"/>
  <c r="X9" i="94"/>
  <c r="Z9" i="94" s="1"/>
  <c r="AX8" i="94"/>
  <c r="AZ8" i="94" s="1"/>
  <c r="H8" i="94"/>
  <c r="CH7" i="94"/>
  <c r="CJ7" i="94" s="1"/>
  <c r="BP7" i="94"/>
  <c r="AT7" i="94"/>
  <c r="AB7" i="94"/>
  <c r="BM7" i="94"/>
  <c r="BX6" i="94"/>
  <c r="BF5" i="94"/>
  <c r="CA4" i="94"/>
  <c r="BG4" i="94"/>
  <c r="AE4" i="94"/>
  <c r="AG4" i="94" s="1"/>
  <c r="AL7" i="94"/>
  <c r="CA26" i="94"/>
  <c r="U8" i="94"/>
  <c r="BN27" i="94"/>
  <c r="BO26" i="94"/>
  <c r="W26" i="94"/>
  <c r="BK25" i="94"/>
  <c r="BO24" i="94"/>
  <c r="AL24" i="94"/>
  <c r="CD23" i="94"/>
  <c r="AJ23" i="94"/>
  <c r="H20" i="94"/>
  <c r="H19" i="94"/>
  <c r="H15" i="94"/>
  <c r="S12" i="94"/>
  <c r="CD11" i="94"/>
  <c r="AH11" i="94"/>
  <c r="AQ8" i="94"/>
  <c r="AS8" i="94" s="1"/>
  <c r="CF7" i="94"/>
  <c r="BO7" i="94"/>
  <c r="AQ7" i="94"/>
  <c r="AS7" i="94" s="1"/>
  <c r="AH7" i="94"/>
  <c r="CE7" i="94"/>
  <c r="CG7" i="94" s="1"/>
  <c r="BS6" i="94"/>
  <c r="S6" i="94"/>
  <c r="S5" i="94"/>
  <c r="BZ4" i="94"/>
  <c r="AD4" i="94"/>
  <c r="AH4" i="94"/>
  <c r="BC26" i="94"/>
  <c r="BW25" i="94"/>
  <c r="BM12" i="94"/>
  <c r="BW7" i="94"/>
  <c r="AJ7" i="94"/>
  <c r="BO4" i="94"/>
  <c r="CB27" i="94"/>
  <c r="AO27" i="94"/>
  <c r="BM26" i="94"/>
  <c r="X26" i="94"/>
  <c r="Z26" i="94" s="1"/>
  <c r="BM24" i="94"/>
  <c r="U22" i="94"/>
  <c r="T9" i="94"/>
  <c r="AL9" i="94"/>
  <c r="AM8" i="94"/>
  <c r="CC7" i="94"/>
  <c r="AO7" i="94"/>
  <c r="AU6" i="94"/>
  <c r="AW6" i="94" s="1"/>
  <c r="BZ5" i="94"/>
  <c r="AX5" i="94"/>
  <c r="AZ5" i="94" s="1"/>
  <c r="BU4" i="94"/>
  <c r="BB4" i="94"/>
  <c r="BD4" i="94" s="1"/>
  <c r="AX4" i="94"/>
  <c r="AZ4" i="94" s="1"/>
  <c r="BX27" i="94"/>
  <c r="CE12" i="94"/>
  <c r="CG12" i="94" s="1"/>
  <c r="AU7" i="94"/>
  <c r="AW7" i="94" s="1"/>
  <c r="CF6" i="94"/>
  <c r="CH26" i="94"/>
  <c r="CJ26" i="94" s="1"/>
  <c r="BI26" i="94"/>
  <c r="CD25" i="94"/>
  <c r="AX25" i="94"/>
  <c r="AZ25" i="94" s="1"/>
  <c r="Y25" i="94"/>
  <c r="BX23" i="94"/>
  <c r="BC23" i="94"/>
  <c r="T21" i="94"/>
  <c r="W20" i="94"/>
  <c r="CC10" i="94"/>
  <c r="BO8" i="94"/>
  <c r="CB7" i="94"/>
  <c r="BH7" i="94"/>
  <c r="AN7" i="94"/>
  <c r="Y7" i="94"/>
  <c r="BI6" i="94"/>
  <c r="G6" i="94"/>
  <c r="BY5" i="94"/>
  <c r="BS4" i="94"/>
  <c r="AU4" i="94"/>
  <c r="AW4" i="94" s="1"/>
  <c r="X4" i="94"/>
  <c r="Z4" i="94" s="1"/>
  <c r="R19" i="94"/>
  <c r="U14" i="94"/>
  <c r="AA11" i="94"/>
  <c r="AC11" i="94" s="1"/>
  <c r="AI11" i="94"/>
  <c r="AQ11" i="94"/>
  <c r="AS11" i="94" s="1"/>
  <c r="AY11" i="94"/>
  <c r="BO11" i="94"/>
  <c r="U11" i="94"/>
  <c r="BY11" i="94"/>
  <c r="BJ11" i="94"/>
  <c r="BZ11" i="94"/>
  <c r="BE11" i="94"/>
  <c r="BU11" i="94"/>
  <c r="BF11" i="94"/>
  <c r="AB11" i="94"/>
  <c r="AR11" i="94"/>
  <c r="R11" i="94"/>
  <c r="AP11" i="94" s="1"/>
  <c r="AX11" i="94"/>
  <c r="AZ11" i="94" s="1"/>
  <c r="AM11" i="94"/>
  <c r="AN11" i="94"/>
  <c r="AE11" i="94"/>
  <c r="AG11" i="94" s="1"/>
  <c r="BT11" i="94"/>
  <c r="AJ11" i="94"/>
  <c r="X11" i="94"/>
  <c r="Z11" i="94" s="1"/>
  <c r="BL5" i="94"/>
  <c r="CK5" i="94"/>
  <c r="AH5" i="94"/>
  <c r="BV5" i="94"/>
  <c r="CD5" i="94"/>
  <c r="BG5" i="94"/>
  <c r="CA5" i="94"/>
  <c r="AD5" i="94"/>
  <c r="AK5" i="94"/>
  <c r="AT5" i="94"/>
  <c r="BQ5" i="94"/>
  <c r="BA5" i="94"/>
  <c r="CH27" i="94"/>
  <c r="CJ27" i="94" s="1"/>
  <c r="BY27" i="94"/>
  <c r="BP27" i="94"/>
  <c r="BF27" i="94"/>
  <c r="AN27" i="94"/>
  <c r="BG27" i="94"/>
  <c r="BW26" i="94"/>
  <c r="BN26" i="94"/>
  <c r="BE26" i="94"/>
  <c r="AQ26" i="94"/>
  <c r="AS26" i="94" s="1"/>
  <c r="BL25" i="94"/>
  <c r="AY25" i="94"/>
  <c r="AM25" i="94"/>
  <c r="CH25" i="94"/>
  <c r="CJ25" i="94" s="1"/>
  <c r="CK24" i="94"/>
  <c r="BX24" i="94"/>
  <c r="CA23" i="94"/>
  <c r="BM23" i="94"/>
  <c r="AX23" i="94"/>
  <c r="AZ23" i="94" s="1"/>
  <c r="AD23" i="94"/>
  <c r="AT23" i="94"/>
  <c r="AH23" i="94"/>
  <c r="CK23" i="94"/>
  <c r="BA23" i="94"/>
  <c r="R21" i="94"/>
  <c r="AX12" i="94"/>
  <c r="AZ12" i="94" s="1"/>
  <c r="BF12" i="94"/>
  <c r="U12" i="94"/>
  <c r="BY12" i="94"/>
  <c r="AF12" i="94"/>
  <c r="AN12" i="94"/>
  <c r="BT12" i="94"/>
  <c r="AQ12" i="94"/>
  <c r="AS12" i="94" s="1"/>
  <c r="BP12" i="94"/>
  <c r="AE12" i="94"/>
  <c r="AG12" i="94" s="1"/>
  <c r="AR12" i="94"/>
  <c r="BE12" i="94"/>
  <c r="AJ12" i="94"/>
  <c r="BJ12" i="94"/>
  <c r="AY12" i="94"/>
  <c r="BU12" i="94"/>
  <c r="AM12" i="94"/>
  <c r="BK12" i="94"/>
  <c r="AA12" i="94"/>
  <c r="AC12" i="94" s="1"/>
  <c r="AB12" i="94"/>
  <c r="BP11" i="94"/>
  <c r="AF11" i="94"/>
  <c r="AV27" i="94"/>
  <c r="CE27" i="94"/>
  <c r="CG27" i="94" s="1"/>
  <c r="AB26" i="94"/>
  <c r="AJ26" i="94"/>
  <c r="AR26" i="94"/>
  <c r="BP26" i="94"/>
  <c r="AK26" i="94"/>
  <c r="BA26" i="94"/>
  <c r="AF26" i="94"/>
  <c r="AN26" i="94"/>
  <c r="AV26" i="94"/>
  <c r="BI25" i="94"/>
  <c r="BB25" i="94"/>
  <c r="BD25" i="94" s="1"/>
  <c r="CC25" i="94"/>
  <c r="BW24" i="94"/>
  <c r="BH24" i="94"/>
  <c r="AU24" i="94"/>
  <c r="AW24" i="94" s="1"/>
  <c r="U20" i="94"/>
  <c r="H16" i="94"/>
  <c r="W16" i="94"/>
  <c r="BH27" i="94"/>
  <c r="W27" i="94"/>
  <c r="AA27" i="94"/>
  <c r="AC27" i="94" s="1"/>
  <c r="AI27" i="94"/>
  <c r="AQ27" i="94"/>
  <c r="AS27" i="94" s="1"/>
  <c r="AY27" i="94"/>
  <c r="BO27" i="94"/>
  <c r="CF27" i="94"/>
  <c r="BM27" i="94"/>
  <c r="AU27" i="94"/>
  <c r="AW27" i="94" s="1"/>
  <c r="BU26" i="94"/>
  <c r="BL26" i="94"/>
  <c r="BB26" i="94"/>
  <c r="BD26" i="94" s="1"/>
  <c r="AA26" i="94"/>
  <c r="AC26" i="94" s="1"/>
  <c r="T26" i="94"/>
  <c r="BV25" i="94"/>
  <c r="BH25" i="94"/>
  <c r="AV25" i="94"/>
  <c r="AI25" i="94"/>
  <c r="R24" i="94"/>
  <c r="AP24" i="94" s="1"/>
  <c r="CH24" i="94"/>
  <c r="CJ24" i="94" s="1"/>
  <c r="CA24" i="94"/>
  <c r="CI24" i="94"/>
  <c r="AD24" i="94"/>
  <c r="AM24" i="94"/>
  <c r="AV24" i="94"/>
  <c r="BE24" i="94"/>
  <c r="BV24" i="94"/>
  <c r="CD24" i="94"/>
  <c r="AD10" i="94"/>
  <c r="AT10" i="94"/>
  <c r="CA10" i="94"/>
  <c r="AH10" i="94"/>
  <c r="BV10" i="94"/>
  <c r="CD10" i="94"/>
  <c r="AK10" i="94"/>
  <c r="BA10" i="94"/>
  <c r="BQ10" i="94"/>
  <c r="BG10" i="94"/>
  <c r="BL10" i="94"/>
  <c r="CK10" i="94"/>
  <c r="X25" i="94"/>
  <c r="Z25" i="94" s="1"/>
  <c r="AL27" i="94"/>
  <c r="T27" i="94"/>
  <c r="CD26" i="94"/>
  <c r="AO26" i="94"/>
  <c r="CI25" i="94"/>
  <c r="BU27" i="94"/>
  <c r="BC27" i="94"/>
  <c r="AB27" i="94"/>
  <c r="R27" i="94"/>
  <c r="AP27" i="94" s="1"/>
  <c r="CC26" i="94"/>
  <c r="BT26" i="94"/>
  <c r="BK26" i="94"/>
  <c r="AY26" i="94"/>
  <c r="AM26" i="94"/>
  <c r="BX26" i="94"/>
  <c r="CF26" i="94"/>
  <c r="CF25" i="94"/>
  <c r="BT25" i="94"/>
  <c r="BG25" i="94"/>
  <c r="AU25" i="94"/>
  <c r="AW25" i="94" s="1"/>
  <c r="AH25" i="94"/>
  <c r="BT24" i="94"/>
  <c r="BF24" i="94"/>
  <c r="AB24" i="94"/>
  <c r="AM23" i="94"/>
  <c r="AV23" i="94"/>
  <c r="BE23" i="94"/>
  <c r="BW23" i="94"/>
  <c r="T14" i="94"/>
  <c r="T13" i="94"/>
  <c r="BK11" i="94"/>
  <c r="BI10" i="94"/>
  <c r="CI27" i="94"/>
  <c r="CC27" i="94"/>
  <c r="BT27" i="94"/>
  <c r="BK27" i="94"/>
  <c r="AJ27" i="94"/>
  <c r="CK26" i="94"/>
  <c r="CB26" i="94"/>
  <c r="BS26" i="94"/>
  <c r="BJ26" i="94"/>
  <c r="AX26" i="94"/>
  <c r="AZ26" i="94" s="1"/>
  <c r="AL26" i="94"/>
  <c r="Y26" i="94"/>
  <c r="BH26" i="94"/>
  <c r="CE25" i="94"/>
  <c r="CG25" i="94" s="1"/>
  <c r="BS25" i="94"/>
  <c r="BF25" i="94"/>
  <c r="AR25" i="94"/>
  <c r="T25" i="94"/>
  <c r="U25" i="94"/>
  <c r="BY25" i="94"/>
  <c r="BJ25" i="94"/>
  <c r="BZ25" i="94"/>
  <c r="BE25" i="94"/>
  <c r="BU25" i="94"/>
  <c r="BQ24" i="94"/>
  <c r="AO24" i="94"/>
  <c r="AA24" i="94"/>
  <c r="AC24" i="94" s="1"/>
  <c r="G24" i="94"/>
  <c r="CI23" i="94"/>
  <c r="BU23" i="94"/>
  <c r="BF23" i="94"/>
  <c r="AB23" i="94"/>
  <c r="U19" i="94"/>
  <c r="R17" i="94"/>
  <c r="U17" i="94"/>
  <c r="BI24" i="94"/>
  <c r="BB24" i="94"/>
  <c r="BD24" i="94" s="1"/>
  <c r="BS24" i="94"/>
  <c r="BN24" i="94"/>
  <c r="BR27" i="94"/>
  <c r="X27" i="94"/>
  <c r="Z27" i="94" s="1"/>
  <c r="CI26" i="94"/>
  <c r="BZ26" i="94"/>
  <c r="BQ26" i="94"/>
  <c r="BG26" i="94"/>
  <c r="AU26" i="94"/>
  <c r="AW26" i="94" s="1"/>
  <c r="AH26" i="94"/>
  <c r="CB25" i="94"/>
  <c r="BC25" i="94"/>
  <c r="R25" i="94"/>
  <c r="AP25" i="94" s="1"/>
  <c r="AT25" i="94"/>
  <c r="BR25" i="94"/>
  <c r="AO25" i="94"/>
  <c r="BM25" i="94"/>
  <c r="CK25" i="94"/>
  <c r="CB24" i="94"/>
  <c r="W24" i="94"/>
  <c r="BR24" i="94"/>
  <c r="X23" i="94"/>
  <c r="Z23" i="94" s="1"/>
  <c r="BB23" i="94"/>
  <c r="BD23" i="94" s="1"/>
  <c r="BI23" i="94"/>
  <c r="BS23" i="94"/>
  <c r="CC23" i="94"/>
  <c r="BN23" i="94"/>
  <c r="CF23" i="94"/>
  <c r="G22" i="94"/>
  <c r="W22" i="94"/>
  <c r="H22" i="94"/>
  <c r="T19" i="94"/>
  <c r="U10" i="94"/>
  <c r="AO10" i="94"/>
  <c r="AB10" i="94"/>
  <c r="AJ10" i="94"/>
  <c r="AR10" i="94"/>
  <c r="BP10" i="94"/>
  <c r="BX10" i="94"/>
  <c r="CF10" i="94"/>
  <c r="AL10" i="94"/>
  <c r="BB10" i="94"/>
  <c r="BD10" i="94" s="1"/>
  <c r="BJ10" i="94"/>
  <c r="BR10" i="94"/>
  <c r="BZ10" i="94"/>
  <c r="AU10" i="94"/>
  <c r="AW10" i="94" s="1"/>
  <c r="BK10" i="94"/>
  <c r="BS10" i="94"/>
  <c r="BF10" i="94"/>
  <c r="BN10" i="94"/>
  <c r="AI10" i="94"/>
  <c r="AY10" i="94"/>
  <c r="BO10" i="94"/>
  <c r="CE10" i="94"/>
  <c r="CG10" i="94" s="1"/>
  <c r="AA10" i="94"/>
  <c r="AC10" i="94" s="1"/>
  <c r="AQ10" i="94"/>
  <c r="AS10" i="94" s="1"/>
  <c r="BW10" i="94"/>
  <c r="AN10" i="94"/>
  <c r="BM10" i="94"/>
  <c r="Y10" i="94"/>
  <c r="BY10" i="94"/>
  <c r="AV10" i="94"/>
  <c r="X10" i="94"/>
  <c r="Z10" i="94" s="1"/>
  <c r="BT10" i="94"/>
  <c r="BU10" i="94"/>
  <c r="AF10" i="94"/>
  <c r="CB10" i="94"/>
  <c r="BJ23" i="94"/>
  <c r="BZ23" i="94"/>
  <c r="G18" i="94"/>
  <c r="W18" i="94"/>
  <c r="H18" i="94"/>
  <c r="V16" i="94"/>
  <c r="V13" i="94"/>
  <c r="Y11" i="94"/>
  <c r="CA6" i="94"/>
  <c r="BL6" i="94"/>
  <c r="AH6" i="94"/>
  <c r="BV6" i="94"/>
  <c r="CD6" i="94"/>
  <c r="BG6" i="94"/>
  <c r="AD6" i="94"/>
  <c r="AT6" i="94"/>
  <c r="BQ6" i="94"/>
  <c r="CK6" i="94"/>
  <c r="BA6" i="94"/>
  <c r="AK6" i="94"/>
  <c r="G9" i="94"/>
  <c r="W9" i="94"/>
  <c r="H9" i="94"/>
  <c r="AL25" i="94"/>
  <c r="AD25" i="94"/>
  <c r="BK24" i="94"/>
  <c r="AR24" i="94"/>
  <c r="AI24" i="94"/>
  <c r="AK24" i="94"/>
  <c r="BA24" i="94"/>
  <c r="BT23" i="94"/>
  <c r="BK23" i="94"/>
  <c r="AR23" i="94"/>
  <c r="AI23" i="94"/>
  <c r="AL23" i="94"/>
  <c r="BR23" i="94"/>
  <c r="R20" i="94"/>
  <c r="R16" i="94"/>
  <c r="S11" i="94"/>
  <c r="CH11" i="94"/>
  <c r="CJ11" i="94" s="1"/>
  <c r="CF11" i="94"/>
  <c r="T11" i="94"/>
  <c r="BC11" i="94"/>
  <c r="AE10" i="94"/>
  <c r="AG10" i="94" s="1"/>
  <c r="AD8" i="94"/>
  <c r="AT8" i="94"/>
  <c r="BL8" i="94"/>
  <c r="CK8" i="94"/>
  <c r="CA8" i="94"/>
  <c r="AK8" i="94"/>
  <c r="BA8" i="94"/>
  <c r="BQ8" i="94"/>
  <c r="BV8" i="94"/>
  <c r="AH8" i="94"/>
  <c r="CD8" i="94"/>
  <c r="BG8" i="94"/>
  <c r="BQ25" i="94"/>
  <c r="BA25" i="94"/>
  <c r="BZ24" i="94"/>
  <c r="BJ24" i="94"/>
  <c r="AQ24" i="94"/>
  <c r="AS24" i="94" s="1"/>
  <c r="AH24" i="94"/>
  <c r="CB23" i="94"/>
  <c r="AQ23" i="94"/>
  <c r="AS23" i="94" s="1"/>
  <c r="CH23" i="94"/>
  <c r="CJ23" i="94" s="1"/>
  <c r="H21" i="94"/>
  <c r="G21" i="94"/>
  <c r="V19" i="94"/>
  <c r="G17" i="94"/>
  <c r="W17" i="94"/>
  <c r="H17" i="94"/>
  <c r="CB12" i="94"/>
  <c r="BR12" i="94"/>
  <c r="BW12" i="94"/>
  <c r="BH12" i="94"/>
  <c r="CH12" i="94"/>
  <c r="CJ12" i="94" s="1"/>
  <c r="U9" i="94"/>
  <c r="BY9" i="94"/>
  <c r="AE9" i="94"/>
  <c r="AG9" i="94" s="1"/>
  <c r="AM9" i="94"/>
  <c r="BK9" i="94"/>
  <c r="AF9" i="94"/>
  <c r="AN9" i="94"/>
  <c r="BT9" i="94"/>
  <c r="AA9" i="94"/>
  <c r="AC9" i="94" s="1"/>
  <c r="AI9" i="94"/>
  <c r="AQ9" i="94"/>
  <c r="AS9" i="94" s="1"/>
  <c r="AY9" i="94"/>
  <c r="BO9" i="94"/>
  <c r="BF9" i="94"/>
  <c r="AB9" i="94"/>
  <c r="AR9" i="94"/>
  <c r="R9" i="94"/>
  <c r="AP9" i="94" s="1"/>
  <c r="AX9" i="94"/>
  <c r="AZ9" i="94" s="1"/>
  <c r="BE9" i="94"/>
  <c r="AJ9" i="94"/>
  <c r="BJ9" i="94"/>
  <c r="BZ9" i="94"/>
  <c r="CC9" i="94"/>
  <c r="AO9" i="94"/>
  <c r="V14" i="94"/>
  <c r="AK9" i="94"/>
  <c r="BA9" i="94"/>
  <c r="BQ9" i="94"/>
  <c r="AU9" i="94"/>
  <c r="AW9" i="94" s="1"/>
  <c r="BC9" i="94"/>
  <c r="BS9" i="94"/>
  <c r="CA9" i="94"/>
  <c r="CI9" i="94"/>
  <c r="AV9" i="94"/>
  <c r="BL9" i="94"/>
  <c r="BG9" i="94"/>
  <c r="BV9" i="94"/>
  <c r="BX9" i="94"/>
  <c r="AH9" i="94"/>
  <c r="BN9" i="94"/>
  <c r="CD9" i="94"/>
  <c r="CF9" i="94"/>
  <c r="CH9" i="94"/>
  <c r="CJ9" i="94" s="1"/>
  <c r="AT9" i="94"/>
  <c r="BR9" i="94"/>
  <c r="R15" i="94"/>
  <c r="G13" i="94"/>
  <c r="W13" i="94"/>
  <c r="X12" i="94"/>
  <c r="Z12" i="94" s="1"/>
  <c r="BB8" i="94"/>
  <c r="BD8" i="94" s="1"/>
  <c r="CC8" i="94"/>
  <c r="BX8" i="94"/>
  <c r="CF8" i="94"/>
  <c r="BI8" i="94"/>
  <c r="AU8" i="94"/>
  <c r="AW8" i="94" s="1"/>
  <c r="R8" i="94"/>
  <c r="AP8" i="94" s="1"/>
  <c r="R14" i="94"/>
  <c r="T10" i="94"/>
  <c r="CH10" i="94"/>
  <c r="CJ10" i="94" s="1"/>
  <c r="BC10" i="94"/>
  <c r="CI10" i="94"/>
  <c r="S10" i="94"/>
  <c r="R12" i="94"/>
  <c r="AP12" i="94" s="1"/>
  <c r="BN12" i="94"/>
  <c r="BI12" i="94"/>
  <c r="BC12" i="94"/>
  <c r="CC12" i="94"/>
  <c r="CI12" i="94"/>
  <c r="H12" i="94"/>
  <c r="W12" i="94"/>
  <c r="BH9" i="94"/>
  <c r="BS8" i="94"/>
  <c r="X8" i="94"/>
  <c r="Z8" i="94" s="1"/>
  <c r="Y8" i="94"/>
  <c r="X7" i="94"/>
  <c r="Z7" i="94" s="1"/>
  <c r="BW11" i="94"/>
  <c r="AK11" i="94"/>
  <c r="BA11" i="94"/>
  <c r="BQ11" i="94"/>
  <c r="AL11" i="94"/>
  <c r="BR11" i="94"/>
  <c r="AO11" i="94"/>
  <c r="BM11" i="94"/>
  <c r="BH10" i="94"/>
  <c r="S9" i="94"/>
  <c r="BJ8" i="94"/>
  <c r="AE7" i="94"/>
  <c r="AG7" i="94" s="1"/>
  <c r="AM7" i="94"/>
  <c r="BK7" i="94"/>
  <c r="BE7" i="94"/>
  <c r="BU7" i="94"/>
  <c r="AX7" i="94"/>
  <c r="AZ7" i="94" s="1"/>
  <c r="BF7" i="94"/>
  <c r="U7" i="94"/>
  <c r="BY7"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AO8" i="94"/>
  <c r="BM8" i="94"/>
  <c r="AB8" i="94"/>
  <c r="AJ8" i="94"/>
  <c r="AR8" i="94"/>
  <c r="BH8" i="94"/>
  <c r="BP8" i="94"/>
  <c r="H5" i="94"/>
  <c r="G5" i="94"/>
  <c r="W5" i="94"/>
  <c r="CC4" i="94"/>
  <c r="R4" i="94"/>
  <c r="AP4" i="94" s="1"/>
  <c r="BN4" i="94"/>
  <c r="BX4" i="94"/>
  <c r="CF4" i="94"/>
  <c r="BI4" i="94"/>
  <c r="BX11" i="94"/>
  <c r="BH11" i="94"/>
  <c r="BI11" i="94"/>
  <c r="BB11" i="94"/>
  <c r="BD11" i="94" s="1"/>
  <c r="CC11" i="94"/>
  <c r="BI9" i="94"/>
  <c r="BK8" i="94"/>
  <c r="AE8" i="94"/>
  <c r="AG8" i="94" s="1"/>
  <c r="BZ7" i="94"/>
  <c r="BJ7" i="94"/>
  <c r="AF7" i="94"/>
  <c r="AR6" i="94"/>
  <c r="BM4" i="94"/>
  <c r="BW4" i="94"/>
  <c r="CE4" i="94"/>
  <c r="CG4" i="94" s="1"/>
  <c r="BH4" i="94"/>
  <c r="CB4" i="94"/>
  <c r="AH12" i="94"/>
  <c r="BV12" i="94"/>
  <c r="CD12" i="94"/>
  <c r="AK12" i="94"/>
  <c r="BA12" i="94"/>
  <c r="BQ12" i="94"/>
  <c r="AV12" i="94"/>
  <c r="BL12" i="94"/>
  <c r="BV11" i="94"/>
  <c r="CB9" i="94"/>
  <c r="BW9" i="94"/>
  <c r="CE9" i="94"/>
  <c r="CG9" i="94" s="1"/>
  <c r="BY8" i="94"/>
  <c r="CH8" i="94"/>
  <c r="CJ8" i="94" s="1"/>
  <c r="AR7" i="94"/>
  <c r="BC7" i="94"/>
  <c r="CI7" i="94"/>
  <c r="BP6" i="94"/>
  <c r="CB5" i="94"/>
  <c r="BM5" i="94"/>
  <c r="BW5" i="94"/>
  <c r="CE5" i="94"/>
  <c r="CG5" i="94" s="1"/>
  <c r="BH5" i="94"/>
  <c r="BC4" i="94"/>
  <c r="W6" i="94"/>
  <c r="V6" i="94"/>
  <c r="CK11" i="94"/>
  <c r="AX10" i="94"/>
  <c r="AZ10" i="94" s="1"/>
  <c r="R10" i="94"/>
  <c r="AP10" i="94" s="1"/>
  <c r="T8" i="94"/>
  <c r="BQ7" i="94"/>
  <c r="BI7" i="94"/>
  <c r="BA7" i="94"/>
  <c r="AK7" i="94"/>
  <c r="CH6" i="94"/>
  <c r="CJ6" i="94" s="1"/>
  <c r="BR6" i="94"/>
  <c r="BB6" i="94"/>
  <c r="BD6" i="94" s="1"/>
  <c r="AL6" i="94"/>
  <c r="CI5" i="94"/>
  <c r="BS5" i="94"/>
  <c r="BK5" i="94"/>
  <c r="BC5" i="94"/>
  <c r="AU5" i="94"/>
  <c r="AW5" i="94" s="1"/>
  <c r="AM5" i="94"/>
  <c r="AE5" i="94"/>
  <c r="AG5" i="94" s="1"/>
  <c r="BT4" i="94"/>
  <c r="BL4" i="94"/>
  <c r="AV4" i="94"/>
  <c r="AN4" i="94"/>
  <c r="AF4" i="94"/>
  <c r="AT11" i="94"/>
  <c r="AD11" i="94"/>
  <c r="AM10" i="94"/>
  <c r="W10" i="94"/>
  <c r="BU8" i="94"/>
  <c r="BE8" i="94"/>
  <c r="CD7" i="94"/>
  <c r="BV7" i="94"/>
  <c r="BN7" i="94"/>
  <c r="BW6" i="94"/>
  <c r="CF5" i="94"/>
  <c r="BX5" i="94"/>
  <c r="BP5" i="94"/>
  <c r="AR5" i="94"/>
  <c r="AJ5" i="94"/>
  <c r="AB5" i="94"/>
  <c r="T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A7" i="94"/>
  <c r="BS7" i="94"/>
  <c r="W7" i="94"/>
  <c r="CB6" i="94"/>
  <c r="AV6" i="94"/>
  <c r="X6" i="94"/>
  <c r="Z6" i="94" s="1"/>
  <c r="CC5" i="94"/>
  <c r="BU5" i="94"/>
  <c r="AO5" i="94"/>
  <c r="BV4" i="94"/>
  <c r="BF4" i="94"/>
  <c r="BC6" i="94"/>
  <c r="BT5" i="94"/>
  <c r="AV5" i="94"/>
  <c r="AN5" i="94"/>
  <c r="AF5" i="94"/>
  <c r="H5" i="76"/>
  <c r="J5" i="76" s="1"/>
  <c r="H22" i="76"/>
  <c r="J22" i="76" s="1"/>
  <c r="I22" i="76"/>
  <c r="H26" i="76"/>
  <c r="J26" i="76" s="1"/>
  <c r="I26" i="76"/>
  <c r="H6" i="76"/>
  <c r="J6" i="76" s="1"/>
  <c r="I6" i="76"/>
  <c r="I27" i="76"/>
  <c r="H27" i="76"/>
  <c r="J27" i="76" s="1"/>
  <c r="I23" i="76"/>
  <c r="H23" i="76"/>
  <c r="J23" i="76" s="1"/>
  <c r="I19" i="76"/>
  <c r="H19" i="76"/>
  <c r="J19" i="76" s="1"/>
  <c r="H15" i="76"/>
  <c r="J15" i="76" s="1"/>
  <c r="I15" i="76"/>
  <c r="I11" i="76"/>
  <c r="H11" i="76"/>
  <c r="J11" i="76" s="1"/>
  <c r="I7" i="76"/>
  <c r="H7" i="76"/>
  <c r="J7" i="76" s="1"/>
  <c r="F4" i="76"/>
  <c r="J4" i="76" s="1"/>
  <c r="I4" i="76"/>
  <c r="H18" i="76"/>
  <c r="J18" i="76" s="1"/>
  <c r="I18" i="76"/>
  <c r="H10" i="76"/>
  <c r="J10" i="76" s="1"/>
  <c r="I10" i="76"/>
  <c r="H14" i="76"/>
  <c r="J14" i="76" s="1"/>
  <c r="I14" i="76"/>
  <c r="F25" i="83"/>
  <c r="F9" i="83"/>
  <c r="F5" i="83"/>
  <c r="E23" i="83"/>
  <c r="F23" i="83"/>
  <c r="E3" i="83"/>
  <c r="F3" i="83"/>
  <c r="F10" i="83"/>
  <c r="E10" i="83"/>
  <c r="F6" i="83"/>
  <c r="E6" i="83"/>
  <c r="E11" i="83"/>
  <c r="F11" i="83"/>
  <c r="F26" i="83"/>
  <c r="E26" i="83"/>
  <c r="E7" i="83"/>
  <c r="F7" i="83"/>
  <c r="F22" i="83"/>
  <c r="E22" i="83"/>
  <c r="E24" i="83"/>
  <c r="F8" i="83"/>
  <c r="F4" i="83"/>
  <c r="U29" i="32"/>
  <c r="V29" i="32"/>
  <c r="T29" i="32"/>
  <c r="AC2" i="32"/>
  <c r="AA2" i="32"/>
  <c r="V2" i="32"/>
  <c r="T2" i="32"/>
  <c r="Q2" i="32"/>
  <c r="M2" i="32"/>
  <c r="I2" i="32"/>
  <c r="A5" i="86"/>
  <c r="A4" i="86"/>
  <c r="F5" i="86"/>
  <c r="G5" i="86"/>
  <c r="G4" i="86"/>
  <c r="C5" i="86"/>
  <c r="D5" i="86"/>
  <c r="H5" i="86"/>
  <c r="R5" i="86" s="1"/>
  <c r="I5" i="86"/>
  <c r="J5" i="86"/>
  <c r="K5" i="86"/>
  <c r="L5" i="86"/>
  <c r="M5" i="86"/>
  <c r="N5" i="86"/>
  <c r="O5" i="86"/>
  <c r="E3" i="113"/>
  <c r="E3" i="94"/>
  <c r="A2" i="83"/>
  <c r="C2" i="102"/>
  <c r="A2" i="102"/>
  <c r="U15"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V19" i="32"/>
  <c r="AW19" i="32"/>
  <c r="AX19" i="32"/>
  <c r="AY19" i="32"/>
  <c r="AZ19" i="32"/>
  <c r="BA19" i="32"/>
  <c r="BB19" i="32"/>
  <c r="BC19" i="32"/>
  <c r="BD19" i="32"/>
  <c r="BE19" i="32"/>
  <c r="BF19" i="32"/>
  <c r="AQ15" i="32"/>
  <c r="W15" i="32"/>
  <c r="R15" i="32"/>
  <c r="S15" i="32"/>
  <c r="P15" i="32"/>
  <c r="N15" i="32"/>
  <c r="J15" i="32"/>
  <c r="K15" i="32"/>
  <c r="L15" i="32"/>
  <c r="I14" i="94" l="1"/>
  <c r="BF14" i="94" s="1"/>
  <c r="F14" i="113"/>
  <c r="AL14" i="113" s="1"/>
  <c r="B13" i="83"/>
  <c r="C13" i="83"/>
  <c r="AH15" i="32"/>
  <c r="AG15" i="32"/>
  <c r="AF15" i="32"/>
  <c r="AK15" i="32"/>
  <c r="G13" i="102" s="1"/>
  <c r="AI15" i="32"/>
  <c r="E13" i="102" s="1"/>
  <c r="AM15" i="32"/>
  <c r="AJ15" i="32"/>
  <c r="F13" i="102" s="1"/>
  <c r="AN15" i="32"/>
  <c r="AL15" i="32"/>
  <c r="H13" i="102" s="1"/>
  <c r="AS23" i="32"/>
  <c r="Z23" i="32"/>
  <c r="AS20" i="32"/>
  <c r="Z20" i="32"/>
  <c r="AS22" i="32"/>
  <c r="Z22" i="32"/>
  <c r="AS21" i="32"/>
  <c r="Z21" i="32"/>
  <c r="Z18" i="32"/>
  <c r="Z14" i="32"/>
  <c r="Z19" i="32"/>
  <c r="Z17" i="32"/>
  <c r="U16" i="32"/>
  <c r="AQ16" i="32"/>
  <c r="W16" i="32"/>
  <c r="R16" i="32"/>
  <c r="S16" i="32"/>
  <c r="P16" i="32"/>
  <c r="N16" i="32"/>
  <c r="J16" i="32"/>
  <c r="K16" i="32"/>
  <c r="L16" i="32"/>
  <c r="CF14" i="94" l="1"/>
  <c r="CE14" i="94"/>
  <c r="CG14" i="94" s="1"/>
  <c r="BN14" i="94"/>
  <c r="BY14" i="94"/>
  <c r="BG14" i="94"/>
  <c r="BT14" i="94"/>
  <c r="AJ14" i="94"/>
  <c r="BR14" i="94"/>
  <c r="CK14" i="94"/>
  <c r="BB14" i="94"/>
  <c r="BD14" i="94" s="1"/>
  <c r="AL14" i="94"/>
  <c r="BW14" i="94"/>
  <c r="AH14" i="94"/>
  <c r="CD14" i="94"/>
  <c r="BK14" i="94"/>
  <c r="Y14" i="94"/>
  <c r="AP14" i="94"/>
  <c r="AM14" i="94"/>
  <c r="AN14" i="94"/>
  <c r="BO14" i="94"/>
  <c r="AR14" i="94"/>
  <c r="CA14" i="94"/>
  <c r="CB14" i="94"/>
  <c r="BP14" i="94"/>
  <c r="BJ14" i="94"/>
  <c r="AF14" i="94"/>
  <c r="BZ14" i="94"/>
  <c r="AK14" i="94"/>
  <c r="CI14" i="94"/>
  <c r="AT14" i="94"/>
  <c r="BS14" i="94"/>
  <c r="AD14" i="94"/>
  <c r="BA14" i="94"/>
  <c r="BL14" i="94"/>
  <c r="AE14" i="94"/>
  <c r="AG14" i="94" s="1"/>
  <c r="BU14" i="94"/>
  <c r="BC14" i="94"/>
  <c r="AX14" i="94"/>
  <c r="AZ14" i="94" s="1"/>
  <c r="BH14" i="94"/>
  <c r="X14" i="94"/>
  <c r="Z14" i="94" s="1"/>
  <c r="AA14" i="94"/>
  <c r="AC14" i="94" s="1"/>
  <c r="AQ14" i="94"/>
  <c r="AS14" i="94" s="1"/>
  <c r="CC14" i="94"/>
  <c r="BX14" i="94"/>
  <c r="AU14" i="94"/>
  <c r="AW14" i="94" s="1"/>
  <c r="BE14" i="94"/>
  <c r="S14" i="94"/>
  <c r="BV14" i="94"/>
  <c r="CH14" i="94"/>
  <c r="CJ14" i="94" s="1"/>
  <c r="BI14" i="94"/>
  <c r="I15" i="94"/>
  <c r="X15" i="94" s="1"/>
  <c r="Z15" i="94" s="1"/>
  <c r="F15" i="113"/>
  <c r="BQ14" i="94"/>
  <c r="AO14" i="94"/>
  <c r="BM14" i="94"/>
  <c r="AV14" i="94"/>
  <c r="AI14" i="94"/>
  <c r="AY14" i="94"/>
  <c r="AB14" i="94"/>
  <c r="AK14" i="113"/>
  <c r="BI14" i="113"/>
  <c r="AW14" i="113"/>
  <c r="AX14" i="113"/>
  <c r="AZ14" i="113" s="1"/>
  <c r="BX14" i="113"/>
  <c r="CA14" i="113"/>
  <c r="CC14" i="113" s="1"/>
  <c r="P14" i="113"/>
  <c r="BN14" i="113"/>
  <c r="CB14" i="113"/>
  <c r="AE14" i="113"/>
  <c r="AP14" i="113"/>
  <c r="BD14" i="113"/>
  <c r="BP14" i="113"/>
  <c r="AR14" i="113"/>
  <c r="BE14" i="113"/>
  <c r="BS14" i="113"/>
  <c r="CD14" i="113"/>
  <c r="CF14" i="113" s="1"/>
  <c r="AH14" i="113"/>
  <c r="BH14" i="113"/>
  <c r="BF14" i="113"/>
  <c r="AU14" i="113"/>
  <c r="T14" i="113"/>
  <c r="V14" i="113" s="1"/>
  <c r="AG14" i="113"/>
  <c r="BT14" i="113"/>
  <c r="AQ14" i="113"/>
  <c r="AS14" i="113" s="1"/>
  <c r="BM14" i="113"/>
  <c r="BK14" i="113"/>
  <c r="CE14" i="113"/>
  <c r="AF14" i="113"/>
  <c r="AA14" i="113"/>
  <c r="AC14" i="113" s="1"/>
  <c r="BC14" i="113"/>
  <c r="AN14" i="113"/>
  <c r="AJ14" i="113"/>
  <c r="BJ14" i="113"/>
  <c r="BO14" i="113"/>
  <c r="AT14" i="113"/>
  <c r="AV14" i="113" s="1"/>
  <c r="BW14" i="113"/>
  <c r="AI14" i="113"/>
  <c r="AB14" i="113"/>
  <c r="Z14" i="113"/>
  <c r="BL14" i="113"/>
  <c r="X14" i="113"/>
  <c r="BZ14" i="113"/>
  <c r="CG14" i="113"/>
  <c r="BG14" i="113"/>
  <c r="U14" i="113"/>
  <c r="AM14" i="113"/>
  <c r="AO14" i="113" s="1"/>
  <c r="AY14" i="113"/>
  <c r="BU14" i="113"/>
  <c r="AD14" i="113"/>
  <c r="BA14" i="113"/>
  <c r="BR14" i="113"/>
  <c r="BQ14" i="113"/>
  <c r="BY14" i="113"/>
  <c r="W14" i="113"/>
  <c r="Y14" i="113" s="1"/>
  <c r="BB14" i="113"/>
  <c r="BV14" i="113"/>
  <c r="D13" i="83"/>
  <c r="F13" i="83" s="1"/>
  <c r="B14" i="83"/>
  <c r="C14" i="83"/>
  <c r="Z2" i="32"/>
  <c r="AF16" i="32"/>
  <c r="AX21" i="32"/>
  <c r="BF21" i="32"/>
  <c r="BA21" i="32"/>
  <c r="BB21" i="32"/>
  <c r="AY21" i="32"/>
  <c r="BC21" i="32"/>
  <c r="AZ21" i="32"/>
  <c r="AW21" i="32"/>
  <c r="BE21" i="32"/>
  <c r="AV21" i="32"/>
  <c r="BD21" i="32"/>
  <c r="BA20" i="32"/>
  <c r="BD20" i="32"/>
  <c r="AZ20" i="32"/>
  <c r="BB20" i="32"/>
  <c r="BE20" i="32"/>
  <c r="AX20" i="32"/>
  <c r="BC20" i="32"/>
  <c r="AV20" i="32"/>
  <c r="AW20" i="32"/>
  <c r="BF20" i="32"/>
  <c r="AY20" i="32"/>
  <c r="BC22" i="32"/>
  <c r="AX22" i="32"/>
  <c r="BF22" i="32"/>
  <c r="AY22" i="32"/>
  <c r="AV22" i="32"/>
  <c r="BD22" i="32"/>
  <c r="AW22" i="32"/>
  <c r="BE22" i="32"/>
  <c r="AZ22" i="32"/>
  <c r="BA22" i="32"/>
  <c r="BB22" i="32"/>
  <c r="AZ23" i="32"/>
  <c r="BC23" i="32"/>
  <c r="AW23" i="32"/>
  <c r="AY23" i="32"/>
  <c r="BA23" i="32"/>
  <c r="BD23" i="32"/>
  <c r="BE23" i="32"/>
  <c r="BB23" i="32"/>
  <c r="AV23" i="32"/>
  <c r="AX23" i="32"/>
  <c r="BF23" i="32"/>
  <c r="AK16" i="32"/>
  <c r="G14" i="102" s="1"/>
  <c r="AL16" i="32"/>
  <c r="H14" i="102" s="1"/>
  <c r="AJ16" i="32"/>
  <c r="F14" i="102" s="1"/>
  <c r="AN16" i="32"/>
  <c r="AM16" i="32"/>
  <c r="AI16" i="32"/>
  <c r="E14" i="102" s="1"/>
  <c r="AH16" i="32"/>
  <c r="AG16" i="32"/>
  <c r="U18" i="32"/>
  <c r="AQ18" i="32"/>
  <c r="W18" i="32"/>
  <c r="R18" i="32"/>
  <c r="S18" i="32"/>
  <c r="P18" i="32"/>
  <c r="N18" i="32"/>
  <c r="J18" i="32"/>
  <c r="K18" i="32"/>
  <c r="L18" i="32"/>
  <c r="CD15" i="94" l="1"/>
  <c r="AT15" i="94"/>
  <c r="BR15" i="94"/>
  <c r="BU15" i="94"/>
  <c r="BQ15" i="94"/>
  <c r="BS15" i="94"/>
  <c r="BZ15" i="94"/>
  <c r="BV15" i="94"/>
  <c r="S15" i="94"/>
  <c r="AD15" i="94"/>
  <c r="CB15" i="94"/>
  <c r="AN15" i="94"/>
  <c r="AA15" i="94"/>
  <c r="AC15" i="94" s="1"/>
  <c r="CF15" i="94"/>
  <c r="BP15" i="94"/>
  <c r="BM15" i="94"/>
  <c r="BI15" i="94"/>
  <c r="BE15" i="94"/>
  <c r="AK15" i="94"/>
  <c r="BC15" i="94"/>
  <c r="AO15" i="94"/>
  <c r="BY15" i="94"/>
  <c r="CC15" i="94"/>
  <c r="AM15" i="94"/>
  <c r="AX15" i="94"/>
  <c r="AZ15" i="94" s="1"/>
  <c r="BK15" i="94"/>
  <c r="AV15" i="94"/>
  <c r="BF15" i="94"/>
  <c r="AL15" i="94"/>
  <c r="CA15" i="94"/>
  <c r="BG15" i="94"/>
  <c r="AU15" i="94"/>
  <c r="AW15" i="94" s="1"/>
  <c r="AB15" i="94"/>
  <c r="BH15" i="94"/>
  <c r="AQ15" i="94"/>
  <c r="AS15" i="94" s="1"/>
  <c r="BA15" i="94"/>
  <c r="AP15" i="94"/>
  <c r="BJ15" i="94"/>
  <c r="AH15" i="94"/>
  <c r="CK15" i="94"/>
  <c r="BX15" i="94"/>
  <c r="CH15" i="94"/>
  <c r="CJ15" i="94" s="1"/>
  <c r="AR15" i="94"/>
  <c r="AE15" i="94"/>
  <c r="AG15" i="94" s="1"/>
  <c r="BL15" i="94"/>
  <c r="BT15" i="94"/>
  <c r="BN15" i="94"/>
  <c r="CE15" i="94"/>
  <c r="CG15" i="94" s="1"/>
  <c r="BO15" i="94"/>
  <c r="AY15" i="94"/>
  <c r="AJ15" i="94"/>
  <c r="Y15" i="94"/>
  <c r="CI15" i="94"/>
  <c r="BW15" i="94"/>
  <c r="BB15" i="94"/>
  <c r="BD15" i="94" s="1"/>
  <c r="AI15" i="94"/>
  <c r="AF15" i="94"/>
  <c r="I17" i="94"/>
  <c r="BB17" i="94" s="1"/>
  <c r="BD17" i="94" s="1"/>
  <c r="F17" i="113"/>
  <c r="AT15" i="113"/>
  <c r="AV15" i="113" s="1"/>
  <c r="BB15" i="113"/>
  <c r="X15" i="113"/>
  <c r="AF15" i="113"/>
  <c r="AN15" i="113"/>
  <c r="BL15" i="113"/>
  <c r="BU15" i="113"/>
  <c r="U15" i="113"/>
  <c r="AI15" i="113"/>
  <c r="AU15" i="113"/>
  <c r="BH15" i="113"/>
  <c r="BV15" i="113"/>
  <c r="CG15" i="113"/>
  <c r="W15" i="113"/>
  <c r="Y15" i="113" s="1"/>
  <c r="AJ15" i="113"/>
  <c r="AX15" i="113"/>
  <c r="AZ15" i="113" s="1"/>
  <c r="AK15" i="113"/>
  <c r="AY15" i="113"/>
  <c r="BK15" i="113"/>
  <c r="AA15" i="113"/>
  <c r="AC15" i="113" s="1"/>
  <c r="AM15" i="113"/>
  <c r="AO15" i="113" s="1"/>
  <c r="BY15" i="113"/>
  <c r="AB15" i="113"/>
  <c r="AP15" i="113"/>
  <c r="BA15" i="113"/>
  <c r="BO15" i="113"/>
  <c r="CA15" i="113"/>
  <c r="CC15" i="113" s="1"/>
  <c r="AQ15" i="113"/>
  <c r="AS15" i="113" s="1"/>
  <c r="BC15" i="113"/>
  <c r="BP15" i="113"/>
  <c r="T15" i="113"/>
  <c r="V15" i="113" s="1"/>
  <c r="BG15" i="113"/>
  <c r="AE15" i="113"/>
  <c r="AR15" i="113"/>
  <c r="BF15" i="113"/>
  <c r="BQ15" i="113"/>
  <c r="CE15" i="113"/>
  <c r="AD15" i="113"/>
  <c r="AL15" i="113"/>
  <c r="BN15" i="113"/>
  <c r="CB15" i="113"/>
  <c r="BR15" i="113"/>
  <c r="BE15" i="113"/>
  <c r="BZ15" i="113"/>
  <c r="BJ15" i="113"/>
  <c r="AG15" i="113"/>
  <c r="AW15" i="113"/>
  <c r="BX15" i="113"/>
  <c r="P15" i="113"/>
  <c r="BI15" i="113"/>
  <c r="BM15" i="113"/>
  <c r="Z15" i="113"/>
  <c r="BW15" i="113"/>
  <c r="BS15" i="113"/>
  <c r="BD15" i="113"/>
  <c r="CD15" i="113"/>
  <c r="CF15" i="113" s="1"/>
  <c r="AH15" i="113"/>
  <c r="BT15" i="113"/>
  <c r="E13" i="83"/>
  <c r="D14" i="83"/>
  <c r="F14" i="83" s="1"/>
  <c r="B16" i="83"/>
  <c r="C16" i="83"/>
  <c r="AF18" i="32"/>
  <c r="AJ18" i="32"/>
  <c r="F16" i="102" s="1"/>
  <c r="AI18" i="32"/>
  <c r="E16" i="102" s="1"/>
  <c r="AN18" i="32"/>
  <c r="AL18" i="32"/>
  <c r="H16" i="102" s="1"/>
  <c r="AM18" i="32"/>
  <c r="AK18" i="32"/>
  <c r="G16" i="102" s="1"/>
  <c r="AH18" i="32"/>
  <c r="AG18" i="32"/>
  <c r="AT17" i="94" l="1"/>
  <c r="AB17" i="94"/>
  <c r="AM17" i="94"/>
  <c r="BS17" i="94"/>
  <c r="BF17" i="94"/>
  <c r="AN17" i="94"/>
  <c r="BY17" i="94"/>
  <c r="BV17" i="94"/>
  <c r="CF17" i="94"/>
  <c r="AA17" i="94"/>
  <c r="AC17" i="94" s="1"/>
  <c r="BA17" i="94"/>
  <c r="BJ17" i="94"/>
  <c r="BM17" i="94"/>
  <c r="BT17" i="94"/>
  <c r="BK17" i="94"/>
  <c r="AL17" i="94"/>
  <c r="BP17" i="94"/>
  <c r="CI17" i="94"/>
  <c r="AK17" i="94"/>
  <c r="BG17" i="94"/>
  <c r="AQ17" i="94"/>
  <c r="AS17" i="94" s="1"/>
  <c r="CB17" i="94"/>
  <c r="AO17" i="94"/>
  <c r="AY17" i="94"/>
  <c r="AV17" i="94"/>
  <c r="BW17" i="94"/>
  <c r="BH17" i="94"/>
  <c r="CC17" i="94"/>
  <c r="AP17" i="94"/>
  <c r="AI17" i="94"/>
  <c r="CD17" i="94"/>
  <c r="X17" i="94"/>
  <c r="Z17" i="94" s="1"/>
  <c r="BZ17" i="94"/>
  <c r="BQ17" i="94"/>
  <c r="AR17" i="94"/>
  <c r="AH17" i="94"/>
  <c r="BN17" i="94"/>
  <c r="AU17" i="94"/>
  <c r="AW17" i="94" s="1"/>
  <c r="CE17" i="94"/>
  <c r="CG17" i="94" s="1"/>
  <c r="BO17" i="94"/>
  <c r="Y17" i="94"/>
  <c r="BU17" i="94"/>
  <c r="BR17" i="94"/>
  <c r="CA17" i="94"/>
  <c r="AF17" i="94"/>
  <c r="BI17" i="94"/>
  <c r="S17" i="94"/>
  <c r="CH17" i="94"/>
  <c r="CJ17" i="94" s="1"/>
  <c r="BL17" i="94"/>
  <c r="BC17" i="94"/>
  <c r="BE17" i="94"/>
  <c r="AJ17" i="94"/>
  <c r="AE17" i="94"/>
  <c r="AG17" i="94" s="1"/>
  <c r="AX17" i="94"/>
  <c r="AZ17" i="94" s="1"/>
  <c r="CK17" i="94"/>
  <c r="BX17" i="94"/>
  <c r="AD17" i="94"/>
  <c r="BJ17" i="113"/>
  <c r="AF17" i="113"/>
  <c r="AQ17" i="113"/>
  <c r="AS17" i="113" s="1"/>
  <c r="BE17" i="113"/>
  <c r="BQ17" i="113"/>
  <c r="AG17" i="113"/>
  <c r="BF17" i="113"/>
  <c r="BT17" i="113"/>
  <c r="CE17" i="113"/>
  <c r="AH17" i="113"/>
  <c r="AK17" i="113"/>
  <c r="AX17" i="113"/>
  <c r="AZ17" i="113" s="1"/>
  <c r="BL17" i="113"/>
  <c r="BW17" i="113"/>
  <c r="AA17" i="113"/>
  <c r="AC17" i="113" s="1"/>
  <c r="BA17" i="113"/>
  <c r="BN17" i="113"/>
  <c r="CB17" i="113"/>
  <c r="X17" i="113"/>
  <c r="BD17" i="113"/>
  <c r="BM17" i="113"/>
  <c r="AI17" i="113"/>
  <c r="BO17" i="113"/>
  <c r="AN17" i="113"/>
  <c r="BV17" i="113"/>
  <c r="AY17" i="113"/>
  <c r="Z17" i="113"/>
  <c r="AP17" i="113"/>
  <c r="AW17" i="113"/>
  <c r="BI17" i="113"/>
  <c r="BY17" i="113"/>
  <c r="AR17" i="113"/>
  <c r="BR17" i="113"/>
  <c r="AT17" i="113"/>
  <c r="AV17" i="113" s="1"/>
  <c r="AJ17" i="113"/>
  <c r="BZ17" i="113"/>
  <c r="BB17" i="113"/>
  <c r="P17" i="113"/>
  <c r="BC17" i="113"/>
  <c r="W17" i="113"/>
  <c r="Y17" i="113" s="1"/>
  <c r="CG17" i="113"/>
  <c r="AE17" i="113"/>
  <c r="U17" i="113"/>
  <c r="BH17" i="113"/>
  <c r="AL17" i="113"/>
  <c r="BU17" i="113"/>
  <c r="CD17" i="113"/>
  <c r="CF17" i="113" s="1"/>
  <c r="AM17" i="113"/>
  <c r="AO17" i="113" s="1"/>
  <c r="BK17" i="113"/>
  <c r="T17" i="113"/>
  <c r="V17" i="113" s="1"/>
  <c r="BG17" i="113"/>
  <c r="BX17" i="113"/>
  <c r="AB17" i="113"/>
  <c r="AU17" i="113"/>
  <c r="BS17" i="113"/>
  <c r="CA17" i="113"/>
  <c r="CC17" i="113" s="1"/>
  <c r="AD17" i="113"/>
  <c r="BP17" i="113"/>
  <c r="E14" i="83"/>
  <c r="D16" i="83"/>
  <c r="E16" i="83" s="1"/>
  <c r="U17" i="32"/>
  <c r="F16" i="83" l="1"/>
  <c r="AQ17" i="32"/>
  <c r="W17" i="32"/>
  <c r="R17" i="32"/>
  <c r="S17" i="32"/>
  <c r="P17" i="32"/>
  <c r="N17" i="32"/>
  <c r="J17" i="32"/>
  <c r="K17" i="32"/>
  <c r="L17" i="32"/>
  <c r="I16" i="94" l="1"/>
  <c r="BG16" i="94" s="1"/>
  <c r="F16" i="113"/>
  <c r="C15" i="83"/>
  <c r="B15" i="83"/>
  <c r="AG17" i="32"/>
  <c r="AL17" i="32"/>
  <c r="H15" i="102" s="1"/>
  <c r="AM17" i="32"/>
  <c r="AK17" i="32"/>
  <c r="G15" i="102" s="1"/>
  <c r="AI17" i="32"/>
  <c r="E15" i="102" s="1"/>
  <c r="AN17" i="32"/>
  <c r="AJ17" i="32"/>
  <c r="F15" i="102" s="1"/>
  <c r="AH17" i="32"/>
  <c r="AF17" i="32"/>
  <c r="BF14" i="32"/>
  <c r="BE14" i="32"/>
  <c r="BD14" i="32"/>
  <c r="BC14" i="32"/>
  <c r="BB14" i="32"/>
  <c r="BA14" i="32"/>
  <c r="BX16" i="94" l="1"/>
  <c r="CC16" i="94"/>
  <c r="BM16" i="94"/>
  <c r="AT16" i="94"/>
  <c r="BF16" i="94"/>
  <c r="S16" i="94"/>
  <c r="BA16" i="94"/>
  <c r="CE16" i="94"/>
  <c r="CG16" i="94" s="1"/>
  <c r="BH16" i="94"/>
  <c r="AD16" i="94"/>
  <c r="AN16" i="94"/>
  <c r="AF16" i="94"/>
  <c r="AB16" i="94"/>
  <c r="AH16" i="94"/>
  <c r="BP16" i="94"/>
  <c r="CA16" i="94"/>
  <c r="BC16" i="94"/>
  <c r="BL16" i="94"/>
  <c r="X16" i="94"/>
  <c r="Z16" i="94" s="1"/>
  <c r="AX16" i="94"/>
  <c r="AZ16" i="94" s="1"/>
  <c r="BO16" i="94"/>
  <c r="AA16" i="94"/>
  <c r="AC16" i="94" s="1"/>
  <c r="AL16" i="94"/>
  <c r="BE16" i="94"/>
  <c r="BB16" i="94"/>
  <c r="BD16" i="94" s="1"/>
  <c r="AQ16" i="94"/>
  <c r="AS16" i="94" s="1"/>
  <c r="CI16" i="94"/>
  <c r="AP16" i="94"/>
  <c r="BT16" i="94"/>
  <c r="AM16" i="94"/>
  <c r="AR16" i="94"/>
  <c r="AJ16" i="94"/>
  <c r="AU16" i="94"/>
  <c r="AW16" i="94" s="1"/>
  <c r="BI16" i="94"/>
  <c r="AO16" i="94"/>
  <c r="BJ16" i="94"/>
  <c r="CF16" i="94"/>
  <c r="CB16" i="94"/>
  <c r="AI16" i="94"/>
  <c r="BU16" i="94"/>
  <c r="CH16" i="94"/>
  <c r="CJ16" i="94" s="1"/>
  <c r="BK16" i="94"/>
  <c r="BQ16" i="94"/>
  <c r="BW16" i="94"/>
  <c r="AV16" i="94"/>
  <c r="BR16" i="94"/>
  <c r="BY16" i="94"/>
  <c r="BS16" i="94"/>
  <c r="AK16" i="94"/>
  <c r="CD16" i="94"/>
  <c r="BZ16" i="94"/>
  <c r="CK16" i="94"/>
  <c r="BN16" i="94"/>
  <c r="Y16" i="94"/>
  <c r="BV16" i="94"/>
  <c r="AE16" i="94"/>
  <c r="AG16" i="94" s="1"/>
  <c r="AY16" i="94"/>
  <c r="BE16" i="113"/>
  <c r="BU16" i="113"/>
  <c r="AA16" i="113"/>
  <c r="AC16" i="113" s="1"/>
  <c r="AI16" i="113"/>
  <c r="AQ16" i="113"/>
  <c r="AS16" i="113" s="1"/>
  <c r="BG16" i="113"/>
  <c r="BO16" i="113"/>
  <c r="AB16" i="113"/>
  <c r="AJ16" i="113"/>
  <c r="BP16" i="113"/>
  <c r="AE16" i="113"/>
  <c r="BD16" i="113"/>
  <c r="AF16" i="113"/>
  <c r="AT16" i="113"/>
  <c r="AV16" i="113" s="1"/>
  <c r="BF16" i="113"/>
  <c r="BS16" i="113"/>
  <c r="CG16" i="113"/>
  <c r="AH16" i="113"/>
  <c r="AU16" i="113"/>
  <c r="BI16" i="113"/>
  <c r="BT16" i="113"/>
  <c r="W16" i="113"/>
  <c r="Y16" i="113" s="1"/>
  <c r="BJ16" i="113"/>
  <c r="BV16" i="113"/>
  <c r="Z16" i="113"/>
  <c r="AM16" i="113"/>
  <c r="AO16" i="113" s="1"/>
  <c r="BA16" i="113"/>
  <c r="BL16" i="113"/>
  <c r="BZ16" i="113"/>
  <c r="AD16" i="113"/>
  <c r="AP16" i="113"/>
  <c r="BC16" i="113"/>
  <c r="BQ16" i="113"/>
  <c r="CB16" i="113"/>
  <c r="AN16" i="113"/>
  <c r="BB16" i="113"/>
  <c r="BK16" i="113"/>
  <c r="BN16" i="113"/>
  <c r="CA16" i="113"/>
  <c r="CC16" i="113" s="1"/>
  <c r="BR16" i="113"/>
  <c r="BY16" i="113"/>
  <c r="X16" i="113"/>
  <c r="AX16" i="113"/>
  <c r="AZ16" i="113" s="1"/>
  <c r="P16" i="113"/>
  <c r="AG16" i="113"/>
  <c r="CD16" i="113"/>
  <c r="CF16" i="113" s="1"/>
  <c r="AW16" i="113"/>
  <c r="BM16" i="113"/>
  <c r="BX16" i="113"/>
  <c r="BW16" i="113"/>
  <c r="AK16" i="113"/>
  <c r="BH16" i="113"/>
  <c r="CE16" i="113"/>
  <c r="AY16" i="113"/>
  <c r="T16" i="113"/>
  <c r="V16" i="113" s="1"/>
  <c r="AL16" i="113"/>
  <c r="AR16" i="113"/>
  <c r="U16" i="113"/>
  <c r="D15" i="83"/>
  <c r="AY14" i="32"/>
  <c r="AZ14" i="32"/>
  <c r="AX14" i="32"/>
  <c r="AW14" i="32"/>
  <c r="AV14" i="32"/>
  <c r="E15" i="83" l="1"/>
  <c r="F15" i="83"/>
  <c r="U19" i="32"/>
  <c r="AQ19" i="32"/>
  <c r="W19" i="32"/>
  <c r="R19" i="32"/>
  <c r="S19" i="32"/>
  <c r="P19" i="32"/>
  <c r="N19" i="32"/>
  <c r="J19" i="32"/>
  <c r="K19" i="32"/>
  <c r="L19" i="32"/>
  <c r="U23" i="32"/>
  <c r="AQ23" i="32"/>
  <c r="W23" i="32"/>
  <c r="R23" i="32"/>
  <c r="S23" i="32"/>
  <c r="P23" i="32"/>
  <c r="N23" i="32"/>
  <c r="J23" i="32"/>
  <c r="K23" i="32"/>
  <c r="L23" i="32"/>
  <c r="U22" i="32"/>
  <c r="AQ22" i="32"/>
  <c r="W22" i="32"/>
  <c r="R22" i="32"/>
  <c r="S22" i="32"/>
  <c r="P22" i="32"/>
  <c r="N22" i="32"/>
  <c r="J22" i="32"/>
  <c r="K22" i="32"/>
  <c r="L22" i="32"/>
  <c r="AQ20" i="32"/>
  <c r="AQ21" i="32"/>
  <c r="U21" i="32"/>
  <c r="W21" i="32"/>
  <c r="R21" i="32"/>
  <c r="S21" i="32"/>
  <c r="P21" i="32"/>
  <c r="N21" i="32"/>
  <c r="J21" i="32"/>
  <c r="K21" i="32"/>
  <c r="L21" i="32"/>
  <c r="I18" i="94" l="1"/>
  <c r="BX18" i="94" s="1"/>
  <c r="F18" i="113"/>
  <c r="I20" i="94"/>
  <c r="AO20" i="94" s="1"/>
  <c r="F20" i="113"/>
  <c r="I21" i="94"/>
  <c r="AB21" i="94" s="1"/>
  <c r="F21" i="113"/>
  <c r="I22" i="94"/>
  <c r="BE22" i="94" s="1"/>
  <c r="F22" i="113"/>
  <c r="B17" i="83"/>
  <c r="C17" i="83"/>
  <c r="C19" i="83"/>
  <c r="B19" i="83"/>
  <c r="C20" i="83"/>
  <c r="B20" i="83"/>
  <c r="B21" i="83"/>
  <c r="C21" i="83"/>
  <c r="AF22" i="32"/>
  <c r="AF23" i="32"/>
  <c r="AG21" i="32"/>
  <c r="AG19" i="32"/>
  <c r="AI19" i="32"/>
  <c r="E17" i="102" s="1"/>
  <c r="AL19" i="32"/>
  <c r="H17" i="102" s="1"/>
  <c r="AK19" i="32"/>
  <c r="G17" i="102" s="1"/>
  <c r="AN19" i="32"/>
  <c r="AM19" i="32"/>
  <c r="AJ19" i="32"/>
  <c r="F17" i="102" s="1"/>
  <c r="AH19" i="32"/>
  <c r="AF19" i="32"/>
  <c r="AN23" i="32"/>
  <c r="AM23" i="32"/>
  <c r="AL23" i="32"/>
  <c r="H21" i="102" s="1"/>
  <c r="AK23" i="32"/>
  <c r="G21" i="102" s="1"/>
  <c r="AJ23" i="32"/>
  <c r="F21" i="102" s="1"/>
  <c r="AI23" i="32"/>
  <c r="E21" i="102" s="1"/>
  <c r="AH23" i="32"/>
  <c r="AG23" i="32"/>
  <c r="AN22" i="32"/>
  <c r="AL22" i="32"/>
  <c r="H20" i="102" s="1"/>
  <c r="AM22" i="32"/>
  <c r="AK22" i="32"/>
  <c r="G20" i="102" s="1"/>
  <c r="AJ22" i="32"/>
  <c r="F20" i="102" s="1"/>
  <c r="AI22" i="32"/>
  <c r="E20" i="102" s="1"/>
  <c r="AH22" i="32"/>
  <c r="AG22" i="32"/>
  <c r="AN21" i="32"/>
  <c r="AM21" i="32"/>
  <c r="AL21" i="32"/>
  <c r="H19" i="102" s="1"/>
  <c r="AK21" i="32"/>
  <c r="G19" i="102" s="1"/>
  <c r="AI21" i="32"/>
  <c r="E19" i="102" s="1"/>
  <c r="AJ21" i="32"/>
  <c r="F19" i="102" s="1"/>
  <c r="AH21" i="32"/>
  <c r="AF21" i="32"/>
  <c r="U20" i="32"/>
  <c r="W20" i="32"/>
  <c r="R20" i="32"/>
  <c r="S20" i="32"/>
  <c r="P20" i="32"/>
  <c r="N20" i="32"/>
  <c r="J20" i="32"/>
  <c r="K20" i="32"/>
  <c r="L20" i="32"/>
  <c r="AQ14" i="32"/>
  <c r="W14" i="32"/>
  <c r="U14" i="32"/>
  <c r="R14" i="32"/>
  <c r="S14" i="32"/>
  <c r="P14" i="32"/>
  <c r="N14" i="32"/>
  <c r="J14" i="32"/>
  <c r="K14" i="32"/>
  <c r="L14" i="32"/>
  <c r="X4" i="32"/>
  <c r="G23" i="49"/>
  <c r="BE20" i="94" l="1"/>
  <c r="BK20" i="94"/>
  <c r="BI20" i="94"/>
  <c r="BN20" i="94"/>
  <c r="AH20" i="94"/>
  <c r="CH20" i="94"/>
  <c r="CJ20" i="94" s="1"/>
  <c r="Y20" i="94"/>
  <c r="BF20" i="94"/>
  <c r="BM20" i="94"/>
  <c r="AI20" i="94"/>
  <c r="CE20" i="94"/>
  <c r="CG20" i="94" s="1"/>
  <c r="AR20" i="94"/>
  <c r="BY20" i="94"/>
  <c r="AB20" i="94"/>
  <c r="BJ20" i="94"/>
  <c r="S20" i="94"/>
  <c r="CI20" i="94"/>
  <c r="AV20" i="94"/>
  <c r="AF20" i="94"/>
  <c r="AM20" i="94"/>
  <c r="BZ20" i="94"/>
  <c r="BW20" i="94"/>
  <c r="BB20" i="94"/>
  <c r="BD20" i="94" s="1"/>
  <c r="AE20" i="94"/>
  <c r="AG20" i="94" s="1"/>
  <c r="AY20" i="94"/>
  <c r="AT20" i="94"/>
  <c r="BL20" i="94"/>
  <c r="CB20" i="94"/>
  <c r="AA20" i="94"/>
  <c r="AC20" i="94" s="1"/>
  <c r="BP20" i="94"/>
  <c r="CC20" i="94"/>
  <c r="BU20" i="94"/>
  <c r="BQ20" i="94"/>
  <c r="CA20" i="94"/>
  <c r="AU20" i="94"/>
  <c r="AW20" i="94" s="1"/>
  <c r="AP20" i="94"/>
  <c r="AJ20" i="94"/>
  <c r="AX20" i="94"/>
  <c r="AZ20" i="94" s="1"/>
  <c r="CF20" i="94"/>
  <c r="BX20" i="94"/>
  <c r="BA20" i="94"/>
  <c r="BH20" i="94"/>
  <c r="BT20" i="94"/>
  <c r="BG20" i="94"/>
  <c r="BO20" i="94"/>
  <c r="BC20" i="94"/>
  <c r="AQ20" i="94"/>
  <c r="AS20" i="94" s="1"/>
  <c r="AN20" i="94"/>
  <c r="X20" i="94"/>
  <c r="Z20" i="94" s="1"/>
  <c r="BR20" i="94"/>
  <c r="CK20" i="94"/>
  <c r="BT21" i="94"/>
  <c r="AK20" i="94"/>
  <c r="AD20" i="94"/>
  <c r="AL20" i="94"/>
  <c r="CD20" i="94"/>
  <c r="AX21" i="94"/>
  <c r="AZ21" i="94" s="1"/>
  <c r="Y21" i="94"/>
  <c r="AY21" i="94"/>
  <c r="BV20" i="94"/>
  <c r="BQ21" i="94"/>
  <c r="CH21" i="94"/>
  <c r="CJ21" i="94" s="1"/>
  <c r="BE21" i="94"/>
  <c r="BO21" i="94"/>
  <c r="BS20" i="94"/>
  <c r="BI21" i="94"/>
  <c r="CF21" i="94"/>
  <c r="AV21" i="94"/>
  <c r="CI18" i="94"/>
  <c r="AL21" i="94"/>
  <c r="BB21" i="94"/>
  <c r="BD21" i="94" s="1"/>
  <c r="AF21" i="94"/>
  <c r="BK21" i="94"/>
  <c r="AI21" i="94"/>
  <c r="AD21" i="94"/>
  <c r="BJ21" i="94"/>
  <c r="BC21" i="94"/>
  <c r="AE18" i="94"/>
  <c r="AG18" i="94" s="1"/>
  <c r="BS21" i="94"/>
  <c r="BG21" i="94"/>
  <c r="CI21" i="94"/>
  <c r="CH18" i="94"/>
  <c r="CJ18" i="94" s="1"/>
  <c r="BG18" i="94"/>
  <c r="AR18" i="94"/>
  <c r="AH22" i="94"/>
  <c r="AP18" i="94"/>
  <c r="AK22" i="94"/>
  <c r="AX18" i="94"/>
  <c r="AZ18" i="94" s="1"/>
  <c r="AI18" i="94"/>
  <c r="BU18" i="94"/>
  <c r="AT22" i="94"/>
  <c r="X22" i="94"/>
  <c r="Z22" i="94" s="1"/>
  <c r="BI22" i="94"/>
  <c r="BC22" i="94"/>
  <c r="AX22" i="94"/>
  <c r="AZ22" i="94" s="1"/>
  <c r="CH22" i="94"/>
  <c r="CJ22" i="94" s="1"/>
  <c r="BY22" i="94"/>
  <c r="AE22" i="94"/>
  <c r="AG22" i="94" s="1"/>
  <c r="AP22" i="94"/>
  <c r="BG22" i="94"/>
  <c r="CB22" i="94"/>
  <c r="AM22" i="94"/>
  <c r="BU22" i="94"/>
  <c r="CA18" i="94"/>
  <c r="AJ18" i="94"/>
  <c r="Y22" i="94"/>
  <c r="AA22" i="94"/>
  <c r="AC22" i="94" s="1"/>
  <c r="AB22" i="94"/>
  <c r="AY18" i="94"/>
  <c r="BR18" i="94"/>
  <c r="BR22" i="94"/>
  <c r="BB22" i="94"/>
  <c r="BD22" i="94" s="1"/>
  <c r="AV22" i="94"/>
  <c r="AP21" i="94"/>
  <c r="BM21" i="94"/>
  <c r="CC21" i="94"/>
  <c r="AT21" i="94"/>
  <c r="AM21" i="94"/>
  <c r="BA21" i="94"/>
  <c r="BZ21" i="94"/>
  <c r="AN21" i="94"/>
  <c r="BT22" i="94"/>
  <c r="BL22" i="94"/>
  <c r="BM22" i="94"/>
  <c r="BP22" i="94"/>
  <c r="BZ22" i="94"/>
  <c r="AD22" i="94"/>
  <c r="CC22" i="94"/>
  <c r="BA18" i="94"/>
  <c r="AM18" i="94"/>
  <c r="BH18" i="94"/>
  <c r="AB18" i="94"/>
  <c r="BJ18" i="94"/>
  <c r="AD18" i="94"/>
  <c r="AN18" i="94"/>
  <c r="BA22" i="113"/>
  <c r="BQ22" i="113"/>
  <c r="AT22" i="113"/>
  <c r="AV22" i="113" s="1"/>
  <c r="BB22" i="113"/>
  <c r="BU22" i="113"/>
  <c r="AB22" i="113"/>
  <c r="AR22" i="113"/>
  <c r="BX22" i="113"/>
  <c r="P22" i="113"/>
  <c r="AF22" i="113"/>
  <c r="BL22" i="113"/>
  <c r="X22" i="113"/>
  <c r="AN22" i="113"/>
  <c r="BD22" i="113"/>
  <c r="AI22" i="113"/>
  <c r="BG22" i="113"/>
  <c r="AJ22" i="113"/>
  <c r="BN22" i="113"/>
  <c r="AA22" i="113"/>
  <c r="AC22" i="113" s="1"/>
  <c r="BP22" i="113"/>
  <c r="T22" i="113"/>
  <c r="V22" i="113" s="1"/>
  <c r="AX22" i="113"/>
  <c r="AZ22" i="113" s="1"/>
  <c r="BV22" i="113"/>
  <c r="CD22" i="113"/>
  <c r="CF22" i="113" s="1"/>
  <c r="Z22" i="113"/>
  <c r="AY22" i="113"/>
  <c r="BW22" i="113"/>
  <c r="AH22" i="113"/>
  <c r="BF22" i="113"/>
  <c r="CE22" i="113"/>
  <c r="BM22" i="113"/>
  <c r="W22" i="113"/>
  <c r="Y22" i="113" s="1"/>
  <c r="AK22" i="113"/>
  <c r="BE22" i="113"/>
  <c r="CG22" i="113"/>
  <c r="BH22" i="113"/>
  <c r="CA22" i="113"/>
  <c r="CC22" i="113" s="1"/>
  <c r="CB22" i="113"/>
  <c r="AD22" i="113"/>
  <c r="AE22" i="113"/>
  <c r="BT22" i="113"/>
  <c r="BR22" i="113"/>
  <c r="AQ22" i="113"/>
  <c r="AS22" i="113" s="1"/>
  <c r="BK22" i="113"/>
  <c r="BY22" i="113"/>
  <c r="AG22" i="113"/>
  <c r="BZ22" i="113"/>
  <c r="U22" i="113"/>
  <c r="BO22" i="113"/>
  <c r="AU22" i="113"/>
  <c r="BS22" i="113"/>
  <c r="BC22" i="113"/>
  <c r="AP22" i="113"/>
  <c r="BI22" i="113"/>
  <c r="AM22" i="113"/>
  <c r="AO22" i="113" s="1"/>
  <c r="BJ22" i="113"/>
  <c r="AW22" i="113"/>
  <c r="AL22" i="113"/>
  <c r="AU21" i="94"/>
  <c r="AW21" i="94" s="1"/>
  <c r="BR21" i="94"/>
  <c r="BY21" i="94"/>
  <c r="AR21" i="94"/>
  <c r="BP21" i="94"/>
  <c r="BV21" i="94"/>
  <c r="AO21" i="94"/>
  <c r="BK22" i="94"/>
  <c r="BA22" i="94"/>
  <c r="AR22" i="94"/>
  <c r="AI22" i="94"/>
  <c r="AN22" i="94"/>
  <c r="AJ22" i="94"/>
  <c r="BF22" i="94"/>
  <c r="BS22" i="94"/>
  <c r="CE18" i="94"/>
  <c r="CG18" i="94" s="1"/>
  <c r="AQ18" i="94"/>
  <c r="AS18" i="94" s="1"/>
  <c r="S18" i="94"/>
  <c r="AA18" i="94"/>
  <c r="AC18" i="94" s="1"/>
  <c r="CC18" i="94"/>
  <c r="AO18" i="94"/>
  <c r="BS18" i="94"/>
  <c r="Z21" i="113"/>
  <c r="AP21" i="113"/>
  <c r="AX21" i="113"/>
  <c r="AZ21" i="113" s="1"/>
  <c r="AQ21" i="113"/>
  <c r="AS21" i="113" s="1"/>
  <c r="BO21" i="113"/>
  <c r="BW21" i="113"/>
  <c r="AD21" i="113"/>
  <c r="BJ21" i="113"/>
  <c r="BR21" i="113"/>
  <c r="BZ21" i="113"/>
  <c r="W21" i="113"/>
  <c r="Y21" i="113" s="1"/>
  <c r="AU21" i="113"/>
  <c r="BK21" i="113"/>
  <c r="CA21" i="113"/>
  <c r="CC21" i="113" s="1"/>
  <c r="CB21" i="113"/>
  <c r="U21" i="113"/>
  <c r="AN21" i="113"/>
  <c r="BD21" i="113"/>
  <c r="BT21" i="113"/>
  <c r="BS21" i="113"/>
  <c r="AW21" i="113"/>
  <c r="BU21" i="113"/>
  <c r="BA21" i="113"/>
  <c r="BY21" i="113"/>
  <c r="BC21" i="113"/>
  <c r="AK21" i="113"/>
  <c r="BE21" i="113"/>
  <c r="CG21" i="113"/>
  <c r="AG21" i="113"/>
  <c r="BI21" i="113"/>
  <c r="BM21" i="113"/>
  <c r="AM21" i="113"/>
  <c r="AO21" i="113" s="1"/>
  <c r="BQ21" i="113"/>
  <c r="BF21" i="113"/>
  <c r="AT21" i="113"/>
  <c r="AV21" i="113" s="1"/>
  <c r="CD21" i="113"/>
  <c r="CF21" i="113" s="1"/>
  <c r="BV21" i="113"/>
  <c r="BB21" i="113"/>
  <c r="AY21" i="113"/>
  <c r="BN21" i="113"/>
  <c r="AH21" i="113"/>
  <c r="AA21" i="113"/>
  <c r="AC21" i="113" s="1"/>
  <c r="X21" i="113"/>
  <c r="CE21" i="113"/>
  <c r="AL21" i="113"/>
  <c r="AI21" i="113"/>
  <c r="AF21" i="113"/>
  <c r="AR21" i="113"/>
  <c r="BG21" i="113"/>
  <c r="P21" i="113"/>
  <c r="AJ21" i="113"/>
  <c r="BL21" i="113"/>
  <c r="T21" i="113"/>
  <c r="V21" i="113" s="1"/>
  <c r="AB21" i="113"/>
  <c r="BP21" i="113"/>
  <c r="AE21" i="113"/>
  <c r="BH21" i="113"/>
  <c r="BX21" i="113"/>
  <c r="I19" i="94"/>
  <c r="AL19" i="94" s="1"/>
  <c r="F19" i="113"/>
  <c r="AH18" i="94"/>
  <c r="CB18" i="94"/>
  <c r="BT18" i="94"/>
  <c r="BF18" i="94"/>
  <c r="CD18" i="94"/>
  <c r="BK18" i="94"/>
  <c r="AU22" i="94"/>
  <c r="AW22" i="94" s="1"/>
  <c r="BW21" i="94"/>
  <c r="BH21" i="94"/>
  <c r="AE21" i="94"/>
  <c r="AG21" i="94" s="1"/>
  <c r="BU21" i="94"/>
  <c r="AK21" i="94"/>
  <c r="AH21" i="94"/>
  <c r="AA21" i="94"/>
  <c r="AC21" i="94" s="1"/>
  <c r="AL22" i="94"/>
  <c r="CI22" i="94"/>
  <c r="AQ22" i="94"/>
  <c r="AS22" i="94" s="1"/>
  <c r="BW22" i="94"/>
  <c r="CD22" i="94"/>
  <c r="BX22" i="94"/>
  <c r="CF22" i="94"/>
  <c r="X18" i="94"/>
  <c r="Z18" i="94" s="1"/>
  <c r="BM18" i="94"/>
  <c r="BE18" i="94"/>
  <c r="AV18" i="94"/>
  <c r="CK18" i="94"/>
  <c r="BQ18" i="94"/>
  <c r="BC18" i="94"/>
  <c r="W20" i="113"/>
  <c r="Y20" i="113" s="1"/>
  <c r="AF20" i="113"/>
  <c r="AN20" i="113"/>
  <c r="BL20" i="113"/>
  <c r="AI20" i="113"/>
  <c r="AY20" i="113"/>
  <c r="BG20" i="113"/>
  <c r="CE20" i="113"/>
  <c r="AB20" i="113"/>
  <c r="AK20" i="113"/>
  <c r="BA20" i="113"/>
  <c r="BI20" i="113"/>
  <c r="BQ20" i="113"/>
  <c r="BJ20" i="113"/>
  <c r="AT20" i="113"/>
  <c r="AV20" i="113" s="1"/>
  <c r="BP20" i="113"/>
  <c r="AA20" i="113"/>
  <c r="AC20" i="113" s="1"/>
  <c r="AX20" i="113"/>
  <c r="AZ20" i="113" s="1"/>
  <c r="CD20" i="113"/>
  <c r="CF20" i="113" s="1"/>
  <c r="BB20" i="113"/>
  <c r="BF20" i="113"/>
  <c r="T20" i="113"/>
  <c r="V20" i="113" s="1"/>
  <c r="BN20" i="113"/>
  <c r="BV20" i="113"/>
  <c r="AH20" i="113"/>
  <c r="BX20" i="113"/>
  <c r="AJ20" i="113"/>
  <c r="BZ20" i="113"/>
  <c r="AR20" i="113"/>
  <c r="P20" i="113"/>
  <c r="AD20" i="113"/>
  <c r="AG20" i="113"/>
  <c r="BH20" i="113"/>
  <c r="BE20" i="113"/>
  <c r="AE20" i="113"/>
  <c r="BU20" i="113"/>
  <c r="AW20" i="113"/>
  <c r="AQ20" i="113"/>
  <c r="AS20" i="113" s="1"/>
  <c r="BS20" i="113"/>
  <c r="X20" i="113"/>
  <c r="CA20" i="113"/>
  <c r="CC20" i="113" s="1"/>
  <c r="BM20" i="113"/>
  <c r="BO20" i="113"/>
  <c r="BK20" i="113"/>
  <c r="Z20" i="113"/>
  <c r="BY20" i="113"/>
  <c r="AU20" i="113"/>
  <c r="BW20" i="113"/>
  <c r="U20" i="113"/>
  <c r="AM20" i="113"/>
  <c r="AO20" i="113" s="1"/>
  <c r="CB20" i="113"/>
  <c r="CG20" i="113"/>
  <c r="BT20" i="113"/>
  <c r="AP20" i="113"/>
  <c r="BC20" i="113"/>
  <c r="BR20" i="113"/>
  <c r="BD20" i="113"/>
  <c r="AL20" i="113"/>
  <c r="I13" i="94"/>
  <c r="AQ13" i="94" s="1"/>
  <c r="AS13" i="94" s="1"/>
  <c r="F13" i="113"/>
  <c r="CE21" i="94"/>
  <c r="CG21" i="94" s="1"/>
  <c r="BL21" i="94"/>
  <c r="BN21" i="94"/>
  <c r="BF21" i="94"/>
  <c r="S21" i="94"/>
  <c r="CK21" i="94"/>
  <c r="AJ21" i="94"/>
  <c r="CE22" i="94"/>
  <c r="CG22" i="94" s="1"/>
  <c r="S22" i="94"/>
  <c r="BH22" i="94"/>
  <c r="BQ22" i="94"/>
  <c r="BO22" i="94"/>
  <c r="AF22" i="94"/>
  <c r="BN22" i="94"/>
  <c r="BP18" i="94"/>
  <c r="AL18" i="94"/>
  <c r="AF18" i="94"/>
  <c r="BN18" i="94"/>
  <c r="BV18" i="94"/>
  <c r="BB18" i="94"/>
  <c r="BD18" i="94" s="1"/>
  <c r="AU18" i="94"/>
  <c r="AW18" i="94" s="1"/>
  <c r="X21" i="94"/>
  <c r="Z21" i="94" s="1"/>
  <c r="CB21" i="94"/>
  <c r="BX21" i="94"/>
  <c r="AQ21" i="94"/>
  <c r="AS21" i="94" s="1"/>
  <c r="CD21" i="94"/>
  <c r="CA21" i="94"/>
  <c r="BJ22" i="94"/>
  <c r="CK22" i="94"/>
  <c r="CA22" i="94"/>
  <c r="AO22" i="94"/>
  <c r="AY22" i="94"/>
  <c r="BV22" i="94"/>
  <c r="BW18" i="94"/>
  <c r="Y18" i="94"/>
  <c r="BO18" i="94"/>
  <c r="BY18" i="94"/>
  <c r="BL18" i="94"/>
  <c r="BI18" i="94"/>
  <c r="AK18" i="94"/>
  <c r="CF18" i="94"/>
  <c r="Z18" i="113"/>
  <c r="AP18" i="113"/>
  <c r="BZ18" i="113"/>
  <c r="AK18" i="113"/>
  <c r="AW18" i="113"/>
  <c r="BH18" i="113"/>
  <c r="BR18" i="113"/>
  <c r="T18" i="113"/>
  <c r="V18" i="113" s="1"/>
  <c r="AD18" i="113"/>
  <c r="AG18" i="113"/>
  <c r="BM18" i="113"/>
  <c r="BI18" i="113"/>
  <c r="BO18" i="113"/>
  <c r="AQ18" i="113"/>
  <c r="AS18" i="113" s="1"/>
  <c r="BT18" i="113"/>
  <c r="BW18" i="113"/>
  <c r="CG18" i="113"/>
  <c r="BY18" i="113"/>
  <c r="CE18" i="113"/>
  <c r="U18" i="113"/>
  <c r="X18" i="113"/>
  <c r="AY18" i="113"/>
  <c r="AI18" i="113"/>
  <c r="BK18" i="113"/>
  <c r="BG18" i="113"/>
  <c r="BQ18" i="113"/>
  <c r="BS18" i="113"/>
  <c r="AN18" i="113"/>
  <c r="BF18" i="113"/>
  <c r="AB18" i="113"/>
  <c r="BL18" i="113"/>
  <c r="BA18" i="113"/>
  <c r="CD18" i="113"/>
  <c r="CF18" i="113" s="1"/>
  <c r="AH18" i="113"/>
  <c r="AM18" i="113"/>
  <c r="AO18" i="113" s="1"/>
  <c r="BV18" i="113"/>
  <c r="BU18" i="113"/>
  <c r="P18" i="113"/>
  <c r="BN18" i="113"/>
  <c r="AX18" i="113"/>
  <c r="AZ18" i="113" s="1"/>
  <c r="BE18" i="113"/>
  <c r="BD18" i="113"/>
  <c r="W18" i="113"/>
  <c r="Y18" i="113" s="1"/>
  <c r="AJ18" i="113"/>
  <c r="BB18" i="113"/>
  <c r="BX18" i="113"/>
  <c r="CA18" i="113"/>
  <c r="CC18" i="113" s="1"/>
  <c r="AE18" i="113"/>
  <c r="AT18" i="113"/>
  <c r="AV18" i="113" s="1"/>
  <c r="AF18" i="113"/>
  <c r="AR18" i="113"/>
  <c r="CB18" i="113"/>
  <c r="BP18" i="113"/>
  <c r="BJ18" i="113"/>
  <c r="AU18" i="113"/>
  <c r="AA18" i="113"/>
  <c r="AC18" i="113" s="1"/>
  <c r="BC18" i="113"/>
  <c r="AL18" i="113"/>
  <c r="AT18" i="94"/>
  <c r="BZ18" i="94"/>
  <c r="D21" i="83"/>
  <c r="E21" i="83" s="1"/>
  <c r="AA13" i="94"/>
  <c r="AC13" i="94" s="1"/>
  <c r="D17" i="83"/>
  <c r="E17" i="83" s="1"/>
  <c r="B18" i="83"/>
  <c r="C18" i="83"/>
  <c r="D20" i="83"/>
  <c r="C12" i="83"/>
  <c r="B12" i="83"/>
  <c r="D19" i="83"/>
  <c r="AF14" i="32"/>
  <c r="AF20" i="32"/>
  <c r="AN20" i="32"/>
  <c r="AI20" i="32"/>
  <c r="E18" i="102" s="1"/>
  <c r="AM20" i="32"/>
  <c r="AL20" i="32"/>
  <c r="H18" i="102" s="1"/>
  <c r="AK20" i="32"/>
  <c r="G18" i="102" s="1"/>
  <c r="AJ20" i="32"/>
  <c r="F18" i="102" s="1"/>
  <c r="AH20" i="32"/>
  <c r="AG20" i="32"/>
  <c r="AI14" i="32"/>
  <c r="E12" i="102" s="1"/>
  <c r="AN14" i="32"/>
  <c r="AL14" i="32"/>
  <c r="H12" i="102" s="1"/>
  <c r="AJ14" i="32"/>
  <c r="F12" i="102" s="1"/>
  <c r="AM14" i="32"/>
  <c r="AK14" i="32"/>
  <c r="G12" i="102" s="1"/>
  <c r="AH14" i="32"/>
  <c r="AG14" i="32"/>
  <c r="F21" i="83" l="1"/>
  <c r="BJ13" i="94"/>
  <c r="BV19" i="94"/>
  <c r="BL19" i="94"/>
  <c r="AK13" i="94"/>
  <c r="BI19" i="94"/>
  <c r="AT13" i="94"/>
  <c r="CC13" i="94"/>
  <c r="BP19" i="94"/>
  <c r="AF19" i="94"/>
  <c r="BW13" i="94"/>
  <c r="BU13" i="94"/>
  <c r="CF13" i="94"/>
  <c r="BX13" i="94"/>
  <c r="AV19" i="94"/>
  <c r="BI13" i="94"/>
  <c r="AY19" i="94"/>
  <c r="CB19" i="94"/>
  <c r="CD13" i="94"/>
  <c r="AE13" i="94"/>
  <c r="AG13" i="94" s="1"/>
  <c r="BK19" i="94"/>
  <c r="BX19" i="94"/>
  <c r="BH19" i="94"/>
  <c r="BH13" i="94"/>
  <c r="BP13" i="94"/>
  <c r="BF19" i="94"/>
  <c r="BB19" i="94"/>
  <c r="BD19" i="94" s="1"/>
  <c r="BM19" i="94"/>
  <c r="AD13" i="94"/>
  <c r="AI13" i="94"/>
  <c r="BO19" i="94"/>
  <c r="BS19" i="94"/>
  <c r="S19" i="94"/>
  <c r="BE19" i="94"/>
  <c r="AX19" i="94"/>
  <c r="AZ19" i="94" s="1"/>
  <c r="AJ19" i="94"/>
  <c r="AM19" i="94"/>
  <c r="AH13" i="94"/>
  <c r="BG13" i="94"/>
  <c r="BM13" i="94"/>
  <c r="CK13" i="94"/>
  <c r="AF13" i="94"/>
  <c r="BT13" i="94"/>
  <c r="AR13" i="94"/>
  <c r="Y13" i="94"/>
  <c r="CE19" i="94"/>
  <c r="CG19" i="94" s="1"/>
  <c r="BC19" i="94"/>
  <c r="AT19" i="94"/>
  <c r="AK19" i="94"/>
  <c r="BC13" i="94"/>
  <c r="BF13" i="94"/>
  <c r="CF19" i="94"/>
  <c r="CD19" i="94"/>
  <c r="AN19" i="94"/>
  <c r="AR19" i="94"/>
  <c r="CI19" i="94"/>
  <c r="BA19" i="94"/>
  <c r="BQ19" i="94"/>
  <c r="BR13" i="94"/>
  <c r="AV13" i="94"/>
  <c r="BA13" i="94"/>
  <c r="AX13" i="94"/>
  <c r="AZ13" i="94" s="1"/>
  <c r="X13" i="94"/>
  <c r="Z13" i="94" s="1"/>
  <c r="BS13" i="94"/>
  <c r="AB13" i="94"/>
  <c r="AA19" i="94"/>
  <c r="AC19" i="94" s="1"/>
  <c r="CA13" i="94"/>
  <c r="BB13" i="94"/>
  <c r="BD13" i="94" s="1"/>
  <c r="BG19" i="94"/>
  <c r="CH19" i="94"/>
  <c r="CJ19" i="94" s="1"/>
  <c r="AI19" i="94"/>
  <c r="BZ19" i="94"/>
  <c r="AU19" i="94"/>
  <c r="AW19" i="94" s="1"/>
  <c r="BU19" i="94"/>
  <c r="Y19" i="94"/>
  <c r="CH13" i="94"/>
  <c r="CJ13" i="94" s="1"/>
  <c r="AL13" i="94"/>
  <c r="CE13" i="94"/>
  <c r="CG13" i="94" s="1"/>
  <c r="BY13" i="94"/>
  <c r="BE13" i="94"/>
  <c r="BK13" i="94"/>
  <c r="BO13" i="94"/>
  <c r="AO19" i="94"/>
  <c r="CA19" i="94"/>
  <c r="CB13" i="94"/>
  <c r="AJ13" i="94"/>
  <c r="AP19" i="94"/>
  <c r="BW19" i="94"/>
  <c r="AB19" i="94"/>
  <c r="BN19" i="94"/>
  <c r="AH19" i="94"/>
  <c r="BY19" i="94"/>
  <c r="X19" i="94"/>
  <c r="Z19" i="94" s="1"/>
  <c r="BR19" i="94"/>
  <c r="AP13" i="94"/>
  <c r="CI13" i="94"/>
  <c r="S13" i="94"/>
  <c r="AO13" i="94"/>
  <c r="BZ13" i="94"/>
  <c r="AU13" i="94"/>
  <c r="AW13" i="94" s="1"/>
  <c r="AY13" i="94"/>
  <c r="AD19" i="94"/>
  <c r="BT19" i="94"/>
  <c r="AQ19" i="94"/>
  <c r="AS19" i="94" s="1"/>
  <c r="AE19" i="94"/>
  <c r="AG19" i="94" s="1"/>
  <c r="CC19" i="94"/>
  <c r="BJ19" i="94"/>
  <c r="CK19" i="94"/>
  <c r="BQ13" i="94"/>
  <c r="BL13" i="94"/>
  <c r="BN13" i="94"/>
  <c r="BV13" i="94"/>
  <c r="AN13" i="94"/>
  <c r="AM13" i="94"/>
  <c r="AE13" i="113"/>
  <c r="AN13" i="113"/>
  <c r="BD13" i="113"/>
  <c r="BL13" i="113"/>
  <c r="AF13" i="113"/>
  <c r="BE13" i="113"/>
  <c r="BU13" i="113"/>
  <c r="W13" i="113"/>
  <c r="Y13" i="113" s="1"/>
  <c r="AH13" i="113"/>
  <c r="BF13" i="113"/>
  <c r="BN13" i="113"/>
  <c r="BV13" i="113"/>
  <c r="X13" i="113"/>
  <c r="AI13" i="113"/>
  <c r="BG13" i="113"/>
  <c r="Z13" i="113"/>
  <c r="AR13" i="113"/>
  <c r="BH13" i="113"/>
  <c r="BX13" i="113"/>
  <c r="AA13" i="113"/>
  <c r="AC13" i="113" s="1"/>
  <c r="BI13" i="113"/>
  <c r="BY13" i="113"/>
  <c r="AB13" i="113"/>
  <c r="AT13" i="113"/>
  <c r="AV13" i="113" s="1"/>
  <c r="BJ13" i="113"/>
  <c r="AU13" i="113"/>
  <c r="BK13" i="113"/>
  <c r="CA13" i="113"/>
  <c r="CC13" i="113" s="1"/>
  <c r="AJ13" i="113"/>
  <c r="BP13" i="113"/>
  <c r="AK13" i="113"/>
  <c r="BA13" i="113"/>
  <c r="BQ13" i="113"/>
  <c r="CG13" i="113"/>
  <c r="AM13" i="113"/>
  <c r="AO13" i="113" s="1"/>
  <c r="BC13" i="113"/>
  <c r="BS13" i="113"/>
  <c r="BR13" i="113"/>
  <c r="AL13" i="113"/>
  <c r="BB13" i="113"/>
  <c r="U13" i="113"/>
  <c r="CD13" i="113"/>
  <c r="CF13" i="113" s="1"/>
  <c r="AD13" i="113"/>
  <c r="CE13" i="113"/>
  <c r="CB13" i="113"/>
  <c r="P13" i="113"/>
  <c r="AP13" i="113"/>
  <c r="AG13" i="113"/>
  <c r="BO13" i="113"/>
  <c r="AW13" i="113"/>
  <c r="BZ13" i="113"/>
  <c r="BT13" i="113"/>
  <c r="AY13" i="113"/>
  <c r="BM13" i="113"/>
  <c r="AQ13" i="113"/>
  <c r="AS13" i="113" s="1"/>
  <c r="BW13" i="113"/>
  <c r="T13" i="113"/>
  <c r="V13" i="113" s="1"/>
  <c r="AX13" i="113"/>
  <c r="AZ13" i="113" s="1"/>
  <c r="Z19" i="113"/>
  <c r="AP19" i="113"/>
  <c r="AQ19" i="113"/>
  <c r="AS19" i="113" s="1"/>
  <c r="CE19" i="113"/>
  <c r="AG19" i="113"/>
  <c r="AR19" i="113"/>
  <c r="BC19" i="113"/>
  <c r="BM19" i="113"/>
  <c r="BW19" i="113"/>
  <c r="BY19" i="113"/>
  <c r="AB19" i="113"/>
  <c r="AM19" i="113"/>
  <c r="AO19" i="113" s="1"/>
  <c r="AW19" i="113"/>
  <c r="BH19" i="113"/>
  <c r="BR19" i="113"/>
  <c r="CA19" i="113"/>
  <c r="CC19" i="113" s="1"/>
  <c r="AA19" i="113"/>
  <c r="AC19" i="113" s="1"/>
  <c r="BD19" i="113"/>
  <c r="CB19" i="113"/>
  <c r="AI19" i="113"/>
  <c r="BJ19" i="113"/>
  <c r="BO19" i="113"/>
  <c r="X19" i="113"/>
  <c r="AY19" i="113"/>
  <c r="BZ19" i="113"/>
  <c r="P19" i="113"/>
  <c r="BS19" i="113"/>
  <c r="BX19" i="113"/>
  <c r="AD19" i="113"/>
  <c r="CG19" i="113"/>
  <c r="AN19" i="113"/>
  <c r="AT19" i="113"/>
  <c r="AV19" i="113" s="1"/>
  <c r="BG19" i="113"/>
  <c r="BQ19" i="113"/>
  <c r="U19" i="113"/>
  <c r="AK19" i="113"/>
  <c r="BV19" i="113"/>
  <c r="BU19" i="113"/>
  <c r="AH19" i="113"/>
  <c r="T19" i="113"/>
  <c r="V19" i="113" s="1"/>
  <c r="BA19" i="113"/>
  <c r="BL19" i="113"/>
  <c r="BN19" i="113"/>
  <c r="BP19" i="113"/>
  <c r="W19" i="113"/>
  <c r="Y19" i="113" s="1"/>
  <c r="BB19" i="113"/>
  <c r="BI19" i="113"/>
  <c r="AL19" i="113"/>
  <c r="BE19" i="113"/>
  <c r="CD19" i="113"/>
  <c r="CF19" i="113" s="1"/>
  <c r="AF19" i="113"/>
  <c r="BK19" i="113"/>
  <c r="AU19" i="113"/>
  <c r="AX19" i="113"/>
  <c r="AZ19" i="113" s="1"/>
  <c r="AJ19" i="113"/>
  <c r="BT19" i="113"/>
  <c r="BF19" i="113"/>
  <c r="AE19" i="113"/>
  <c r="D12" i="83"/>
  <c r="E12" i="83" s="1"/>
  <c r="F17" i="83"/>
  <c r="D18" i="83"/>
  <c r="E18" i="83" s="1"/>
  <c r="E20" i="83"/>
  <c r="F20" i="83"/>
  <c r="E19" i="83"/>
  <c r="F19" i="83"/>
  <c r="Q34" i="49"/>
  <c r="F12" i="83" l="1"/>
  <c r="F18" i="83"/>
  <c r="T33" i="49"/>
  <c r="T17" i="49"/>
  <c r="AD4" i="32" l="1"/>
  <c r="D2" i="102" l="1"/>
  <c r="AD27" i="32"/>
  <c r="AD13" i="32"/>
  <c r="AD9" i="32"/>
  <c r="AD6" i="32"/>
  <c r="AD8" i="32" l="1"/>
  <c r="AD2" i="32" s="1"/>
  <c r="Z24" i="32" l="1"/>
  <c r="Z25" i="32"/>
  <c r="Z9" i="32"/>
  <c r="Z8" i="32"/>
  <c r="Z4" i="32"/>
  <c r="AA28" i="32" l="1"/>
  <c r="AA27" i="32"/>
  <c r="AA10" i="32"/>
  <c r="AA8" i="32"/>
  <c r="AA4" i="32"/>
  <c r="Y28" i="32" l="1"/>
  <c r="Y27" i="32"/>
  <c r="Y10" i="32"/>
  <c r="Y24" i="32"/>
  <c r="Y25" i="32"/>
  <c r="Y8" i="32"/>
  <c r="Y12" i="32"/>
  <c r="Y13" i="32" l="1"/>
  <c r="Y2" i="32" s="1"/>
  <c r="B21" i="3" l="1"/>
  <c r="B20" i="3"/>
  <c r="B19" i="3"/>
  <c r="B18" i="3"/>
  <c r="C16" i="3"/>
  <c r="C18" i="3" s="1"/>
  <c r="D16" i="3" l="1"/>
  <c r="C21" i="3"/>
  <c r="C19" i="3"/>
  <c r="C20" i="3"/>
  <c r="E16" i="3" l="1"/>
  <c r="D18" i="3"/>
  <c r="D20" i="3"/>
  <c r="D21" i="3"/>
  <c r="D19" i="3"/>
  <c r="P4" i="32"/>
  <c r="I3" i="94" l="1"/>
  <c r="F3" i="113"/>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AB13"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25" i="32"/>
  <c r="N16" i="3" l="1"/>
  <c r="M20" i="3"/>
  <c r="M18" i="3"/>
  <c r="M19" i="3"/>
  <c r="M21" i="3"/>
  <c r="I23" i="111"/>
  <c r="I23" i="110"/>
  <c r="I23" i="107"/>
  <c r="I10" i="107"/>
  <c r="I10" i="110"/>
  <c r="I6" i="111"/>
  <c r="O16" i="3" l="1"/>
  <c r="N19" i="3"/>
  <c r="N18" i="3"/>
  <c r="N20" i="3"/>
  <c r="N21" i="3"/>
  <c r="AM11" i="32"/>
  <c r="AN11" i="32"/>
  <c r="AM9" i="32"/>
  <c r="AN9" i="32"/>
  <c r="AM12" i="32"/>
  <c r="AN12" i="32"/>
  <c r="AM7" i="32"/>
  <c r="AN7" i="32"/>
  <c r="AM26" i="32"/>
  <c r="AN26" i="32"/>
  <c r="AM25" i="32"/>
  <c r="AN25" i="32"/>
  <c r="AM10" i="32"/>
  <c r="AN10" i="32"/>
  <c r="AM6" i="32"/>
  <c r="AN6" i="32"/>
  <c r="AM28" i="32"/>
  <c r="AN28" i="32"/>
  <c r="AN4" i="32"/>
  <c r="AM4" i="32"/>
  <c r="AM24" i="32"/>
  <c r="AN24" i="32"/>
  <c r="AN27" i="32"/>
  <c r="AM27"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O7" i="76"/>
  <c r="V7" i="76" s="1"/>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N11" i="102"/>
  <c r="N3" i="102"/>
  <c r="N8" i="102"/>
  <c r="N7" i="102"/>
  <c r="N9" i="102"/>
  <c r="N10" i="102"/>
  <c r="N5" i="102"/>
  <c r="N2" i="102"/>
  <c r="M4" i="102"/>
  <c r="N4" i="102"/>
  <c r="N6" i="102"/>
  <c r="H5" i="83"/>
  <c r="M5" i="83" s="1"/>
  <c r="M4" i="83"/>
  <c r="H6" i="83"/>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S7" i="76"/>
  <c r="Z7" i="76" s="1"/>
  <c r="R7" i="76"/>
  <c r="Y7" i="76" s="1"/>
  <c r="P18" i="76"/>
  <c r="Y3" i="76"/>
  <c r="Q12" i="76"/>
  <c r="X12" i="76" s="1"/>
  <c r="P12" i="76"/>
  <c r="W12" i="76" s="1"/>
  <c r="Q9" i="76"/>
  <c r="X9" i="76" s="1"/>
  <c r="P9" i="76"/>
  <c r="W9" i="76" s="1"/>
  <c r="Q8" i="76"/>
  <c r="X8" i="76" s="1"/>
  <c r="P8" i="76"/>
  <c r="W8" i="76" s="1"/>
  <c r="Q7" i="76"/>
  <c r="X7" i="76" s="1"/>
  <c r="P7" i="76"/>
  <c r="W7" i="76" s="1"/>
  <c r="Q13" i="76"/>
  <c r="X13" i="76" s="1"/>
  <c r="P13" i="76"/>
  <c r="W13" i="76" s="1"/>
  <c r="Q10" i="76"/>
  <c r="X10" i="76" s="1"/>
  <c r="P10" i="76"/>
  <c r="W10" i="76" s="1"/>
  <c r="M3" i="83"/>
  <c r="H3" i="83"/>
  <c r="Q5" i="76"/>
  <c r="X5" i="76" s="1"/>
  <c r="H4" i="83"/>
  <c r="U16" i="3" l="1"/>
  <c r="T18" i="3"/>
  <c r="T20" i="3"/>
  <c r="T21" i="3"/>
  <c r="T19" i="3"/>
  <c r="Q6" i="76"/>
  <c r="X6" i="76" s="1"/>
  <c r="S10" i="76"/>
  <c r="Z10" i="76" s="1"/>
  <c r="S12" i="76"/>
  <c r="Z12" i="76" s="1"/>
  <c r="S9" i="76"/>
  <c r="Z9" i="76" s="1"/>
  <c r="Q4" i="76"/>
  <c r="X4" i="76" s="1"/>
  <c r="Q11" i="76"/>
  <c r="X11" i="76" s="1"/>
  <c r="V16" i="3" l="1"/>
  <c r="U18" i="3"/>
  <c r="U20" i="3"/>
  <c r="U21" i="3"/>
  <c r="U19" i="3"/>
  <c r="AM13" i="32"/>
  <c r="AN13" i="32"/>
  <c r="AM8" i="32"/>
  <c r="AN8" i="32"/>
  <c r="K22" i="110"/>
  <c r="K22" i="107"/>
  <c r="K22" i="111"/>
  <c r="K21" i="110"/>
  <c r="K21" i="107"/>
  <c r="K21" i="111"/>
  <c r="J7" i="111"/>
  <c r="J17" i="110"/>
  <c r="J14" i="107"/>
  <c r="T8" i="49"/>
  <c r="W16" i="3" l="1"/>
  <c r="V21" i="3"/>
  <c r="V18" i="3"/>
  <c r="V20" i="3"/>
  <c r="V19" i="3"/>
  <c r="X16" i="3" l="1"/>
  <c r="W19" i="3"/>
  <c r="W21" i="3"/>
  <c r="W18" i="3"/>
  <c r="W20" i="3"/>
  <c r="AB8" i="32"/>
  <c r="AB2" i="32" s="1"/>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M3" i="102"/>
  <c r="J13" i="107"/>
  <c r="J5" i="111"/>
  <c r="J19" i="110"/>
  <c r="M11" i="102"/>
  <c r="J6" i="110"/>
  <c r="J4" i="107"/>
  <c r="J11" i="111"/>
  <c r="M9" i="102"/>
  <c r="J9" i="111"/>
  <c r="J9" i="110"/>
  <c r="J8" i="107"/>
  <c r="M8" i="102"/>
  <c r="J16" i="111"/>
  <c r="J4" i="110"/>
  <c r="J6" i="107"/>
  <c r="M2" i="102"/>
  <c r="J18" i="111"/>
  <c r="J14" i="110"/>
  <c r="J19" i="107"/>
  <c r="J5" i="107"/>
  <c r="J5" i="110"/>
  <c r="J14" i="111"/>
  <c r="M5" i="102"/>
  <c r="J6" i="111"/>
  <c r="J10" i="107"/>
  <c r="J10" i="110"/>
  <c r="M7" i="102"/>
  <c r="J15" i="110"/>
  <c r="J17" i="107"/>
  <c r="J15" i="111"/>
  <c r="J4" i="111"/>
  <c r="J16" i="110"/>
  <c r="J12" i="107"/>
  <c r="J10" i="111"/>
  <c r="J9" i="107"/>
  <c r="J8" i="110"/>
  <c r="M10" i="102"/>
  <c r="J13" i="110"/>
  <c r="J18" i="107"/>
  <c r="J17" i="111"/>
  <c r="M6" i="102"/>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4" i="32"/>
  <c r="J25" i="32"/>
  <c r="J10" i="32"/>
  <c r="J11" i="32"/>
  <c r="J12" i="32"/>
  <c r="J26" i="32"/>
  <c r="J13" i="32"/>
  <c r="J27" i="32"/>
  <c r="J28" i="32"/>
  <c r="J4" i="32"/>
  <c r="L9" i="102" l="1"/>
  <c r="L10" i="102"/>
  <c r="L8" i="102"/>
  <c r="B2" i="102"/>
  <c r="L2" i="102" s="1"/>
  <c r="B2" i="83"/>
  <c r="C2" i="83"/>
  <c r="L3" i="102"/>
  <c r="L7" i="102"/>
  <c r="AG13" i="32"/>
  <c r="AH13" i="32"/>
  <c r="AF13" i="32"/>
  <c r="AL13" i="32"/>
  <c r="AH8" i="32"/>
  <c r="AF8" i="32"/>
  <c r="AG8" i="32"/>
  <c r="AL8" i="32"/>
  <c r="AK28" i="32"/>
  <c r="AG28" i="32"/>
  <c r="AL28" i="32"/>
  <c r="AJ28" i="32"/>
  <c r="AI28" i="32"/>
  <c r="AH28" i="32"/>
  <c r="AF28" i="32"/>
  <c r="AK27" i="32"/>
  <c r="AG27" i="32"/>
  <c r="AJ27" i="32"/>
  <c r="AH27" i="32"/>
  <c r="AI27" i="32"/>
  <c r="AL27" i="32"/>
  <c r="AF27" i="32"/>
  <c r="AH10" i="32"/>
  <c r="AF10" i="32"/>
  <c r="AL10" i="32"/>
  <c r="AJ10" i="32"/>
  <c r="AI10" i="32"/>
  <c r="AG10" i="32"/>
  <c r="AK10" i="32"/>
  <c r="AJ11" i="32"/>
  <c r="AG11" i="32"/>
  <c r="AK11" i="32"/>
  <c r="AH11" i="32"/>
  <c r="AF11" i="32"/>
  <c r="AL11" i="32"/>
  <c r="AI11" i="32"/>
  <c r="AF5" i="32"/>
  <c r="AH5" i="32"/>
  <c r="AG5" i="32"/>
  <c r="AH26" i="32"/>
  <c r="AF26" i="32"/>
  <c r="AK26" i="32"/>
  <c r="AL26" i="32"/>
  <c r="AJ26" i="32"/>
  <c r="AI26" i="32"/>
  <c r="AG26" i="32"/>
  <c r="AI24" i="32"/>
  <c r="AK24" i="32"/>
  <c r="AG24" i="32"/>
  <c r="AJ24" i="32"/>
  <c r="AF24" i="32"/>
  <c r="AL24" i="32"/>
  <c r="AH24" i="32"/>
  <c r="AL25" i="32"/>
  <c r="AK25" i="32"/>
  <c r="AJ25" i="32"/>
  <c r="AH25" i="32"/>
  <c r="AF25" i="32"/>
  <c r="AI25" i="32"/>
  <c r="AG25" i="32"/>
  <c r="AK9" i="32"/>
  <c r="AG9" i="32"/>
  <c r="AF9" i="32"/>
  <c r="AJ9" i="32"/>
  <c r="AH9" i="32"/>
  <c r="AI9" i="32"/>
  <c r="AL9" i="32"/>
  <c r="AL12" i="32"/>
  <c r="AJ12" i="32"/>
  <c r="AI12" i="32"/>
  <c r="AG12" i="32"/>
  <c r="AK12" i="32"/>
  <c r="AH12" i="32"/>
  <c r="AF12" i="32"/>
  <c r="AJ7" i="32"/>
  <c r="AG7" i="32"/>
  <c r="AF7" i="32"/>
  <c r="AK7" i="32"/>
  <c r="AH7" i="32"/>
  <c r="AL7" i="32"/>
  <c r="AI7" i="32"/>
  <c r="AH6" i="32"/>
  <c r="AF6" i="32"/>
  <c r="AI6" i="32"/>
  <c r="AG6" i="32"/>
  <c r="AL6" i="32"/>
  <c r="AK6" i="32"/>
  <c r="AJ6" i="32"/>
  <c r="AF4" i="32"/>
  <c r="AI4" i="32"/>
  <c r="E2" i="102" s="1"/>
  <c r="AG4" i="32"/>
  <c r="AH4" i="32"/>
  <c r="AL4" i="32"/>
  <c r="H2" i="102" s="1"/>
  <c r="AK4" i="32"/>
  <c r="G2" i="102" s="1"/>
  <c r="AJ4" i="32"/>
  <c r="F2" i="102" s="1"/>
  <c r="L11" i="102"/>
  <c r="L4" i="102"/>
  <c r="L6" i="102"/>
  <c r="L5" i="102"/>
  <c r="D2" i="83" l="1"/>
  <c r="I5" i="83" l="1"/>
  <c r="N5" i="83" s="1"/>
  <c r="I6" i="83"/>
  <c r="I3" i="83"/>
  <c r="N3" i="83"/>
  <c r="N4" i="83"/>
  <c r="I4" i="83"/>
  <c r="M25" i="96"/>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AI5" i="32"/>
  <c r="AJ5" i="32"/>
  <c r="AK5" i="32"/>
  <c r="K20" i="111"/>
  <c r="K20" i="110"/>
  <c r="K20" i="107"/>
  <c r="K23" i="107"/>
  <c r="K23" i="110"/>
  <c r="K23" i="111"/>
  <c r="Z10" i="110"/>
  <c r="Y10" i="110"/>
  <c r="Z9" i="107"/>
  <c r="Y9" i="107"/>
  <c r="Z10" i="108"/>
  <c r="AA10" i="108" s="1"/>
  <c r="Y10" i="108"/>
  <c r="AK8" i="32" l="1"/>
  <c r="AI8" i="32"/>
  <c r="AJ8" i="32"/>
  <c r="AI13" i="32"/>
  <c r="AK13" i="32"/>
  <c r="AJ13" i="32"/>
  <c r="J23" i="111"/>
  <c r="J23" i="110"/>
  <c r="J23" i="107"/>
  <c r="J22" i="110"/>
  <c r="J22" i="107"/>
  <c r="J22" i="111"/>
  <c r="J21" i="110"/>
  <c r="J21" i="107"/>
  <c r="J21" i="111"/>
  <c r="AA9" i="107"/>
  <c r="AA10" i="110"/>
  <c r="N3" i="113"/>
  <c r="M3" i="113"/>
  <c r="L3" i="113"/>
  <c r="K3" i="113"/>
  <c r="I3" i="113"/>
  <c r="H3" i="113"/>
  <c r="G3" i="113"/>
  <c r="B3" i="113"/>
  <c r="A3" i="113"/>
  <c r="P3" i="113" l="1"/>
  <c r="S3" i="113"/>
  <c r="U3" i="113"/>
  <c r="BJ3" i="113"/>
  <c r="BP3" i="113"/>
  <c r="BB3" i="113"/>
  <c r="AB3" i="113"/>
  <c r="BU3" i="113"/>
  <c r="AK3" i="113"/>
  <c r="AJ3" i="113"/>
  <c r="BV3" i="113"/>
  <c r="BN3" i="113"/>
  <c r="R3" i="113"/>
  <c r="AT3" i="113"/>
  <c r="AV3" i="113" s="1"/>
  <c r="AR3" i="113"/>
  <c r="BK3" i="113"/>
  <c r="BG3" i="113"/>
  <c r="AU3" i="113"/>
  <c r="AM3" i="113"/>
  <c r="AO3" i="113" s="1"/>
  <c r="AI3" i="113"/>
  <c r="AE3" i="113"/>
  <c r="AA3" i="113"/>
  <c r="AC3" i="113" s="1"/>
  <c r="W3" i="113"/>
  <c r="Y3" i="113" s="1"/>
  <c r="CE3" i="113"/>
  <c r="AY3" i="113"/>
  <c r="X3" i="113"/>
  <c r="AH3" i="113"/>
  <c r="AN3" i="113"/>
  <c r="AX3" i="113"/>
  <c r="AZ3" i="113" s="1"/>
  <c r="BD3" i="113"/>
  <c r="BI3" i="113"/>
  <c r="BT3" i="113"/>
  <c r="BY3" i="113"/>
  <c r="CD3" i="113"/>
  <c r="CF3" i="113" s="1"/>
  <c r="BX3" i="113"/>
  <c r="T3" i="113"/>
  <c r="V3" i="113" s="1"/>
  <c r="BO3" i="113"/>
  <c r="AQ3" i="113"/>
  <c r="AS3" i="113" s="1"/>
  <c r="O3" i="113"/>
  <c r="AL3" i="113" s="1"/>
  <c r="BE3" i="113"/>
  <c r="CA3" i="113"/>
  <c r="CC3" i="113" s="1"/>
  <c r="BS3" i="113"/>
  <c r="Q3" i="113"/>
  <c r="AF3" i="113"/>
  <c r="BA3" i="113"/>
  <c r="BF3" i="113"/>
  <c r="BL3" i="113"/>
  <c r="BQ3" i="113"/>
  <c r="CB3" i="113"/>
  <c r="U5" i="32" l="1"/>
  <c r="U6" i="32"/>
  <c r="U7" i="32"/>
  <c r="U8" i="32"/>
  <c r="U9" i="32"/>
  <c r="U24" i="32"/>
  <c r="U25" i="32"/>
  <c r="U10" i="32"/>
  <c r="U11" i="32"/>
  <c r="U12" i="32"/>
  <c r="U26" i="32"/>
  <c r="U13" i="32"/>
  <c r="U27" i="32"/>
  <c r="U28" i="32"/>
  <c r="U4" i="32"/>
  <c r="J3" i="113" l="1"/>
  <c r="BM3" i="113" l="1"/>
  <c r="BZ3" i="113"/>
  <c r="AP3" i="113"/>
  <c r="AW3" i="113"/>
  <c r="BW3" i="113"/>
  <c r="AG3" i="113"/>
  <c r="BR3" i="113"/>
  <c r="BC3" i="113"/>
  <c r="AD3" i="113"/>
  <c r="Z3" i="113"/>
  <c r="CG3" i="113"/>
  <c r="BH3" i="113"/>
  <c r="S11" i="103"/>
  <c r="O12" i="104" l="1"/>
  <c r="P12" i="104"/>
  <c r="R6" i="103"/>
  <c r="N6" i="103" l="1"/>
  <c r="M6" i="103"/>
  <c r="P21" i="103"/>
  <c r="N11" i="104"/>
  <c r="P11" i="104"/>
  <c r="O11" i="104"/>
  <c r="N10" i="104"/>
  <c r="N9" i="104"/>
  <c r="O9" i="104" s="1"/>
  <c r="P10" i="104"/>
  <c r="O10" i="104"/>
  <c r="P9" i="104"/>
  <c r="P6" i="103"/>
  <c r="P9" i="103"/>
  <c r="R13" i="103"/>
  <c r="R29" i="103"/>
  <c r="R42" i="103"/>
  <c r="R26" i="103"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4" i="32"/>
  <c r="AQ25" i="32"/>
  <c r="AQ10" i="32"/>
  <c r="AQ11" i="32"/>
  <c r="AQ12" i="32"/>
  <c r="AQ26" i="32"/>
  <c r="AQ13" i="32"/>
  <c r="AQ27" i="32"/>
  <c r="AQ28" i="32"/>
  <c r="AQ5" i="32"/>
  <c r="AQ4"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0" i="103" l="1"/>
  <c r="D31" i="103" s="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3" i="103" s="1"/>
  <c r="Z8" i="103" s="1"/>
  <c r="C11" i="103"/>
  <c r="C28" i="104" s="1"/>
  <c r="C27" i="104" s="1"/>
  <c r="H27" i="103"/>
  <c r="H28" i="103" s="1"/>
  <c r="H23" i="103"/>
  <c r="H30" i="103"/>
  <c r="H31" i="103" s="1"/>
  <c r="I16" i="103"/>
  <c r="C21" i="103"/>
  <c r="F32" i="104"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K6" i="102" l="1"/>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3" i="94"/>
  <c r="B3" i="94"/>
  <c r="A3" i="94"/>
  <c r="O4" i="86"/>
  <c r="N4" i="86"/>
  <c r="M4" i="86"/>
  <c r="L4" i="86"/>
  <c r="K4" i="86"/>
  <c r="J4" i="86"/>
  <c r="I4" i="86"/>
  <c r="H4" i="86"/>
  <c r="D4" i="86"/>
  <c r="C4" i="86"/>
  <c r="AW18" i="86" s="1"/>
  <c r="X2" i="32"/>
  <c r="AF3" i="94" l="1"/>
  <c r="S3" i="94"/>
  <c r="H3" i="105"/>
  <c r="G2" i="106"/>
  <c r="C3" i="105"/>
  <c r="B2" i="106"/>
  <c r="E3" i="105"/>
  <c r="D2" i="106"/>
  <c r="I3" i="105"/>
  <c r="H2" i="106"/>
  <c r="F3" i="105"/>
  <c r="E2" i="106"/>
  <c r="J3" i="105"/>
  <c r="I2" i="106"/>
  <c r="G3" i="105"/>
  <c r="F2" i="106"/>
  <c r="BX3" i="94"/>
  <c r="BT3" i="94"/>
  <c r="BU3" i="94"/>
  <c r="BW3" i="94"/>
  <c r="BV3" i="94"/>
  <c r="K3" i="105"/>
  <c r="AW4" i="86"/>
  <c r="AI4" i="86"/>
  <c r="AI18" i="86"/>
  <c r="L15" i="100" l="1"/>
  <c r="M15" i="100" s="1"/>
  <c r="N15" i="100" s="1"/>
  <c r="O15" i="100" s="1"/>
  <c r="P15" i="100" s="1"/>
  <c r="Q15" i="100" s="1"/>
  <c r="R15" i="100" s="1"/>
  <c r="S15" i="100" s="1"/>
  <c r="D15" i="103" s="1"/>
  <c r="D27" i="103" l="1"/>
  <c r="D28" i="103" s="1"/>
  <c r="E15" i="103"/>
  <c r="D23" i="103"/>
  <c r="F15" i="103" l="1"/>
  <c r="E23" i="103"/>
  <c r="E27" i="103"/>
  <c r="E28" i="103" s="1"/>
  <c r="H7" i="100"/>
  <c r="H6" i="100"/>
  <c r="P14" i="100"/>
  <c r="G15" i="103" l="1"/>
  <c r="F23" i="103"/>
  <c r="F27" i="103"/>
  <c r="F28" i="103" s="1"/>
  <c r="W4" i="32"/>
  <c r="S4" i="32"/>
  <c r="R4" i="32"/>
  <c r="N4" i="32"/>
  <c r="L4" i="32"/>
  <c r="K4" i="32"/>
  <c r="F2" i="83" l="1"/>
  <c r="E2" i="83"/>
  <c r="I15" i="103"/>
  <c r="G23" i="103"/>
  <c r="G27" i="103"/>
  <c r="G28" i="103" s="1"/>
  <c r="J15" i="103" l="1"/>
  <c r="I27" i="103"/>
  <c r="I28" i="103" s="1"/>
  <c r="I23" i="103"/>
  <c r="M12" i="102"/>
  <c r="K15" i="103" l="1"/>
  <c r="J23" i="103"/>
  <c r="J27" i="103"/>
  <c r="J28" i="103" s="1"/>
  <c r="L15" i="103" l="1"/>
  <c r="K23" i="103"/>
  <c r="K27" i="103"/>
  <c r="K28" i="103" s="1"/>
  <c r="N12" i="102"/>
  <c r="O12" i="102" s="1"/>
  <c r="F6" i="100"/>
  <c r="M15" i="103" l="1"/>
  <c r="L27" i="103"/>
  <c r="L28" i="103" s="1"/>
  <c r="L23" i="103"/>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H2" i="83" l="1"/>
  <c r="M2" i="83"/>
  <c r="P6" i="92" l="1"/>
  <c r="N6" i="92"/>
  <c r="O6" i="92" s="1"/>
  <c r="P5" i="92" l="1"/>
  <c r="N5" i="92"/>
  <c r="O5" i="92" s="1"/>
  <c r="R5" i="32" l="1"/>
  <c r="S5" i="32"/>
  <c r="R6" i="32"/>
  <c r="S6" i="32"/>
  <c r="R7" i="32"/>
  <c r="S7" i="32"/>
  <c r="R8" i="32"/>
  <c r="S8" i="32"/>
  <c r="R9" i="32"/>
  <c r="S9" i="32"/>
  <c r="R24" i="32"/>
  <c r="S24" i="32"/>
  <c r="R25" i="32"/>
  <c r="S25" i="32"/>
  <c r="R10" i="32"/>
  <c r="S10" i="32"/>
  <c r="R11" i="32"/>
  <c r="S11" i="32"/>
  <c r="R12" i="32"/>
  <c r="S12" i="32"/>
  <c r="R26" i="32"/>
  <c r="S26" i="32"/>
  <c r="R13" i="32"/>
  <c r="S13" i="32"/>
  <c r="R27" i="32"/>
  <c r="S27" i="32"/>
  <c r="R28" i="32"/>
  <c r="S28" i="32"/>
  <c r="S2" i="32" l="1"/>
  <c r="R2" i="32"/>
  <c r="J6" i="83"/>
  <c r="J5" i="83"/>
  <c r="O5" i="83" s="1"/>
  <c r="J4" i="83"/>
  <c r="J3" i="83"/>
  <c r="K2" i="83"/>
  <c r="J2" i="83"/>
  <c r="K5" i="83"/>
  <c r="P5" i="83" s="1"/>
  <c r="K4" i="83"/>
  <c r="O4" i="83"/>
  <c r="K6" i="83"/>
  <c r="D6" i="106"/>
  <c r="J6" i="106"/>
  <c r="D5" i="106"/>
  <c r="F5" i="106"/>
  <c r="G5" i="106"/>
  <c r="J5" i="106"/>
  <c r="J4" i="106"/>
  <c r="J7" i="106"/>
  <c r="J10" i="106"/>
  <c r="J11" i="106"/>
  <c r="J9" i="106"/>
  <c r="J8" i="106"/>
  <c r="E8" i="105"/>
  <c r="G8" i="105"/>
  <c r="H8" i="105"/>
  <c r="G3" i="94"/>
  <c r="H3" i="94"/>
  <c r="B6" i="106"/>
  <c r="C6" i="106"/>
  <c r="B5" i="106"/>
  <c r="C8" i="105"/>
  <c r="O3" i="83" l="1"/>
  <c r="G12" i="106"/>
  <c r="H13" i="105"/>
  <c r="B12" i="106"/>
  <c r="C13" i="105"/>
  <c r="C12" i="106"/>
  <c r="D13" i="105"/>
  <c r="E13" i="105"/>
  <c r="D12" i="106"/>
  <c r="P3" i="83"/>
  <c r="K3" i="83"/>
  <c r="K13" i="105"/>
  <c r="J12" i="106"/>
  <c r="P4" i="83"/>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I4" i="93" s="1"/>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I12" i="106" l="1"/>
  <c r="J13" i="105"/>
  <c r="Z13" i="91"/>
  <c r="K27" i="91"/>
  <c r="K28" i="91" s="1"/>
  <c r="J30" i="91"/>
  <c r="J31" i="91" s="1"/>
  <c r="J23" i="91"/>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K30" i="91"/>
  <c r="K31" i="91" s="1"/>
  <c r="L27" i="91"/>
  <c r="L28" i="91" s="1"/>
  <c r="L23" i="91"/>
  <c r="K23" i="91"/>
  <c r="C15" i="91"/>
  <c r="F25" i="92"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L30" i="91" l="1"/>
  <c r="L31" i="91" s="1"/>
  <c r="C16" i="91"/>
  <c r="M27" i="91"/>
  <c r="M28" i="91" s="1"/>
  <c r="I13" i="105" l="1"/>
  <c r="H12" i="106"/>
  <c r="H6" i="106"/>
  <c r="AV3" i="94"/>
  <c r="H5" i="106"/>
  <c r="N27" i="91"/>
  <c r="N28" i="91" s="1"/>
  <c r="N23" i="91"/>
  <c r="M30" i="91"/>
  <c r="M31" i="91" s="1"/>
  <c r="M23" i="91"/>
  <c r="R12" i="106" l="1"/>
  <c r="T12" i="106" s="1"/>
  <c r="S13" i="105"/>
  <c r="U13" i="105" s="1"/>
  <c r="S12" i="106"/>
  <c r="T13" i="105"/>
  <c r="N2" i="83"/>
  <c r="I2" i="83"/>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N30" i="91"/>
  <c r="N31" i="91" s="1"/>
  <c r="O27" i="91"/>
  <c r="O28" i="91" s="1"/>
  <c r="O23" i="91"/>
  <c r="F13" i="105" l="1"/>
  <c r="E12" i="106"/>
  <c r="P2" i="83"/>
  <c r="O2" i="83"/>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O30" i="91"/>
  <c r="O31" i="91" s="1"/>
  <c r="P27" i="91"/>
  <c r="P28" i="91" s="1"/>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P30" i="91"/>
  <c r="P31" i="91" s="1"/>
  <c r="P23" i="91"/>
  <c r="Q27" i="91"/>
  <c r="Q28" i="91" s="1"/>
  <c r="Q23" i="91"/>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Q30" i="91"/>
  <c r="Q31" i="91" s="1"/>
  <c r="R27" i="91"/>
  <c r="R28" i="91" s="1"/>
  <c r="R23" i="91"/>
  <c r="X14" i="105" l="1"/>
  <c r="P16" i="105"/>
  <c r="O16" i="106"/>
  <c r="O15" i="106"/>
  <c r="P13" i="106"/>
  <c r="P14" i="106" s="1"/>
  <c r="N13" i="106"/>
  <c r="N14" i="106" s="1"/>
  <c r="O17" i="105"/>
  <c r="O16" i="105"/>
  <c r="Q16" i="105"/>
  <c r="Q17" i="105"/>
  <c r="S27" i="91"/>
  <c r="S28" i="91" s="1"/>
  <c r="S23" i="91"/>
  <c r="C23" i="91" s="1"/>
  <c r="C17" i="91"/>
  <c r="F26" i="92" s="1"/>
  <c r="F23" i="92" s="1"/>
  <c r="F17" i="92" s="1"/>
  <c r="F11" i="92" s="1"/>
  <c r="F9" i="101" s="1"/>
  <c r="R30" i="91"/>
  <c r="R31" i="91" s="1"/>
  <c r="G13" i="105" l="1"/>
  <c r="F12" i="106"/>
  <c r="N16" i="106"/>
  <c r="N15" i="106"/>
  <c r="P15" i="106"/>
  <c r="P16" i="106"/>
  <c r="H11" i="106"/>
  <c r="S11" i="106"/>
  <c r="S13" i="106" s="1"/>
  <c r="S14" i="106" s="1"/>
  <c r="T11" i="106"/>
  <c r="T13" i="106" s="1"/>
  <c r="T14" i="106" s="1"/>
  <c r="I5" i="105"/>
  <c r="T14" i="105"/>
  <c r="T15" i="105" s="1"/>
  <c r="U13" i="106"/>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T17" i="105"/>
  <c r="T16" i="105"/>
  <c r="S15" i="106"/>
  <c r="S16" i="106"/>
  <c r="V5" i="105"/>
  <c r="V14" i="105" s="1"/>
  <c r="Z28" i="91"/>
  <c r="Z32" i="91" s="1"/>
  <c r="C30" i="91"/>
  <c r="C31" i="91" s="1"/>
  <c r="U14" i="105" l="1"/>
  <c r="U15" i="105" s="1"/>
  <c r="S14" i="105"/>
  <c r="S15" i="105" s="1"/>
  <c r="K7" i="83"/>
  <c r="P7" i="83"/>
  <c r="S17" i="105" l="1"/>
  <c r="S16" i="105"/>
  <c r="U16" i="105"/>
  <c r="U17" i="105"/>
  <c r="T14" i="49" l="1"/>
  <c r="H3" i="76" l="1"/>
  <c r="S3" i="76" s="1"/>
  <c r="Q18" i="76" l="1"/>
  <c r="Z3" i="76"/>
  <c r="V4" i="85" l="1"/>
  <c r="N5" i="32"/>
  <c r="N6" i="32"/>
  <c r="N7" i="32"/>
  <c r="N8" i="32"/>
  <c r="N9" i="32"/>
  <c r="N24" i="32"/>
  <c r="N25" i="32"/>
  <c r="N10" i="32"/>
  <c r="N11" i="32"/>
  <c r="N12" i="32"/>
  <c r="N26" i="32"/>
  <c r="N13" i="32"/>
  <c r="N27" i="32"/>
  <c r="N28"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I1" i="83" l="1"/>
  <c r="N1" i="83" s="1"/>
  <c r="X18" i="76" l="1"/>
  <c r="W14" i="76"/>
  <c r="X14" i="76" l="1"/>
  <c r="T10" i="49"/>
  <c r="T7" i="49" l="1"/>
  <c r="T11" i="49"/>
  <c r="T23" i="49"/>
  <c r="T13" i="49"/>
  <c r="T12" i="49"/>
  <c r="T15" i="49"/>
  <c r="T4" i="49"/>
  <c r="T9" i="49"/>
  <c r="T6" i="49"/>
  <c r="T3" i="49"/>
  <c r="W28" i="32"/>
  <c r="K28" i="32"/>
  <c r="L28" i="32"/>
  <c r="E3" i="76"/>
  <c r="P3" i="76" s="1"/>
  <c r="W3" i="76" s="1"/>
  <c r="W25" i="32"/>
  <c r="L25" i="32"/>
  <c r="K25"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12" i="32"/>
  <c r="W26" i="32"/>
  <c r="W10" i="32"/>
  <c r="W13" i="32"/>
  <c r="W24" i="32"/>
  <c r="W27" i="32"/>
  <c r="W7" i="32"/>
  <c r="W8" i="32"/>
  <c r="W5" i="32"/>
  <c r="D3" i="48" l="1"/>
  <c r="D4" i="48" s="1"/>
  <c r="C3" i="48"/>
  <c r="E3" i="48" s="1"/>
  <c r="G3" i="48" s="1"/>
  <c r="C4" i="48"/>
  <c r="C5" i="48"/>
  <c r="C6" i="48"/>
  <c r="C7" i="48"/>
  <c r="C8" i="48"/>
  <c r="C9" i="48"/>
  <c r="C10" i="48"/>
  <c r="C11" i="48"/>
  <c r="C12" i="48"/>
  <c r="C13" i="48"/>
  <c r="C14" i="48"/>
  <c r="C15" i="48"/>
  <c r="C16" i="48"/>
  <c r="C17" i="48"/>
  <c r="C2" i="48"/>
  <c r="E2" i="48" s="1"/>
  <c r="G2" i="48" s="1"/>
  <c r="K10" i="32"/>
  <c r="L10" i="32"/>
  <c r="K7" i="32"/>
  <c r="L7" i="32"/>
  <c r="K9" i="32"/>
  <c r="L9" i="32"/>
  <c r="K6" i="32"/>
  <c r="L6" i="32"/>
  <c r="K12" i="32"/>
  <c r="L12" i="32"/>
  <c r="K11" i="32"/>
  <c r="L11" i="32"/>
  <c r="K26" i="32"/>
  <c r="L26" i="32"/>
  <c r="K13" i="32"/>
  <c r="L13" i="32"/>
  <c r="K8" i="32"/>
  <c r="L8" i="32"/>
  <c r="K24" i="32"/>
  <c r="L24" i="32"/>
  <c r="K27" i="32"/>
  <c r="L27" i="32"/>
  <c r="L5" i="32"/>
  <c r="K5" i="32"/>
  <c r="E4" i="48" l="1"/>
  <c r="G4" i="48" s="1"/>
  <c r="D5" i="48"/>
  <c r="D6" i="48" l="1"/>
  <c r="E5" i="48"/>
  <c r="G5" i="48" s="1"/>
  <c r="E6" i="48" l="1"/>
  <c r="G6" i="48" s="1"/>
  <c r="D7" i="48"/>
  <c r="D1" i="32"/>
  <c r="I36" i="41"/>
  <c r="I37" i="41"/>
  <c r="I38" i="41"/>
  <c r="I35" i="41"/>
  <c r="G34" i="41" s="1"/>
  <c r="I34" i="41" s="1"/>
  <c r="H7" i="41"/>
  <c r="I7" i="41" s="1"/>
  <c r="H6" i="41"/>
  <c r="G6" i="41"/>
  <c r="F6" i="41"/>
  <c r="H5" i="41"/>
  <c r="I5" i="41" s="1"/>
  <c r="H4" i="41"/>
  <c r="G4" i="41"/>
  <c r="F4" i="41"/>
  <c r="H3" i="41"/>
  <c r="G3" i="41"/>
  <c r="F3" i="41"/>
  <c r="H2" i="41"/>
  <c r="J2" i="41" s="1"/>
  <c r="F15" i="32" l="1"/>
  <c r="E15" i="86" s="1"/>
  <c r="F20" i="32"/>
  <c r="E20" i="86" s="1"/>
  <c r="G33" i="41"/>
  <c r="I33" i="41" s="1"/>
  <c r="F16" i="32"/>
  <c r="E16" i="86" s="1"/>
  <c r="F18" i="32"/>
  <c r="E18" i="86" s="1"/>
  <c r="F5" i="32"/>
  <c r="F17" i="32"/>
  <c r="E17" i="86" s="1"/>
  <c r="F6" i="32"/>
  <c r="F19" i="32"/>
  <c r="E19" i="86" s="1"/>
  <c r="F23" i="32"/>
  <c r="E23" i="86" s="1"/>
  <c r="F21" i="32"/>
  <c r="E21" i="86" s="1"/>
  <c r="F22" i="32"/>
  <c r="E22" i="86" s="1"/>
  <c r="F14" i="32"/>
  <c r="E14" i="86" s="1"/>
  <c r="F10" i="32"/>
  <c r="F27" i="32"/>
  <c r="E27" i="86" s="1"/>
  <c r="F11" i="32"/>
  <c r="F26" i="32"/>
  <c r="E26" i="86" s="1"/>
  <c r="F25" i="32"/>
  <c r="E25" i="86" s="1"/>
  <c r="F24" i="32"/>
  <c r="E24" i="86" s="1"/>
  <c r="F8" i="32"/>
  <c r="F9" i="32"/>
  <c r="F12" i="32"/>
  <c r="F13" i="32"/>
  <c r="F7" i="32"/>
  <c r="F4" i="32"/>
  <c r="F28" i="32"/>
  <c r="D15" i="111"/>
  <c r="I4" i="41"/>
  <c r="I3" i="41"/>
  <c r="D8" i="48"/>
  <c r="E7" i="48"/>
  <c r="G7" i="48" s="1"/>
  <c r="J6" i="41"/>
  <c r="J7" i="41"/>
  <c r="I6" i="41"/>
  <c r="J5" i="41"/>
  <c r="J4" i="41"/>
  <c r="J3" i="41"/>
  <c r="I2" i="41"/>
  <c r="Q17" i="86" l="1"/>
  <c r="C6" i="113"/>
  <c r="E7" i="86"/>
  <c r="C12" i="113"/>
  <c r="E13" i="86"/>
  <c r="C8" i="113"/>
  <c r="E9" i="86"/>
  <c r="Q14" i="86"/>
  <c r="Q18" i="86"/>
  <c r="C7" i="113"/>
  <c r="E8" i="86"/>
  <c r="Q16" i="86"/>
  <c r="Q27" i="86"/>
  <c r="Q24" i="86"/>
  <c r="Q21" i="86"/>
  <c r="C10" i="113"/>
  <c r="E11" i="86"/>
  <c r="C11" i="113"/>
  <c r="E12" i="86"/>
  <c r="C27" i="113"/>
  <c r="E28" i="86"/>
  <c r="Q25" i="86"/>
  <c r="Q23" i="86"/>
  <c r="Q20" i="86"/>
  <c r="C5" i="113"/>
  <c r="E6" i="86"/>
  <c r="C9" i="113"/>
  <c r="E10" i="86"/>
  <c r="Q22" i="86"/>
  <c r="Q26" i="86"/>
  <c r="Q19" i="86"/>
  <c r="Q15" i="86"/>
  <c r="C26" i="94"/>
  <c r="C26" i="113"/>
  <c r="C17" i="94"/>
  <c r="C17" i="113"/>
  <c r="C23" i="94"/>
  <c r="C23" i="113"/>
  <c r="C16" i="94"/>
  <c r="C16" i="113"/>
  <c r="C21" i="94"/>
  <c r="C21" i="113"/>
  <c r="C4" i="94"/>
  <c r="C4" i="113"/>
  <c r="C13" i="94"/>
  <c r="C13" i="113"/>
  <c r="C15" i="94"/>
  <c r="C15" i="113"/>
  <c r="C24" i="94"/>
  <c r="C24" i="113"/>
  <c r="C20" i="94"/>
  <c r="C20" i="113"/>
  <c r="C25" i="94"/>
  <c r="C25" i="113"/>
  <c r="C22" i="94"/>
  <c r="C22" i="113"/>
  <c r="C19" i="94"/>
  <c r="C19" i="113"/>
  <c r="C18" i="94"/>
  <c r="C18" i="113"/>
  <c r="C14" i="94"/>
  <c r="C14" i="113"/>
  <c r="C9" i="94"/>
  <c r="C12" i="94"/>
  <c r="C8" i="94"/>
  <c r="C11" i="94"/>
  <c r="C7" i="94"/>
  <c r="C27" i="94"/>
  <c r="C5" i="94"/>
  <c r="C6" i="94"/>
  <c r="C10" i="94"/>
  <c r="E5" i="86"/>
  <c r="C14" i="32"/>
  <c r="C5" i="32"/>
  <c r="C20" i="32"/>
  <c r="C18" i="32"/>
  <c r="C22" i="32"/>
  <c r="C16" i="32"/>
  <c r="D12" i="111"/>
  <c r="C17" i="32"/>
  <c r="C21" i="32"/>
  <c r="C23" i="32"/>
  <c r="C19" i="32"/>
  <c r="C15"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C3" i="113"/>
  <c r="D19" i="107"/>
  <c r="C9" i="32"/>
  <c r="C26" i="32"/>
  <c r="C8" i="32"/>
  <c r="C28" i="32"/>
  <c r="C13" i="32"/>
  <c r="C27" i="32"/>
  <c r="C10" i="32"/>
  <c r="C6" i="32"/>
  <c r="C7" i="32"/>
  <c r="C25" i="32"/>
  <c r="C24" i="32"/>
  <c r="C11" i="32"/>
  <c r="C12" i="32"/>
  <c r="C4" i="32"/>
  <c r="D19" i="108"/>
  <c r="D10" i="108"/>
  <c r="D23" i="108"/>
  <c r="D18" i="108"/>
  <c r="D6" i="108"/>
  <c r="D21" i="108"/>
  <c r="D17" i="108"/>
  <c r="D16" i="108"/>
  <c r="D15" i="108"/>
  <c r="D22" i="108"/>
  <c r="D8" i="108"/>
  <c r="D4" i="108"/>
  <c r="D12" i="108"/>
  <c r="D13" i="108"/>
  <c r="D5" i="108"/>
  <c r="D7" i="108"/>
  <c r="D11" i="108"/>
  <c r="D20" i="108"/>
  <c r="D14" i="108"/>
  <c r="E4" i="86"/>
  <c r="Q4" i="86" s="1"/>
  <c r="C3" i="94"/>
  <c r="N7" i="83"/>
  <c r="I7" i="83"/>
  <c r="AS16" i="86"/>
  <c r="D9" i="48"/>
  <c r="E8" i="48"/>
  <c r="G8" i="48" s="1"/>
  <c r="I13" i="12"/>
  <c r="I12" i="12"/>
  <c r="I11" i="12"/>
  <c r="I10" i="12"/>
  <c r="I9" i="12"/>
  <c r="I8" i="12"/>
  <c r="H7" i="12"/>
  <c r="I7" i="12" s="1"/>
  <c r="H6" i="12"/>
  <c r="I6" i="12" s="1"/>
  <c r="I5" i="12"/>
  <c r="I4" i="12"/>
  <c r="I3" i="12"/>
  <c r="I2" i="12"/>
  <c r="Q11" i="86" l="1"/>
  <c r="Q9" i="86"/>
  <c r="Q10" i="86"/>
  <c r="Q8" i="86"/>
  <c r="Q13" i="86"/>
  <c r="Q6" i="86"/>
  <c r="Q28" i="86"/>
  <c r="Q7" i="86"/>
  <c r="Q12" i="86"/>
  <c r="Q5" i="86"/>
  <c r="AR13" i="86"/>
  <c r="BF13" i="86" s="1"/>
  <c r="BF2" i="86" s="1"/>
  <c r="AT16" i="86"/>
  <c r="G41" i="3"/>
  <c r="E9" i="48"/>
  <c r="G9" i="48" s="1"/>
  <c r="D10" i="48"/>
  <c r="BF28" i="86" l="1"/>
  <c r="BF16" i="86" s="1"/>
  <c r="AR27" i="86"/>
  <c r="AR16" i="86" s="1"/>
  <c r="AR2" i="86"/>
  <c r="E10" i="48"/>
  <c r="G10" i="48" s="1"/>
  <c r="D11" i="48"/>
  <c r="I41" i="3" l="1"/>
  <c r="E11" i="48"/>
  <c r="G11" i="48" s="1"/>
  <c r="D12" i="48"/>
  <c r="D13" i="48" l="1"/>
  <c r="E12" i="48"/>
  <c r="G12" i="48" s="1"/>
  <c r="D14" i="48" l="1"/>
  <c r="E13" i="48"/>
  <c r="G13" i="48" s="1"/>
  <c r="E14" i="48" l="1"/>
  <c r="G14" i="48" s="1"/>
  <c r="D15" i="48"/>
  <c r="D16" i="48" l="1"/>
  <c r="E15" i="48"/>
  <c r="G15" i="48" s="1"/>
  <c r="D17" i="48" l="1"/>
  <c r="E17" i="48" s="1"/>
  <c r="G17" i="48" s="1"/>
  <c r="E16" i="48"/>
  <c r="G16" i="48" s="1"/>
  <c r="C8" i="92" l="1"/>
  <c r="C8" i="101" l="1"/>
  <c r="C8" i="104" l="1"/>
  <c r="E12" i="3" l="1"/>
  <c r="E11" i="3"/>
  <c r="E10" i="3"/>
  <c r="E9" i="3"/>
  <c r="C7" i="92" l="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C8" i="3"/>
  <c r="J8" i="3"/>
  <c r="C10" i="3"/>
  <c r="C9" i="3"/>
  <c r="C22" i="3"/>
  <c r="B22" i="3" s="1"/>
  <c r="C17" i="3"/>
  <c r="B12" i="3"/>
  <c r="B13" i="3" s="1"/>
  <c r="C7" i="104" l="1"/>
  <c r="C6" i="101"/>
  <c r="C40" i="3"/>
  <c r="C39" i="3"/>
  <c r="C38" i="3"/>
  <c r="C37" i="3"/>
  <c r="B10" i="3"/>
  <c r="D22" i="3"/>
  <c r="D17" i="3"/>
  <c r="C6" i="104" l="1"/>
  <c r="D39" i="3"/>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D2" i="91" l="1"/>
  <c r="U22" i="3"/>
  <c r="U17" i="3"/>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V22" i="3"/>
  <c r="V26" i="3" s="1"/>
  <c r="V17" i="3"/>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W22" i="3"/>
  <c r="W17" i="3"/>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X22" i="3"/>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F8" i="92" l="1"/>
  <c r="O30" i="3"/>
  <c r="N31" i="3"/>
  <c r="M32" i="3"/>
  <c r="L33" i="3"/>
  <c r="C21" i="92" l="1"/>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P30" i="3"/>
  <c r="O31" i="3"/>
  <c r="M33" i="3"/>
  <c r="N32" i="3"/>
  <c r="C30" i="92" l="1"/>
  <c r="F9" i="92"/>
  <c r="C33" i="92"/>
  <c r="C34" i="92" s="1"/>
  <c r="C37" i="104"/>
  <c r="C37" i="101"/>
  <c r="C5" i="100"/>
  <c r="P31" i="3"/>
  <c r="Q30" i="3"/>
  <c r="O32" i="3"/>
  <c r="N33" i="3"/>
  <c r="D7" i="92" l="1"/>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9"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9" authorId="0" shapeId="0" xr:uid="{00000000-0006-0000-0800-000001000000}">
      <text>
        <r>
          <rPr>
            <b/>
            <sz val="8"/>
            <color indexed="81"/>
            <rFont val="Tahoma"/>
            <family val="2"/>
          </rPr>
          <t>Sacado del manual no escrito, no se sabe que son estos valores</t>
        </r>
      </text>
    </comment>
    <comment ref="D29"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9" authorId="0" shapeId="0" xr:uid="{00000000-0006-0000-0A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500-000001000000}">
      <text>
        <r>
          <rPr>
            <b/>
            <sz val="8"/>
            <color indexed="81"/>
            <rFont val="Tahoma"/>
            <family val="2"/>
          </rPr>
          <t>Autor:</t>
        </r>
        <r>
          <rPr>
            <sz val="8"/>
            <color indexed="81"/>
            <rFont val="Tahoma"/>
            <family val="2"/>
          </rPr>
          <t xml:space="preserve">
Compra+Primer sueldo</t>
        </r>
      </text>
    </comment>
    <comment ref="E9" authorId="0" shapeId="0" xr:uid="{00000000-0006-0000-15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5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500-000004000000}">
      <text>
        <r>
          <rPr>
            <b/>
            <sz val="8"/>
            <color indexed="81"/>
            <rFont val="Tahoma"/>
            <family val="2"/>
          </rPr>
          <t>Autor:</t>
        </r>
        <r>
          <rPr>
            <sz val="8"/>
            <color indexed="81"/>
            <rFont val="Tahoma"/>
            <family val="2"/>
          </rPr>
          <t xml:space="preserve">
Ingresos anuales - Pagos anuales</t>
        </r>
      </text>
    </comment>
    <comment ref="C18" authorId="0" shapeId="0" xr:uid="{00000000-0006-0000-1500-000005000000}">
      <text>
        <r>
          <rPr>
            <b/>
            <sz val="8"/>
            <color indexed="81"/>
            <rFont val="Tahoma"/>
            <family val="2"/>
          </rPr>
          <t>Venta sin Comisiones</t>
        </r>
      </text>
    </comment>
    <comment ref="F20" authorId="0" shapeId="0" xr:uid="{00000000-0006-0000-1500-00000600000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700-000001000000}">
      <text>
        <r>
          <rPr>
            <b/>
            <sz val="8"/>
            <color indexed="81"/>
            <rFont val="Tahoma"/>
            <family val="2"/>
          </rPr>
          <t>Autor:</t>
        </r>
        <r>
          <rPr>
            <sz val="8"/>
            <color indexed="81"/>
            <rFont val="Tahoma"/>
            <family val="2"/>
          </rPr>
          <t xml:space="preserve">
Compra+Primer sueldo</t>
        </r>
      </text>
    </comment>
    <comment ref="E9" authorId="0" shapeId="0" xr:uid="{00000000-0006-0000-17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7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700-000004000000}">
      <text>
        <r>
          <rPr>
            <b/>
            <sz val="8"/>
            <color indexed="81"/>
            <rFont val="Tahoma"/>
            <family val="2"/>
          </rPr>
          <t>Autor:</t>
        </r>
        <r>
          <rPr>
            <sz val="8"/>
            <color indexed="81"/>
            <rFont val="Tahoma"/>
            <family val="2"/>
          </rPr>
          <t xml:space="preserve">
Ingresos anuales - Pagos anuales</t>
        </r>
      </text>
    </comment>
    <comment ref="C18" authorId="0" shapeId="0" xr:uid="{00000000-0006-0000-1700-000005000000}">
      <text>
        <r>
          <rPr>
            <b/>
            <sz val="8"/>
            <color indexed="81"/>
            <rFont val="Tahoma"/>
            <family val="2"/>
          </rPr>
          <t>Venta sin Comisiones</t>
        </r>
      </text>
    </comment>
    <comment ref="F20" authorId="0" shapeId="0" xr:uid="{00000000-0006-0000-17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900-000001000000}">
      <text>
        <r>
          <rPr>
            <b/>
            <sz val="8"/>
            <color indexed="81"/>
            <rFont val="Tahoma"/>
            <family val="2"/>
          </rPr>
          <t>Autor:</t>
        </r>
        <r>
          <rPr>
            <sz val="8"/>
            <color indexed="81"/>
            <rFont val="Tahoma"/>
            <family val="2"/>
          </rPr>
          <t xml:space="preserve">
Compra+Primer sueldo</t>
        </r>
      </text>
    </comment>
    <comment ref="E9" authorId="0" shapeId="0" xr:uid="{00000000-0006-0000-19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9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900-000004000000}">
      <text>
        <r>
          <rPr>
            <b/>
            <sz val="8"/>
            <color indexed="81"/>
            <rFont val="Tahoma"/>
            <family val="2"/>
          </rPr>
          <t>Autor:</t>
        </r>
        <r>
          <rPr>
            <sz val="8"/>
            <color indexed="81"/>
            <rFont val="Tahoma"/>
            <family val="2"/>
          </rPr>
          <t xml:space="preserve">
Ingresos anuales - Pagos anuales</t>
        </r>
      </text>
    </comment>
    <comment ref="C18" authorId="0" shapeId="0" xr:uid="{00000000-0006-0000-1900-000005000000}">
      <text>
        <r>
          <rPr>
            <b/>
            <sz val="8"/>
            <color indexed="81"/>
            <rFont val="Tahoma"/>
            <family val="2"/>
          </rPr>
          <t>Venta sin Comisiones</t>
        </r>
      </text>
    </comment>
    <comment ref="F20" authorId="0" shapeId="0" xr:uid="{00000000-0006-0000-1900-00000600000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1D00-000001000000}">
      <text>
        <r>
          <rPr>
            <b/>
            <sz val="8"/>
            <color indexed="81"/>
            <rFont val="Tahoma"/>
            <family val="2"/>
          </rPr>
          <t>Autor:</t>
        </r>
        <r>
          <rPr>
            <sz val="8"/>
            <color indexed="81"/>
            <rFont val="Tahoma"/>
            <family val="2"/>
          </rPr>
          <t xml:space="preserve">
9=notable
6,5=aceptable
4=insuf</t>
        </r>
      </text>
    </comment>
    <comment ref="G2" authorId="0" shapeId="0" xr:uid="{00000000-0006-0000-1D00-000002000000}">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<sst xmlns="http://schemas.openxmlformats.org/spreadsheetml/2006/main" count="2546" uniqueCount="749">
  <si>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</si>
  <si>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</si>
  <si>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</si>
  <si>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</si>
  <si>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</si>
  <si>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</si>
  <si>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</si>
  <si>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</si>
  <si>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</si>
  <si>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</si>
  <si>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</si>
  <si>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</si>
  <si>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</si>
  <si>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</si>
  <si>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</si>
  <si>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</si>
  <si>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</si>
  <si>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</si>
  <si>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</si>
  <si>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</si>
  <si>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</si>
  <si>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</si>
  <si>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</si>
  <si>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</si>
  <si>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</si>
  <si>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</si>
  <si>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</si>
  <si>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</si>
  <si>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</si>
  <si>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</si>
  <si>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</si>
  <si>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</si>
  <si>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</si>
  <si>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</si>
  <si>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</si>
  <si>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</si>
  <si>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</si>
  <si>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</si>
  <si>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</si>
  <si>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</si>
  <si>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</si>
  <si>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</si>
  <si>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</si>
  <si>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</si>
  <si>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</si>
  <si>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</si>
  <si>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</si>
  <si>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</si>
  <si>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</si>
  <si>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</si>
  <si>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</si>
  <si>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</si>
  <si>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</si>
  <si>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</si>
  <si>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</si>
  <si>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</si>
  <si>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</si>
  <si>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</si>
  <si>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</si>
  <si>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</si>
  <si>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</si>
  <si>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</si>
  <si>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</si>
  <si>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</si>
  <si>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</si>
  <si>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</si>
  <si>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</si>
  <si>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</si>
  <si>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</si>
  <si>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</si>
  <si>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</si>
  <si>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</si>
  <si>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</si>
  <si>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</si>
  <si>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</si>
  <si>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</si>
  <si>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</si>
  <si>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</si>
  <si>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</si>
  <si>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</si>
  <si>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</si>
  <si>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</si>
  <si>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</si>
  <si>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</si>
  <si>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</si>
  <si>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</si>
  <si>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</si>
  <si>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</si>
  <si>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</si>
  <si>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</si>
  <si>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</si>
  <si>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</si>
  <si>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</si>
  <si>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</si>
  <si>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</si>
  <si>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</si>
  <si>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</si>
  <si>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</si>
  <si>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</si>
  <si>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</si>
  <si>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</si>
  <si>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 xml:space="preserve">a cierre de ejercicio </t>
  </si>
  <si>
    <t>Tipo</t>
  </si>
  <si>
    <t>Sueldo</t>
  </si>
  <si>
    <t>Venta</t>
  </si>
  <si>
    <t>Comisión</t>
  </si>
  <si>
    <t>ByP</t>
  </si>
  <si>
    <t>ValorCont</t>
  </si>
  <si>
    <t>% Re</t>
  </si>
  <si>
    <t>Fcom</t>
  </si>
  <si>
    <t>Fventa</t>
  </si>
  <si>
    <t>ACTIVO</t>
  </si>
  <si>
    <t>PASIVO</t>
  </si>
  <si>
    <t>J</t>
  </si>
  <si>
    <t>Inmobilizado</t>
  </si>
  <si>
    <t>Patrimonio</t>
  </si>
  <si>
    <t>Capital Inicial</t>
  </si>
  <si>
    <t>Amortizaciones</t>
  </si>
  <si>
    <t>Step</t>
  </si>
  <si>
    <t>B/P Jugadores</t>
  </si>
  <si>
    <t>B/P Step</t>
  </si>
  <si>
    <t>B/P Cantera</t>
  </si>
  <si>
    <t>Mercadeo</t>
  </si>
  <si>
    <t>B/P Entrenables</t>
  </si>
  <si>
    <t>B/P Mercadeo</t>
  </si>
  <si>
    <t>Compras</t>
  </si>
  <si>
    <t>Sueldos 1ºSem</t>
  </si>
  <si>
    <t>Ingresos</t>
  </si>
  <si>
    <t>Salarios</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</si>
  <si>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</si>
  <si>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</si>
  <si>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</si>
  <si>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</si>
  <si>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</si>
  <si>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</si>
  <si>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</si>
  <si>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</si>
  <si>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</si>
  <si>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</si>
  <si>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</si>
  <si>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</si>
  <si>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</si>
  <si>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</si>
  <si>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</si>
  <si>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</si>
  <si>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</si>
  <si>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</si>
  <si>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</si>
  <si>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</si>
  <si>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</si>
  <si>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</si>
  <si>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</si>
  <si>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</si>
  <si>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</si>
  <si>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</si>
  <si>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</si>
  <si>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</si>
  <si>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</si>
  <si>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</si>
  <si>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</si>
  <si>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</si>
  <si>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</si>
  <si>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</si>
  <si>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</si>
  <si>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</si>
  <si>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</si>
  <si>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</si>
  <si>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</si>
  <si>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</si>
  <si>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</si>
  <si>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</si>
  <si>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</si>
  <si>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</si>
  <si>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</si>
  <si>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</si>
  <si>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</si>
  <si>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</si>
  <si>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</si>
  <si>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</si>
  <si>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</si>
  <si>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</si>
  <si>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</si>
  <si>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</si>
  <si>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</si>
  <si>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</si>
  <si>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</si>
  <si>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</si>
  <si>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</si>
  <si>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</si>
  <si>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</si>
  <si>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</si>
  <si>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</si>
  <si>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</si>
  <si>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</si>
  <si>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</si>
  <si>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Liderazgo</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</si>
  <si>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</si>
  <si>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</si>
  <si>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</si>
  <si>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</si>
  <si>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</si>
  <si>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</si>
  <si>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</si>
  <si>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</si>
  <si>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</si>
  <si>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</si>
  <si>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</si>
  <si>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</si>
  <si>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</si>
  <si>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</si>
  <si>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</si>
  <si>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</si>
  <si>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</si>
  <si>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</si>
  <si>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</si>
  <si>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</si>
  <si>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</si>
  <si>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</si>
  <si>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</si>
  <si>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</si>
  <si>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</si>
  <si>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</si>
  <si>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</si>
  <si>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</si>
  <si>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</si>
  <si>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</si>
  <si>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</si>
  <si>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</si>
  <si>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</si>
  <si>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</si>
  <si>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</si>
  <si>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</si>
  <si>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</si>
  <si>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</si>
  <si>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</si>
  <si>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</si>
  <si>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Experiencia</t>
  </si>
  <si>
    <t>ByP Acum</t>
  </si>
  <si>
    <t>Pagos LP</t>
  </si>
  <si>
    <t>Pagos CP</t>
  </si>
  <si>
    <t>T. Hammond</t>
  </si>
  <si>
    <t>TEC</t>
  </si>
  <si>
    <t>E. Toney</t>
  </si>
  <si>
    <t>IMP</t>
  </si>
  <si>
    <t>E. Gross</t>
  </si>
  <si>
    <t>B. Bartolache</t>
  </si>
  <si>
    <t>D. Toh</t>
  </si>
  <si>
    <t>POS</t>
  </si>
  <si>
    <t>C. Rojas</t>
  </si>
  <si>
    <t>J. Limon</t>
  </si>
  <si>
    <t>CMin</t>
  </si>
  <si>
    <t>CMax</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</si>
  <si>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</si>
  <si>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</si>
  <si>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</si>
  <si>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</si>
  <si>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</si>
  <si>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</si>
  <si>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</si>
  <si>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</si>
  <si>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</si>
  <si>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</si>
  <si>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</si>
  <si>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</si>
  <si>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</si>
  <si>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</si>
  <si>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</si>
  <si>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</si>
  <si>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</si>
  <si>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</si>
  <si>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</si>
  <si>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</si>
  <si>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</si>
  <si>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</si>
  <si>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</si>
  <si>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</si>
  <si>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</si>
  <si>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</si>
  <si>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</si>
  <si>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</si>
  <si>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</si>
  <si>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</si>
  <si>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</si>
  <si>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</si>
  <si>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</si>
  <si>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</si>
  <si>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</si>
  <si>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</si>
  <si>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</si>
  <si>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</si>
  <si>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</si>
  <si>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</si>
  <si>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</si>
  <si>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</si>
  <si>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</si>
  <si>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</si>
  <si>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</si>
  <si>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</si>
  <si>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</si>
  <si>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</si>
  <si>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</si>
  <si>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</si>
  <si>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</si>
  <si>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</si>
  <si>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</si>
  <si>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</si>
  <si>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</si>
  <si>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</si>
  <si>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</si>
  <si>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</si>
  <si>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</si>
  <si>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</si>
  <si>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</si>
  <si>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</si>
  <si>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</si>
  <si>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</si>
  <si>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</si>
  <si>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</si>
  <si>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</si>
  <si>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</si>
  <si>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</si>
  <si>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</si>
  <si>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</si>
  <si>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</si>
  <si>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</si>
  <si>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</si>
  <si>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</si>
  <si>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</si>
  <si>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</si>
  <si>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</si>
  <si>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</si>
  <si>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</si>
  <si>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</si>
  <si>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</si>
  <si>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</si>
  <si>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</si>
  <si>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</si>
  <si>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</si>
  <si>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</si>
  <si>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</si>
  <si>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</si>
  <si>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</si>
  <si>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</si>
  <si>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</si>
  <si>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</si>
  <si>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L. Bauman</t>
  </si>
  <si>
    <t>Nivel</t>
  </si>
  <si>
    <t>#1</t>
  </si>
  <si>
    <t>#12</t>
  </si>
  <si>
    <t>#3</t>
  </si>
  <si>
    <t>#6</t>
  </si>
  <si>
    <t>#4</t>
  </si>
  <si>
    <t>#7</t>
  </si>
  <si>
    <t>#10</t>
  </si>
  <si>
    <t>#11</t>
  </si>
  <si>
    <t>#5</t>
  </si>
  <si>
    <t>#8</t>
  </si>
  <si>
    <t>Nfin</t>
  </si>
  <si>
    <t>W. Gelifini</t>
  </si>
  <si>
    <t>condición afecta a la experiencia de la misma manera que a las habilidades.</t>
  </si>
  <si>
    <t>%Base</t>
  </si>
  <si>
    <t>%entreno</t>
  </si>
  <si>
    <t>%Medico</t>
  </si>
  <si>
    <t>%Total</t>
  </si>
  <si>
    <t>Lesiones</t>
  </si>
  <si>
    <t>PartidosTemporada</t>
  </si>
  <si>
    <t>Nentreno</t>
  </si>
  <si>
    <t>ENT</t>
  </si>
  <si>
    <t>Plantilla Medias (mirar antes entreno) (sin entrenador)</t>
  </si>
  <si>
    <t>Hibridación</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</si>
  <si>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</si>
  <si>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</si>
  <si>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</si>
  <si>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</si>
  <si>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</si>
  <si>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</si>
  <si>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</si>
  <si>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</si>
  <si>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</si>
  <si>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</si>
  <si>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</si>
  <si>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</si>
  <si>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</si>
  <si>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</si>
  <si>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</si>
  <si>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</si>
  <si>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</si>
  <si>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</si>
  <si>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</si>
  <si>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</si>
  <si>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</si>
  <si>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</si>
  <si>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</si>
  <si>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</si>
  <si>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</si>
  <si>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</si>
  <si>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</si>
  <si>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</si>
  <si>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</si>
  <si>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</si>
  <si>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</si>
  <si>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Patro-1</t>
  </si>
  <si>
    <t>Defensas</t>
  </si>
  <si>
    <t>Jugadas</t>
  </si>
  <si>
    <t>DEFCen</t>
  </si>
  <si>
    <t>C</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</si>
  <si>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</si>
  <si>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</si>
  <si>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</si>
  <si>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</si>
  <si>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</si>
  <si>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</si>
  <si>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</si>
  <si>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</si>
  <si>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</si>
  <si>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</si>
  <si>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</si>
  <si>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</si>
  <si>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</si>
  <si>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</si>
  <si>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</si>
  <si>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</si>
  <si>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</si>
  <si>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</si>
  <si>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</si>
  <si>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</si>
  <si>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</si>
  <si>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</si>
  <si>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</si>
  <si>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</si>
  <si>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</si>
  <si>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</si>
  <si>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</si>
  <si>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</si>
  <si>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</si>
  <si>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</si>
  <si>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</si>
  <si>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</si>
  <si>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</si>
  <si>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</si>
  <si>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Stan Pignot</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</si>
  <si>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</si>
  <si>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</si>
  <si>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</si>
  <si>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</si>
  <si>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</si>
  <si>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</si>
  <si>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</si>
  <si>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</si>
  <si>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</si>
  <si>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</si>
  <si>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</si>
  <si>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</si>
  <si>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</si>
  <si>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</si>
  <si>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</si>
  <si>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</si>
  <si>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</si>
  <si>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</si>
  <si>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</si>
  <si>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</si>
  <si>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</si>
  <si>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</si>
  <si>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</si>
  <si>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</si>
  <si>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</si>
  <si>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</si>
  <si>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</si>
  <si>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</si>
  <si>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</si>
  <si>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</si>
  <si>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</si>
  <si>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</si>
  <si>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</si>
  <si>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</si>
  <si>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</si>
  <si>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</si>
  <si>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</si>
  <si>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</si>
  <si>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</si>
  <si>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</si>
  <si>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</si>
  <si>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</si>
  <si>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III.15</t>
  </si>
  <si>
    <t>#19</t>
  </si>
  <si>
    <t>EHM</t>
  </si>
  <si>
    <t>Pavan Trivadi</t>
  </si>
  <si>
    <t>Félix Lasprilla</t>
  </si>
  <si>
    <t>EXTOF</t>
  </si>
  <si>
    <t>Lenny Albers</t>
  </si>
  <si>
    <t>h34</t>
  </si>
  <si>
    <t>CMn</t>
  </si>
  <si>
    <t>CMx</t>
  </si>
  <si>
    <t>541 Bi-CA</t>
  </si>
  <si>
    <t>DHL</t>
  </si>
  <si>
    <t>CHL</t>
  </si>
  <si>
    <t>EN</t>
  </si>
  <si>
    <t>EOF</t>
  </si>
  <si>
    <t>IOF</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</si>
  <si>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</si>
  <si>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</si>
  <si>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</si>
  <si>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</si>
  <si>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</si>
  <si>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</si>
  <si>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</si>
  <si>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</si>
  <si>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</si>
  <si>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</si>
  <si>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</si>
  <si>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</si>
  <si>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</si>
  <si>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</si>
  <si>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</si>
  <si>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</si>
  <si>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</si>
  <si>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</si>
  <si>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</si>
  <si>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</si>
  <si>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</si>
  <si>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</si>
  <si>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</si>
  <si>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</si>
  <si>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</si>
  <si>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</si>
  <si>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</si>
  <si>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</si>
  <si>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</si>
  <si>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</si>
  <si>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</si>
  <si>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</si>
  <si>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</si>
  <si>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</si>
  <si>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</si>
  <si>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</si>
  <si>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</si>
  <si>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</si>
  <si>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</si>
  <si>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</si>
  <si>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</si>
  <si>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</si>
  <si>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</si>
  <si>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</si>
  <si>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</si>
  <si>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</si>
  <si>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</si>
  <si>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</si>
  <si>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</si>
  <si>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</si>
  <si>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</si>
  <si>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</si>
  <si>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</si>
  <si>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</si>
  <si>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</si>
  <si>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</si>
  <si>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23(103)</t>
  </si>
  <si>
    <t>9*</t>
  </si>
  <si>
    <t>23(110)</t>
  </si>
  <si>
    <t>Fecha</t>
  </si>
  <si>
    <t>352 BI</t>
  </si>
  <si>
    <t>253 Bi</t>
  </si>
  <si>
    <t>442 Bi CA</t>
  </si>
  <si>
    <t>P. Trivadi</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</si>
  <si>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</si>
  <si>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</si>
  <si>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</si>
  <si>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</si>
  <si>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</si>
  <si>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</si>
  <si>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</si>
  <si>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</si>
  <si>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</si>
  <si>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</si>
  <si>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</si>
  <si>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</si>
  <si>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</si>
  <si>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</si>
  <si>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</si>
  <si>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</si>
  <si>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</si>
  <si>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</si>
  <si>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</si>
  <si>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</si>
  <si>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</si>
  <si>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</si>
  <si>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</si>
  <si>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</si>
  <si>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</si>
  <si>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</si>
  <si>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</si>
  <si>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</si>
  <si>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</si>
  <si>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</si>
  <si>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</si>
  <si>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</si>
  <si>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</si>
  <si>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</si>
  <si>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</si>
  <si>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</si>
  <si>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</si>
  <si>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</si>
  <si>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</si>
  <si>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</si>
  <si>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</si>
  <si>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</si>
  <si>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</si>
  <si>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</si>
  <si>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</si>
  <si>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</si>
  <si>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</si>
  <si>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</si>
  <si>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</si>
  <si>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</si>
  <si>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</si>
  <si>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</si>
  <si>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</si>
  <si>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24(67)</t>
  </si>
  <si>
    <t>24(72)</t>
  </si>
  <si>
    <t>D. Gehmacher</t>
  </si>
  <si>
    <t>Dominik Gehmacher</t>
  </si>
  <si>
    <t>24(90)</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</si>
  <si>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</si>
  <si>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</si>
  <si>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</si>
  <si>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</si>
  <si>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</si>
  <si>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</si>
  <si>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</si>
  <si>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</si>
  <si>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</si>
  <si>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</si>
  <si>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</si>
  <si>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</si>
  <si>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</si>
  <si>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</si>
  <si>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</si>
  <si>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</si>
  <si>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</si>
  <si>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</si>
  <si>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</si>
  <si>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</si>
  <si>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</si>
  <si>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</si>
  <si>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</si>
  <si>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</si>
  <si>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</si>
  <si>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</si>
  <si>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</si>
  <si>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</si>
  <si>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</si>
  <si>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</si>
  <si>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10*</t>
  </si>
  <si>
    <t>25(55)</t>
  </si>
  <si>
    <t>25(62)</t>
  </si>
  <si>
    <t>25(72)</t>
  </si>
  <si>
    <t>Josh Bilbrey</t>
  </si>
  <si>
    <t>Chase Belanger</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</si>
  <si>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</si>
  <si>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</si>
  <si>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</si>
  <si>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</si>
  <si>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</si>
  <si>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</si>
  <si>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</si>
  <si>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</si>
  <si>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</si>
  <si>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</si>
  <si>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</si>
  <si>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</si>
  <si>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</si>
  <si>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</si>
  <si>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</si>
  <si>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</si>
  <si>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</si>
  <si>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</si>
  <si>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</si>
  <si>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</si>
  <si>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</si>
  <si>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</si>
  <si>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</si>
  <si>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Isaia Seccarecci</t>
  </si>
  <si>
    <t>26(27)</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</si>
  <si>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</si>
  <si>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</si>
  <si>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</si>
  <si>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</si>
  <si>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</si>
  <si>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</si>
  <si>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</si>
  <si>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</si>
  <si>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</si>
  <si>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</si>
  <si>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</si>
  <si>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</si>
  <si>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</si>
  <si>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</si>
  <si>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</si>
  <si>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</si>
  <si>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</si>
  <si>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</si>
  <si>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</si>
  <si>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</si>
  <si>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</si>
  <si>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</si>
  <si>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</si>
  <si>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</si>
  <si>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</si>
  <si>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</si>
  <si>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K. Nelson</t>
  </si>
  <si>
    <t>N. Janbu</t>
  </si>
  <si>
    <t>P. Tuderek</t>
  </si>
  <si>
    <t>R. Scheidecker</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</si>
  <si>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</si>
  <si>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</si>
  <si>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</si>
  <si>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</si>
  <si>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</si>
  <si>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</si>
  <si>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</si>
  <si>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</si>
  <si>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</si>
  <si>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</si>
  <si>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</si>
  <si>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</si>
  <si>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</si>
  <si>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</si>
  <si>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</si>
  <si>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</si>
  <si>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</si>
  <si>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</si>
  <si>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</si>
  <si>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</si>
  <si>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</si>
  <si>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#22</t>
  </si>
  <si>
    <t>#23</t>
  </si>
  <si>
    <t>#24</t>
  </si>
  <si>
    <t>#25</t>
  </si>
  <si>
    <t>Ordre</t>
  </si>
  <si>
    <t>2 Temporadas Jugadas</t>
  </si>
  <si>
    <t>1 Temporada Anotacion</t>
  </si>
  <si>
    <t>Fichar Portero+Defensas</t>
  </si>
  <si>
    <t>Defensa y BP</t>
  </si>
  <si>
    <t>Num</t>
  </si>
  <si>
    <t>Nombre</t>
  </si>
  <si>
    <t>S+20%</t>
  </si>
  <si>
    <t>IMP/CAB</t>
  </si>
  <si>
    <t>Inners</t>
  </si>
  <si>
    <t>RAP/IMP/CAB</t>
  </si>
  <si>
    <t>Delantero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</si>
</sst>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75"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i/>
      <sz val="11"/>
      <color theme="1"/>
      <name val="Calibri"/>
      <family val="2"/>
      <scheme val="minor"/>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cellStyleXfs>
  <cellXfs count="649">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2" fillId="0" borderId="0" xfId="0" applyFont="1" applyAlignment="1">
      <alignment wrapText="1"/>
    </xf>
    <xf numFmtId="166" fontId="0" fillId="0" borderId="0" xfId="0" applyNumberFormat="1"/>
    <xf numFmtId="0" fontId="23"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4"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5" fillId="27" borderId="1" xfId="0" applyFont="1" applyFill="1" applyBorder="1" applyAlignment="1">
      <alignment horizontal="left" vertical="top" wrapText="1" indent="1"/>
    </xf>
    <xf numFmtId="0" fontId="25" fillId="26"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5" fillId="26" borderId="2"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5"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7" fillId="0" borderId="0" xfId="0" applyFont="1"/>
    <xf numFmtId="0" fontId="26" fillId="26" borderId="18" xfId="0" applyFont="1" applyFill="1" applyBorder="1" applyAlignment="1">
      <alignment horizontal="left" vertical="top" wrapText="1"/>
    </xf>
    <xf numFmtId="0" fontId="24"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0" fillId="0" borderId="0" xfId="0" applyFont="1" applyFill="1"/>
    <xf numFmtId="1" fontId="0" fillId="0" borderId="0" xfId="0" applyNumberFormat="1"/>
    <xf numFmtId="0" fontId="30" fillId="16" borderId="1" xfId="0" applyFont="1" applyFill="1" applyBorder="1"/>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0" fillId="0" borderId="0" xfId="0" applyAlignment="1">
      <alignment wrapText="1"/>
    </xf>
    <xf numFmtId="0" fontId="2" fillId="10" borderId="1" xfId="0" applyFont="1" applyFill="1" applyBorder="1"/>
    <xf numFmtId="0" fontId="26" fillId="0" borderId="0" xfId="0" applyFont="1"/>
    <xf numFmtId="0" fontId="25"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4" fillId="0" borderId="0" xfId="0" applyFont="1" applyAlignment="1">
      <alignment horizontal="left" indent="2"/>
    </xf>
    <xf numFmtId="0" fontId="31" fillId="31" borderId="0" xfId="0" applyFont="1" applyFill="1" applyAlignment="1">
      <alignment horizontal="center" wrapText="1"/>
    </xf>
    <xf numFmtId="0" fontId="23" fillId="8"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0" borderId="0" xfId="0" applyFont="1" applyAlignment="1">
      <alignment horizontal="center" wrapText="1"/>
    </xf>
    <xf numFmtId="0" fontId="24" fillId="33" borderId="0" xfId="0" applyFont="1" applyFill="1" applyAlignment="1">
      <alignment wrapText="1"/>
    </xf>
    <xf numFmtId="0" fontId="24" fillId="34" borderId="0" xfId="0" applyFont="1" applyFill="1" applyAlignment="1">
      <alignment wrapText="1"/>
    </xf>
    <xf numFmtId="0" fontId="23"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6" fillId="26" borderId="1" xfId="0" applyFont="1" applyFill="1" applyBorder="1" applyAlignment="1">
      <alignment horizontal="left" vertical="center"/>
    </xf>
    <xf numFmtId="1" fontId="26"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6" fillId="29" borderId="1" xfId="0" applyNumberFormat="1" applyFont="1" applyFill="1" applyBorder="1" applyAlignment="1">
      <alignment horizontal="left" vertical="center"/>
    </xf>
    <xf numFmtId="0" fontId="0" fillId="0" borderId="0" xfId="0" applyAlignment="1">
      <alignment horizontal="center"/>
    </xf>
    <xf numFmtId="0" fontId="37" fillId="0" borderId="0" xfId="0" applyFont="1"/>
    <xf numFmtId="0" fontId="30" fillId="14" borderId="1" xfId="0"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2" fillId="38" borderId="1" xfId="0" applyFont="1" applyFill="1" applyBorder="1" applyAlignment="1">
      <alignment horizontal="center" vertical="top" wrapText="1"/>
    </xf>
    <xf numFmtId="0" fontId="43" fillId="38"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2" fillId="39" borderId="0" xfId="0" applyFont="1" applyFill="1" applyBorder="1" applyAlignment="1">
      <alignment horizontal="center" vertical="top" wrapText="1"/>
    </xf>
    <xf numFmtId="0" fontId="42" fillId="38" borderId="0" xfId="0" applyFont="1" applyFill="1" applyBorder="1" applyAlignment="1">
      <alignment horizontal="center" vertical="top" wrapText="1"/>
    </xf>
    <xf numFmtId="166" fontId="44"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5" fillId="40" borderId="0" xfId="0" applyNumberFormat="1" applyFont="1" applyFill="1" applyBorder="1" applyAlignment="1">
      <alignment horizontal="center" vertical="top" wrapText="1"/>
    </xf>
    <xf numFmtId="0" fontId="45" fillId="39" borderId="1" xfId="0" applyFont="1" applyFill="1" applyBorder="1" applyAlignment="1">
      <alignment horizontal="center" vertical="top" wrapText="1"/>
    </xf>
    <xf numFmtId="0" fontId="45" fillId="38" borderId="1" xfId="0" applyFont="1" applyFill="1" applyBorder="1" applyAlignment="1">
      <alignment horizontal="center" vertical="top" wrapText="1"/>
    </xf>
    <xf numFmtId="168" fontId="2" fillId="0" borderId="0" xfId="3" applyNumberFormat="1" applyFont="1"/>
    <xf numFmtId="0" fontId="2" fillId="3" borderId="0" xfId="0" applyFont="1" applyFill="1" applyAlignment="1">
      <alignment horizontal="center" wrapText="1"/>
    </xf>
    <xf numFmtId="0" fontId="30" fillId="0" borderId="0" xfId="0" applyFont="1"/>
    <xf numFmtId="0" fontId="47" fillId="0" borderId="0" xfId="4" applyFont="1" applyFill="1"/>
    <xf numFmtId="0" fontId="47" fillId="0" borderId="0" xfId="4" applyFont="1"/>
    <xf numFmtId="0" fontId="34" fillId="0" borderId="0" xfId="4" applyFont="1" applyFill="1"/>
    <xf numFmtId="0" fontId="33" fillId="0" borderId="0" xfId="4" applyFont="1" applyFill="1" applyBorder="1" applyAlignment="1">
      <alignment horizontal="left"/>
    </xf>
    <xf numFmtId="0" fontId="33" fillId="0" borderId="0" xfId="4" applyFont="1" applyFill="1" applyBorder="1" applyAlignment="1">
      <alignment horizontal="center"/>
    </xf>
    <xf numFmtId="0" fontId="48" fillId="0" borderId="0" xfId="4" applyFont="1" applyFill="1"/>
    <xf numFmtId="1" fontId="0" fillId="9" borderId="9" xfId="0" applyNumberFormat="1" applyFill="1" applyBorder="1"/>
    <xf numFmtId="0" fontId="0" fillId="0" borderId="1" xfId="0" applyBorder="1" applyAlignment="1">
      <alignment horizontal="center"/>
    </xf>
    <xf numFmtId="0" fontId="49" fillId="0" borderId="0" xfId="4" applyFont="1"/>
    <xf numFmtId="0" fontId="0" fillId="0" borderId="1" xfId="0" applyFont="1" applyBorder="1"/>
    <xf numFmtId="0" fontId="26" fillId="29" borderId="1" xfId="0" applyFont="1" applyFill="1" applyBorder="1" applyAlignment="1">
      <alignment horizontal="center" vertical="center"/>
    </xf>
    <xf numFmtId="0" fontId="0" fillId="0" borderId="0" xfId="0" applyFont="1"/>
    <xf numFmtId="0" fontId="21" fillId="0" borderId="0" xfId="4" applyFont="1"/>
    <xf numFmtId="169" fontId="0" fillId="0" borderId="0" xfId="0" applyNumberFormat="1"/>
    <xf numFmtId="0" fontId="26"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4" fillId="0" borderId="0" xfId="0" applyFont="1" applyFill="1"/>
    <xf numFmtId="0" fontId="51" fillId="0" borderId="0" xfId="0" applyFont="1"/>
    <xf numFmtId="0" fontId="52" fillId="0" borderId="1" xfId="0" applyFont="1" applyBorder="1" applyAlignment="1">
      <alignment wrapText="1"/>
    </xf>
    <xf numFmtId="0" fontId="52" fillId="0" borderId="0" xfId="0" applyFont="1"/>
    <xf numFmtId="0" fontId="53" fillId="0" borderId="0" xfId="0" applyFont="1"/>
    <xf numFmtId="0" fontId="52"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2" fillId="0" borderId="8" xfId="0" applyFont="1" applyBorder="1" applyAlignment="1">
      <alignment wrapText="1"/>
    </xf>
    <xf numFmtId="0" fontId="52"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4" fillId="0" borderId="0" xfId="4" applyFont="1" applyFill="1" applyAlignment="1">
      <alignment horizontal="center"/>
    </xf>
    <xf numFmtId="0" fontId="36" fillId="0" borderId="0" xfId="4" applyFont="1" applyFill="1" applyAlignment="1">
      <alignment horizontal="center"/>
    </xf>
    <xf numFmtId="0" fontId="30" fillId="0" borderId="1" xfId="0" applyFont="1" applyFill="1" applyBorder="1"/>
    <xf numFmtId="2" fontId="54" fillId="0" borderId="0" xfId="0" applyNumberFormat="1" applyFont="1"/>
    <xf numFmtId="0" fontId="55" fillId="0" borderId="1" xfId="0" applyFont="1" applyBorder="1" applyAlignment="1">
      <alignment wrapText="1"/>
    </xf>
    <xf numFmtId="14" fontId="0" fillId="0" borderId="0" xfId="0" applyNumberFormat="1"/>
    <xf numFmtId="0" fontId="14" fillId="0" borderId="0" xfId="0" applyFont="1"/>
    <xf numFmtId="0" fontId="27" fillId="0" borderId="0" xfId="0" applyFont="1" applyAlignment="1">
      <alignment horizontal="center"/>
    </xf>
    <xf numFmtId="0" fontId="35" fillId="30" borderId="1" xfId="4" applyFont="1" applyFill="1" applyBorder="1" applyAlignment="1">
      <alignment horizontal="right"/>
    </xf>
    <xf numFmtId="0" fontId="26" fillId="29" borderId="1" xfId="0" applyFont="1" applyFill="1" applyBorder="1" applyAlignment="1">
      <alignment horizontal="right" vertical="center"/>
    </xf>
    <xf numFmtId="169" fontId="26" fillId="29" borderId="1" xfId="0" applyNumberFormat="1" applyFont="1" applyFill="1" applyBorder="1" applyAlignment="1">
      <alignment horizontal="center" vertical="center"/>
    </xf>
    <xf numFmtId="169" fontId="34" fillId="0" borderId="0" xfId="4" applyNumberFormat="1" applyFont="1" applyFill="1" applyBorder="1" applyAlignment="1">
      <alignment horizontal="center"/>
    </xf>
    <xf numFmtId="0" fontId="28" fillId="22" borderId="1" xfId="0" applyFont="1" applyFill="1" applyBorder="1" applyAlignment="1"/>
    <xf numFmtId="0" fontId="38" fillId="37" borderId="1" xfId="0" applyFont="1" applyFill="1" applyBorder="1" applyAlignment="1">
      <alignment horizontal="center" vertical="center"/>
    </xf>
    <xf numFmtId="0" fontId="39" fillId="37" borderId="1" xfId="0" applyFont="1" applyFill="1" applyBorder="1" applyAlignment="1">
      <alignment horizontal="center" vertical="center"/>
    </xf>
    <xf numFmtId="0" fontId="38" fillId="37" borderId="1" xfId="0" applyFont="1" applyFill="1" applyBorder="1" applyAlignment="1">
      <alignment horizontal="right" vertical="center"/>
    </xf>
    <xf numFmtId="0" fontId="46" fillId="28" borderId="1" xfId="0" applyFont="1" applyFill="1" applyBorder="1" applyAlignment="1">
      <alignment horizontal="center" vertical="center"/>
    </xf>
    <xf numFmtId="1" fontId="50" fillId="23" borderId="1" xfId="0" applyNumberFormat="1" applyFont="1" applyFill="1" applyBorder="1" applyAlignment="1">
      <alignment horizontal="left" vertical="center"/>
    </xf>
    <xf numFmtId="0" fontId="35" fillId="0" borderId="1" xfId="4" applyFont="1" applyBorder="1"/>
    <xf numFmtId="0" fontId="57" fillId="0" borderId="1" xfId="4" applyFont="1" applyFill="1" applyBorder="1"/>
    <xf numFmtId="0" fontId="0" fillId="0" borderId="0" xfId="0" applyAlignment="1">
      <alignment wrapText="1"/>
    </xf>
    <xf numFmtId="169" fontId="26" fillId="26" borderId="1" xfId="0" applyNumberFormat="1" applyFont="1" applyFill="1" applyBorder="1" applyAlignment="1">
      <alignment horizontal="center" vertical="center"/>
    </xf>
    <xf numFmtId="169" fontId="50" fillId="29" borderId="1" xfId="0" applyNumberFormat="1" applyFont="1" applyFill="1" applyBorder="1" applyAlignment="1">
      <alignment horizontal="left" vertical="center"/>
    </xf>
    <xf numFmtId="164" fontId="14" fillId="0" borderId="0" xfId="2" applyNumberFormat="1" applyFont="1"/>
    <xf numFmtId="0" fontId="58" fillId="0" borderId="0" xfId="4" applyFont="1" applyFill="1" applyBorder="1" applyAlignment="1">
      <alignment horizontal="center"/>
    </xf>
    <xf numFmtId="171" fontId="56" fillId="0" borderId="1" xfId="3" applyNumberFormat="1" applyFont="1" applyBorder="1" applyAlignment="1">
      <alignment horizontal="center"/>
    </xf>
    <xf numFmtId="0" fontId="0" fillId="0" borderId="0" xfId="0" applyAlignment="1">
      <alignment horizontal="center"/>
    </xf>
    <xf numFmtId="168" fontId="59" fillId="0" borderId="0" xfId="0" applyNumberFormat="1" applyFont="1" applyAlignment="1">
      <alignment horizontal="right"/>
    </xf>
    <xf numFmtId="169" fontId="34" fillId="0" borderId="0" xfId="4" applyNumberFormat="1" applyFont="1" applyFill="1" applyBorder="1" applyAlignment="1"/>
    <xf numFmtId="171" fontId="46" fillId="29" borderId="1" xfId="3" applyNumberFormat="1" applyFont="1" applyFill="1" applyBorder="1" applyAlignment="1">
      <alignment horizontal="right" vertical="center"/>
    </xf>
    <xf numFmtId="171" fontId="50"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0"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46" fillId="24" borderId="1" xfId="0" applyFont="1" applyFill="1" applyBorder="1" applyAlignment="1">
      <alignment horizontal="center" vertical="center"/>
    </xf>
    <xf numFmtId="14" fontId="0" fillId="0" borderId="1" xfId="0" applyNumberFormat="1" applyBorder="1" applyAlignment="1">
      <alignment horizontal="center"/>
    </xf>
    <xf numFmtId="169" fontId="35" fillId="0" borderId="1" xfId="4" applyNumberFormat="1" applyFont="1" applyFill="1" applyBorder="1" applyAlignment="1">
      <alignment horizontal="center"/>
    </xf>
    <xf numFmtId="169" fontId="34" fillId="0" borderId="1" xfId="4" applyNumberFormat="1" applyFont="1" applyFill="1" applyBorder="1" applyAlignment="1">
      <alignment horizontal="center"/>
    </xf>
    <xf numFmtId="168" fontId="34"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0" fillId="0" borderId="1" xfId="0" applyNumberFormat="1" applyFont="1" applyFill="1" applyBorder="1" applyAlignment="1">
      <alignment horizontal="center"/>
    </xf>
    <xf numFmtId="1" fontId="2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0" fillId="0" borderId="0" xfId="0" applyNumberFormat="1" applyFont="1" applyFill="1"/>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0"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0" fillId="0" borderId="1" xfId="0" applyFont="1" applyBorder="1"/>
    <xf numFmtId="169" fontId="60" fillId="0" borderId="1" xfId="0" applyNumberFormat="1" applyFont="1" applyBorder="1"/>
    <xf numFmtId="0" fontId="50" fillId="26" borderId="1" xfId="0" applyFont="1" applyFill="1" applyBorder="1" applyAlignment="1">
      <alignment horizontal="left" vertical="center"/>
    </xf>
    <xf numFmtId="0" fontId="50" fillId="29" borderId="1" xfId="0" applyFont="1" applyFill="1" applyBorder="1" applyAlignment="1">
      <alignment horizontal="center" vertical="center"/>
    </xf>
    <xf numFmtId="169" fontId="50" fillId="29" borderId="1" xfId="0" applyNumberFormat="1" applyFont="1" applyFill="1" applyBorder="1" applyAlignment="1">
      <alignment horizontal="center" vertical="center"/>
    </xf>
    <xf numFmtId="168" fontId="0" fillId="0" borderId="0" xfId="0" applyNumberFormat="1"/>
    <xf numFmtId="0" fontId="61" fillId="0" borderId="1" xfId="0" applyFont="1" applyFill="1" applyBorder="1" applyAlignment="1">
      <alignment horizontal="left" vertical="center"/>
    </xf>
    <xf numFmtId="1" fontId="50" fillId="26" borderId="1" xfId="0" applyNumberFormat="1"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4" fillId="14" borderId="1" xfId="1" applyNumberFormat="1" applyFont="1" applyFill="1" applyBorder="1"/>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4" fillId="0" borderId="0" xfId="4" applyNumberFormat="1" applyFont="1" applyFill="1" applyAlignment="1">
      <alignment horizontal="center"/>
    </xf>
    <xf numFmtId="0" fontId="46" fillId="4" borderId="1" xfId="0" applyFont="1" applyFill="1" applyBorder="1" applyAlignment="1">
      <alignment horizontal="center" vertical="center"/>
    </xf>
    <xf numFmtId="0" fontId="38"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38" fillId="37" borderId="13" xfId="0" applyFont="1" applyFill="1" applyBorder="1" applyAlignment="1">
      <alignment horizontal="center" vertical="center"/>
    </xf>
    <xf numFmtId="14" fontId="26"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29" fillId="0" borderId="0" xfId="0" applyNumberFormat="1" applyFont="1"/>
    <xf numFmtId="2" fontId="49" fillId="0" borderId="0" xfId="4" applyNumberFormat="1" applyFont="1"/>
    <xf numFmtId="0" fontId="34" fillId="0" borderId="1" xfId="4" applyFont="1" applyBorder="1" applyAlignment="1">
      <alignment horizontal="center"/>
    </xf>
    <xf numFmtId="0" fontId="6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5" fillId="0" borderId="1" xfId="4" applyNumberFormat="1" applyFont="1" applyBorder="1"/>
    <xf numFmtId="170" fontId="57" fillId="0" borderId="1" xfId="4" applyNumberFormat="1" applyFont="1" applyFill="1" applyBorder="1"/>
    <xf numFmtId="170" fontId="0" fillId="0" borderId="1" xfId="0" applyNumberFormat="1" applyFont="1" applyBorder="1"/>
    <xf numFmtId="2" fontId="35" fillId="0" borderId="1" xfId="4" applyNumberFormat="1" applyFont="1" applyBorder="1"/>
    <xf numFmtId="2" fontId="57" fillId="0" borderId="1" xfId="4" applyNumberFormat="1" applyFont="1" applyFill="1" applyBorder="1"/>
    <xf numFmtId="2" fontId="0" fillId="0" borderId="1" xfId="0" applyNumberFormat="1" applyFont="1" applyBorder="1"/>
    <xf numFmtId="170" fontId="34" fillId="0" borderId="1" xfId="4" applyNumberFormat="1" applyFont="1" applyBorder="1"/>
    <xf numFmtId="2" fontId="34" fillId="0" borderId="1" xfId="4"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0" fillId="0" borderId="0" xfId="0" applyFont="1" applyAlignment="1">
      <alignment horizontal="center"/>
    </xf>
    <xf numFmtId="0" fontId="0" fillId="0" borderId="0" xfId="0" applyAlignment="1">
      <alignment horizontal="center"/>
    </xf>
    <xf numFmtId="1" fontId="50" fillId="29" borderId="1" xfId="0" applyNumberFormat="1" applyFont="1" applyFill="1" applyBorder="1" applyAlignment="1">
      <alignment horizontal="center" vertical="center"/>
    </xf>
    <xf numFmtId="1" fontId="26" fillId="29" borderId="1" xfId="0" applyNumberFormat="1" applyFont="1" applyFill="1" applyBorder="1" applyAlignment="1">
      <alignment horizontal="center" vertical="center"/>
    </xf>
    <xf numFmtId="0" fontId="0" fillId="0" borderId="0" xfId="0" applyAlignment="1">
      <alignment horizontal="center"/>
    </xf>
    <xf numFmtId="14" fontId="30" fillId="0" borderId="0" xfId="0" applyNumberFormat="1" applyFont="1"/>
    <xf numFmtId="0" fontId="0" fillId="0" borderId="0" xfId="0" applyAlignment="1">
      <alignment horizontal="center"/>
    </xf>
    <xf numFmtId="0" fontId="0" fillId="0" borderId="0" xfId="0" applyAlignment="1">
      <alignment horizontal="center"/>
    </xf>
    <xf numFmtId="166" fontId="63" fillId="23" borderId="1" xfId="0" applyNumberFormat="1" applyFont="1" applyFill="1" applyBorder="1"/>
    <xf numFmtId="166" fontId="63" fillId="23" borderId="1" xfId="0" applyNumberFormat="1" applyFont="1" applyFill="1" applyBorder="1" applyAlignment="1">
      <alignment horizontal="center"/>
    </xf>
    <xf numFmtId="166" fontId="63" fillId="18"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2" fillId="0" borderId="0" xfId="0" applyFont="1" applyAlignment="1">
      <alignment horizontal="right"/>
    </xf>
    <xf numFmtId="166" fontId="52"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0" fillId="26" borderId="1" xfId="0" applyNumberFormat="1" applyFont="1" applyFill="1" applyBorder="1" applyAlignment="1">
      <alignment horizontal="left" vertical="center"/>
    </xf>
    <xf numFmtId="2" fontId="50" fillId="29" borderId="1" xfId="0" applyNumberFormat="1" applyFont="1" applyFill="1" applyBorder="1" applyAlignment="1">
      <alignment horizontal="left" vertical="center"/>
    </xf>
    <xf numFmtId="0" fontId="0" fillId="0" borderId="0" xfId="0" applyAlignment="1">
      <alignment horizontal="center"/>
    </xf>
    <xf numFmtId="0" fontId="64" fillId="42" borderId="0" xfId="0" applyFont="1" applyFill="1"/>
    <xf numFmtId="0" fontId="64" fillId="42" borderId="0" xfId="0" applyFont="1" applyFill="1" applyAlignment="1">
      <alignment horizontal="center"/>
    </xf>
    <xf numFmtId="0" fontId="64" fillId="9" borderId="0" xfId="0" applyFont="1" applyFill="1" applyAlignment="1">
      <alignment horizontal="center"/>
    </xf>
    <xf numFmtId="0" fontId="64" fillId="43" borderId="0" xfId="0" applyFont="1" applyFill="1" applyAlignment="1">
      <alignment horizontal="center"/>
    </xf>
    <xf numFmtId="0" fontId="64" fillId="44" borderId="0" xfId="0" applyFont="1" applyFill="1" applyAlignment="1">
      <alignment horizontal="center"/>
    </xf>
    <xf numFmtId="0" fontId="64" fillId="45" borderId="0" xfId="0" applyFont="1" applyFill="1" applyAlignment="1">
      <alignment horizontal="center"/>
    </xf>
    <xf numFmtId="0" fontId="64" fillId="46" borderId="0" xfId="0" applyFont="1" applyFill="1"/>
    <xf numFmtId="0" fontId="6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0" fillId="29" borderId="1" xfId="2" applyFont="1" applyFill="1" applyBorder="1" applyAlignment="1">
      <alignment horizontal="center" vertical="center"/>
    </xf>
    <xf numFmtId="9" fontId="34" fillId="0" borderId="1" xfId="2" applyFont="1" applyFill="1" applyBorder="1" applyAlignment="1">
      <alignment horizontal="center"/>
    </xf>
    <xf numFmtId="2" fontId="8" fillId="0" borderId="0" xfId="0" applyNumberFormat="1" applyFont="1"/>
    <xf numFmtId="2" fontId="26" fillId="26" borderId="1" xfId="0" applyNumberFormat="1" applyFont="1" applyFill="1" applyBorder="1" applyAlignment="1">
      <alignment horizontal="center" vertical="center"/>
    </xf>
    <xf numFmtId="0" fontId="0" fillId="0" borderId="0" xfId="0" applyAlignment="1">
      <alignment horizontal="center"/>
    </xf>
    <xf numFmtId="0" fontId="34" fillId="4" borderId="1" xfId="4"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65"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0" fillId="0" borderId="15" xfId="0" applyFont="1" applyFill="1" applyBorder="1" applyAlignment="1">
      <alignment horizontal="right"/>
    </xf>
    <xf numFmtId="166" fontId="30" fillId="0" borderId="16" xfId="0" applyNumberFormat="1" applyFont="1" applyFill="1" applyBorder="1"/>
    <xf numFmtId="164" fontId="30"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6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0" fillId="29" borderId="1" xfId="2" applyNumberFormat="1" applyFont="1" applyFill="1" applyBorder="1" applyAlignment="1">
      <alignment horizontal="center" vertical="center"/>
    </xf>
    <xf numFmtId="0" fontId="0" fillId="0" borderId="0" xfId="0" applyAlignment="1">
      <alignment horizontal="center"/>
    </xf>
    <xf numFmtId="0" fontId="8" fillId="0" borderId="0" xfId="0" applyFont="1" applyAlignment="1"/>
    <xf numFmtId="170" fontId="3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66"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67" fillId="0" borderId="0" xfId="0" applyNumberFormat="1" applyFont="1" applyAlignment="1">
      <alignment vertical="center"/>
    </xf>
    <xf numFmtId="2" fontId="0" fillId="3" borderId="0" xfId="0" applyNumberFormat="1" applyFill="1"/>
    <xf numFmtId="169" fontId="66" fillId="12" borderId="0" xfId="0" applyNumberFormat="1" applyFont="1" applyFill="1"/>
    <xf numFmtId="0" fontId="0" fillId="0" borderId="0" xfId="0" applyAlignment="1">
      <alignment horizontal="center"/>
    </xf>
    <xf numFmtId="9" fontId="38" fillId="37" borderId="1" xfId="0" applyNumberFormat="1" applyFont="1" applyFill="1" applyBorder="1" applyAlignment="1">
      <alignment horizontal="center" vertical="center"/>
    </xf>
    <xf numFmtId="0" fontId="38" fillId="9" borderId="1" xfId="0" applyFont="1" applyFill="1" applyBorder="1" applyAlignment="1">
      <alignment horizontal="center" vertical="center"/>
    </xf>
    <xf numFmtId="9" fontId="38"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38" fillId="9" borderId="13" xfId="0" applyFont="1" applyFill="1" applyBorder="1" applyAlignment="1">
      <alignment horizontal="center" vertical="center"/>
    </xf>
    <xf numFmtId="0" fontId="0" fillId="0" borderId="0" xfId="0" applyAlignment="1">
      <alignment horizontal="center"/>
    </xf>
    <xf numFmtId="9" fontId="38"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2" fillId="39" borderId="1" xfId="0" applyFont="1" applyFill="1" applyBorder="1" applyAlignment="1">
      <alignment horizontal="center" vertical="top" wrapText="1"/>
    </xf>
    <xf numFmtId="166" fontId="0" fillId="10" borderId="0" xfId="0" applyNumberFormat="1" applyFill="1" applyAlignment="1">
      <alignment horizontal="center"/>
    </xf>
    <xf numFmtId="166" fontId="0" fillId="16" borderId="1" xfId="0" applyNumberFormat="1" applyFill="1" applyBorder="1"/>
    <xf numFmtId="166" fontId="0" fillId="14" borderId="1" xfId="0" applyNumberFormat="1" applyFill="1" applyBorder="1"/>
    <xf numFmtId="168" fontId="50" fillId="29" borderId="1" xfId="3" applyNumberFormat="1" applyFont="1" applyFill="1" applyBorder="1" applyAlignment="1">
      <alignment horizontal="left" vertical="center"/>
    </xf>
    <xf numFmtId="168" fontId="26" fillId="29" borderId="1" xfId="3" applyNumberFormat="1" applyFont="1" applyFill="1" applyBorder="1" applyAlignment="1">
      <alignment horizontal="right" vertical="center"/>
    </xf>
    <xf numFmtId="169" fontId="48"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57" fillId="10" borderId="1" xfId="4" applyFont="1" applyFill="1" applyBorder="1" applyAlignment="1">
      <alignment horizontal="right"/>
    </xf>
    <xf numFmtId="0" fontId="35" fillId="10" borderId="1" xfId="4" applyFont="1" applyFill="1" applyBorder="1" applyAlignment="1">
      <alignment horizontal="right"/>
    </xf>
    <xf numFmtId="0" fontId="0" fillId="0" borderId="0" xfId="0" applyAlignment="1">
      <alignment horizontal="center"/>
    </xf>
    <xf numFmtId="2" fontId="27" fillId="0" borderId="0" xfId="0" applyNumberFormat="1" applyFont="1"/>
    <xf numFmtId="0" fontId="68" fillId="0" borderId="0" xfId="0" applyFont="1" applyAlignment="1">
      <alignment horizontal="center"/>
    </xf>
    <xf numFmtId="0" fontId="68" fillId="0" borderId="0" xfId="0" applyFont="1"/>
    <xf numFmtId="14" fontId="68" fillId="0" borderId="0" xfId="0" applyNumberFormat="1" applyFont="1"/>
    <xf numFmtId="0" fontId="69"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30" fillId="15" borderId="1" xfId="0" applyFont="1" applyFill="1" applyBorder="1"/>
    <xf numFmtId="0" fontId="30"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7" fillId="0" borderId="0" xfId="0" applyNumberFormat="1" applyFont="1"/>
    <xf numFmtId="14" fontId="50" fillId="29" borderId="1" xfId="0" applyNumberFormat="1" applyFont="1" applyFill="1" applyBorder="1" applyAlignment="1">
      <alignment horizontal="center" vertical="center"/>
    </xf>
    <xf numFmtId="2" fontId="50"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70" fillId="0" borderId="0" xfId="0" applyFont="1" applyAlignment="1">
      <alignment horizontal="center"/>
    </xf>
    <xf numFmtId="0" fontId="70"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71" fillId="0" borderId="1" xfId="0" applyFont="1" applyFill="1" applyBorder="1" applyAlignment="1">
      <alignment horizontal="left" vertical="center"/>
    </xf>
    <xf numFmtId="0" fontId="72" fillId="0" borderId="1" xfId="0" applyFont="1" applyFill="1" applyBorder="1" applyAlignment="1">
      <alignment horizontal="left" vertical="center"/>
    </xf>
    <xf numFmtId="169" fontId="29" fillId="0" borderId="0" xfId="0" applyNumberFormat="1" applyFont="1"/>
    <xf numFmtId="0" fontId="0" fillId="0" borderId="0" xfId="0" applyAlignment="1">
      <alignment horizontal="center"/>
    </xf>
    <xf numFmtId="168" fontId="73" fillId="29" borderId="1" xfId="3" applyNumberFormat="1" applyFont="1" applyFill="1" applyBorder="1" applyAlignment="1">
      <alignment horizontal="right" vertical="center"/>
    </xf>
    <xf numFmtId="168" fontId="74" fillId="29" borderId="1" xfId="3" applyNumberFormat="1" applyFont="1" applyFill="1" applyBorder="1" applyAlignment="1">
      <alignment horizontal="right" vertical="center"/>
    </xf>
    <xf numFmtId="168" fontId="50" fillId="29" borderId="1" xfId="3" applyNumberFormat="1" applyFont="1" applyFill="1" applyBorder="1" applyAlignment="1">
      <alignment horizontal="center" vertical="center"/>
    </xf>
    <xf numFmtId="0" fontId="57" fillId="23" borderId="1" xfId="4" applyFont="1" applyFill="1" applyBorder="1" applyAlignment="1">
      <alignment horizontal="right"/>
    </xf>
    <xf numFmtId="0" fontId="38" fillId="37" borderId="0" xfId="0" applyFont="1" applyFill="1" applyBorder="1" applyAlignment="1">
      <alignment horizontal="center" vertical="center"/>
    </xf>
    <xf numFmtId="168" fontId="50" fillId="29" borderId="0" xfId="3" applyNumberFormat="1" applyFont="1" applyFill="1" applyBorder="1" applyAlignment="1">
      <alignment horizontal="right" vertical="center"/>
    </xf>
    <xf numFmtId="168" fontId="26" fillId="29" borderId="0" xfId="3" applyNumberFormat="1" applyFont="1" applyFill="1" applyBorder="1" applyAlignment="1">
      <alignment horizontal="right" vertical="center"/>
    </xf>
    <xf numFmtId="168" fontId="74" fillId="29" borderId="0" xfId="3" applyNumberFormat="1" applyFont="1" applyFill="1" applyBorder="1" applyAlignment="1">
      <alignment horizontal="right" vertical="center"/>
    </xf>
    <xf numFmtId="0" fontId="0" fillId="0" borderId="0" xfId="0" applyAlignment="1">
      <alignment horizontal="center"/>
    </xf>
    <xf numFmtId="171" fontId="50" fillId="29" borderId="1" xfId="3" applyNumberFormat="1" applyFont="1" applyFill="1" applyBorder="1" applyAlignment="1">
      <alignment horizontal="center" vertical="center"/>
    </xf>
    <xf numFmtId="0" fontId="2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29" fillId="0" borderId="1" xfId="0" applyNumberFormat="1" applyFont="1" applyFill="1" applyBorder="1" applyAlignment="1">
      <alignment horizontal="center"/>
    </xf>
    <xf numFmtId="169" fontId="2" fillId="0" borderId="0" xfId="0" applyNumberFormat="1" applyFont="1"/>
    <xf numFmtId="0" fontId="46" fillId="0" borderId="1" xfId="0" applyFont="1" applyFill="1" applyBorder="1" applyAlignment="1">
      <alignment horizontal="left" vertical="center"/>
    </xf>
    <xf numFmtId="0" fontId="30" fillId="0" borderId="0" xfId="0" applyFont="1" applyFill="1" applyBorder="1" applyAlignment="1">
      <alignment horizontal="center"/>
    </xf>
    <xf numFmtId="0" fontId="0" fillId="0" borderId="1" xfId="0" applyBorder="1" applyAlignment="1">
      <alignment horizontal="right"/>
    </xf>
    <xf numFmtId="0" fontId="30" fillId="0" borderId="1" xfId="0" applyFont="1" applyBorder="1" applyAlignment="1">
      <alignment horizontal="center"/>
    </xf>
    <xf numFmtId="169" fontId="50" fillId="26" borderId="1" xfId="0" applyNumberFormat="1" applyFont="1" applyFill="1" applyBorder="1" applyAlignment="1">
      <alignment horizontal="center" vertical="center"/>
    </xf>
    <xf numFmtId="0" fontId="32" fillId="2" borderId="0" xfId="0" applyFont="1" applyFill="1" applyAlignment="1">
      <alignment horizontal="center" wrapText="1"/>
    </xf>
    <xf numFmtId="0" fontId="23" fillId="32"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35" borderId="0" xfId="0" applyFont="1" applyFill="1" applyAlignment="1">
      <alignment horizontal="center" wrapText="1"/>
    </xf>
    <xf numFmtId="0" fontId="23" fillId="36" borderId="0" xfId="0" applyFont="1" applyFill="1" applyAlignment="1">
      <alignment horizontal="center" wrapText="1"/>
    </xf>
    <xf numFmtId="0" fontId="40" fillId="38" borderId="1" xfId="0" applyFont="1" applyFill="1" applyBorder="1" applyAlignment="1">
      <alignment horizontal="center" vertical="top" wrapText="1"/>
    </xf>
    <xf numFmtId="0" fontId="41" fillId="39"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14" fontId="0" fillId="0" borderId="1" xfId="0" applyNumberFormat="1" applyBorder="1" applyAlignment="1">
      <alignment horizontal="center"/>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2" fillId="3" borderId="3" xfId="0" applyFont="1" applyFill="1" applyBorder="1" applyAlignment="1">
      <alignment horizontal="center"/>
    </xf>
    <xf numFmtId="0" fontId="22" fillId="3" borderId="4" xfId="0" applyFont="1" applyFill="1" applyBorder="1" applyAlignment="1">
      <alignment horizontal="center"/>
    </xf>
    <xf numFmtId="0" fontId="22" fillId="3"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5" fillId="26" borderId="1" xfId="0" applyFont="1" applyFill="1" applyBorder="1" applyAlignment="1">
      <alignment horizontal="left" vertical="top" wrapText="1" indent="1"/>
    </xf>
  </cellXfs>
  <cellStyles count="5">
    <cellStyle name="Excel Built-in Normal" xfId="4" xr:uid="{00000000-0005-0000-0000-000001000000}"/>
    <cellStyle name="Millares" xfId="3" builtinId="3"/>
    <cellStyle name="Moneda" xfId="1" builtinId="4"/>
    <cellStyle name="Normal" xfId="0" builtinId="0"/>
    <cellStyle name="Porcentaje" xfId="2" builtinId="5"/>
  </cellStyles>
  <dxfs count="15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567578496"/>
        <c:axId val="-567579040"/>
      </c:barChart>
      <c:catAx>
        <c:axId val="-567578496"/>
        <c:scaling>
          <c:orientation val="minMax"/>
        </c:scaling>
        <c:delete val="0"/>
        <c:axPos val="b"/>
        <c:numFmt formatCode="General" sourceLinked="1"/>
        <c:majorTickMark val="out"/>
        <c:minorTickMark val="none"/>
        <c:tickLblPos val="nextTo"/>
        <c:crossAx val="-567579040"/>
        <c:crosses val="autoZero"/>
        <c:auto val="1"/>
        <c:lblAlgn val="ctr"/>
        <c:lblOffset val="100"/>
        <c:noMultiLvlLbl val="0"/>
      </c:catAx>
      <c:valAx>
        <c:axId val="-567579040"/>
        <c:scaling>
          <c:orientation val="minMax"/>
        </c:scaling>
        <c:delete val="0"/>
        <c:axPos val="l"/>
        <c:majorGridlines/>
        <c:numFmt formatCode="_-* #,##0\ [$€-C0A]_-;\-* #,##0\ [$€-C0A]_-;_-* &quot;-&quot;??\ [$€-C0A]_-;_-@_-" sourceLinked="1"/>
        <c:majorTickMark val="out"/>
        <c:minorTickMark val="none"/>
        <c:tickLblPos val="nextTo"/>
        <c:crossAx val="-567578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567586112"/>
        <c:axId val="-567582304"/>
      </c:barChart>
      <c:catAx>
        <c:axId val="-567586112"/>
        <c:scaling>
          <c:orientation val="minMax"/>
        </c:scaling>
        <c:delete val="0"/>
        <c:axPos val="b"/>
        <c:numFmt formatCode="General" sourceLinked="1"/>
        <c:majorTickMark val="out"/>
        <c:minorTickMark val="none"/>
        <c:tickLblPos val="nextTo"/>
        <c:crossAx val="-567582304"/>
        <c:crosses val="autoZero"/>
        <c:auto val="1"/>
        <c:lblAlgn val="ctr"/>
        <c:lblOffset val="100"/>
        <c:noMultiLvlLbl val="0"/>
      </c:catAx>
      <c:valAx>
        <c:axId val="-567582304"/>
        <c:scaling>
          <c:orientation val="minMax"/>
        </c:scaling>
        <c:delete val="0"/>
        <c:axPos val="l"/>
        <c:majorGridlines/>
        <c:numFmt formatCode="_-* #,##0\ [$€-C0A]_-;\-* #,##0\ [$€-C0A]_-;_-* &quot;-&quot;??\ [$€-C0A]_-;_-@_-" sourceLinked="1"/>
        <c:majorTickMark val="out"/>
        <c:minorTickMark val="none"/>
        <c:tickLblPos val="nextTo"/>
        <c:crossAx val="-567586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567583392"/>
        <c:axId val="-567574144"/>
      </c:barChart>
      <c:catAx>
        <c:axId val="-567583392"/>
        <c:scaling>
          <c:orientation val="minMax"/>
        </c:scaling>
        <c:delete val="0"/>
        <c:axPos val="b"/>
        <c:numFmt formatCode="General" sourceLinked="1"/>
        <c:majorTickMark val="out"/>
        <c:minorTickMark val="none"/>
        <c:tickLblPos val="nextTo"/>
        <c:crossAx val="-567574144"/>
        <c:crosses val="autoZero"/>
        <c:auto val="1"/>
        <c:lblAlgn val="ctr"/>
        <c:lblOffset val="100"/>
        <c:noMultiLvlLbl val="0"/>
      </c:catAx>
      <c:valAx>
        <c:axId val="-567574144"/>
        <c:scaling>
          <c:orientation val="minMax"/>
        </c:scaling>
        <c:delete val="0"/>
        <c:axPos val="l"/>
        <c:majorGridlines/>
        <c:numFmt formatCode="_-* #,##0\ [$€-C0A]_-;\-* #,##0\ [$€-C0A]_-;_-* &quot;-&quot;??\ [$€-C0A]_-;_-@_-" sourceLinked="1"/>
        <c:majorTickMark val="out"/>
        <c:minorTickMark val="none"/>
        <c:tickLblPos val="nextTo"/>
        <c:crossAx val="-567583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567581216"/>
        <c:axId val="-567580672"/>
      </c:barChart>
      <c:catAx>
        <c:axId val="-567581216"/>
        <c:scaling>
          <c:orientation val="minMax"/>
        </c:scaling>
        <c:delete val="0"/>
        <c:axPos val="b"/>
        <c:numFmt formatCode="General" sourceLinked="1"/>
        <c:majorTickMark val="out"/>
        <c:minorTickMark val="none"/>
        <c:tickLblPos val="nextTo"/>
        <c:crossAx val="-567580672"/>
        <c:crosses val="autoZero"/>
        <c:auto val="1"/>
        <c:lblAlgn val="ctr"/>
        <c:lblOffset val="100"/>
        <c:noMultiLvlLbl val="0"/>
      </c:catAx>
      <c:valAx>
        <c:axId val="-567580672"/>
        <c:scaling>
          <c:orientation val="minMax"/>
        </c:scaling>
        <c:delete val="0"/>
        <c:axPos val="l"/>
        <c:majorGridlines/>
        <c:numFmt formatCode="_-* #,##0\ [$€-C0A]_-;\-* #,##0\ [$€-C0A]_-;_-* &quot;-&quot;??\ [$€-C0A]_-;_-@_-" sourceLinked="1"/>
        <c:majorTickMark val="out"/>
        <c:minorTickMark val="none"/>
        <c:tickLblPos val="nextTo"/>
        <c:crossAx val="-567581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567572512"/>
        <c:axId val="-567571968"/>
      </c:barChart>
      <c:catAx>
        <c:axId val="-567572512"/>
        <c:scaling>
          <c:orientation val="minMax"/>
        </c:scaling>
        <c:delete val="0"/>
        <c:axPos val="b"/>
        <c:numFmt formatCode="General" sourceLinked="1"/>
        <c:majorTickMark val="out"/>
        <c:minorTickMark val="none"/>
        <c:tickLblPos val="nextTo"/>
        <c:crossAx val="-567571968"/>
        <c:crosses val="autoZero"/>
        <c:auto val="1"/>
        <c:lblAlgn val="ctr"/>
        <c:lblOffset val="100"/>
        <c:noMultiLvlLbl val="0"/>
      </c:catAx>
      <c:valAx>
        <c:axId val="-567571968"/>
        <c:scaling>
          <c:orientation val="minMax"/>
        </c:scaling>
        <c:delete val="0"/>
        <c:axPos val="l"/>
        <c:majorGridlines/>
        <c:numFmt formatCode="_-* #,##0\ [$€-C0A]_-;\-* #,##0\ [$€-C0A]_-;_-* &quot;-&quot;??\ [$€-C0A]_-;_-@_-" sourceLinked="1"/>
        <c:majorTickMark val="out"/>
        <c:minorTickMark val="none"/>
        <c:tickLblPos val="nextTo"/>
        <c:crossAx val="-567572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567575232"/>
        <c:axId val="-567583936"/>
      </c:barChart>
      <c:catAx>
        <c:axId val="-567575232"/>
        <c:scaling>
          <c:orientation val="minMax"/>
        </c:scaling>
        <c:delete val="0"/>
        <c:axPos val="b"/>
        <c:numFmt formatCode="General" sourceLinked="1"/>
        <c:majorTickMark val="out"/>
        <c:minorTickMark val="none"/>
        <c:tickLblPos val="nextTo"/>
        <c:crossAx val="-567583936"/>
        <c:crosses val="autoZero"/>
        <c:auto val="1"/>
        <c:lblAlgn val="ctr"/>
        <c:lblOffset val="100"/>
        <c:noMultiLvlLbl val="0"/>
      </c:catAx>
      <c:valAx>
        <c:axId val="-567583936"/>
        <c:scaling>
          <c:orientation val="minMax"/>
        </c:scaling>
        <c:delete val="0"/>
        <c:axPos val="l"/>
        <c:majorGridlines/>
        <c:numFmt formatCode="_-* #,##0\ [$€-C0A]_-;\-* #,##0\ [$€-C0A]_-;_-* &quot;-&quot;??\ [$€-C0A]_-;_-@_-" sourceLinked="1"/>
        <c:majorTickMark val="out"/>
        <c:minorTickMark val="none"/>
        <c:tickLblPos val="nextTo"/>
        <c:crossAx val="-567575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T43" sqref="T43"/>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41"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66" t="s">
        <v>196</v>
      </c>
      <c r="B1" s="166"/>
      <c r="C1" s="166"/>
      <c r="D1" s="166"/>
      <c r="E1" s="166"/>
      <c r="F1" s="166"/>
      <c r="G1" s="166"/>
      <c r="H1" s="239"/>
      <c r="I1" s="166"/>
      <c r="J1" s="166"/>
      <c r="K1" s="166"/>
      <c r="L1" s="166"/>
      <c r="M1" s="166"/>
      <c r="N1" s="166"/>
      <c r="O1" s="166"/>
      <c r="P1" s="166"/>
      <c r="Q1" s="166"/>
      <c r="R1" s="166"/>
      <c r="S1" s="166"/>
      <c r="T1" s="166"/>
      <c r="U1" s="166"/>
      <c r="V1" s="166"/>
      <c r="W1" s="166"/>
      <c r="X1" s="234"/>
      <c r="Y1" s="167" t="s">
        <v>197</v>
      </c>
    </row>
    <row r="2" spans="1:45" x14ac:dyDescent="0.25">
      <c r="A2" s="218" t="s">
        <v>168</v>
      </c>
      <c r="B2" s="168">
        <v>17</v>
      </c>
      <c r="C2" s="168">
        <v>18</v>
      </c>
      <c r="D2" s="168">
        <v>19</v>
      </c>
      <c r="E2" s="168">
        <v>20</v>
      </c>
      <c r="F2" s="168">
        <v>21</v>
      </c>
      <c r="G2" s="243">
        <v>22</v>
      </c>
      <c r="H2" s="168">
        <v>23</v>
      </c>
      <c r="I2" s="168">
        <v>24</v>
      </c>
      <c r="J2" s="168">
        <v>25</v>
      </c>
      <c r="K2" s="168">
        <v>26</v>
      </c>
      <c r="L2" s="168">
        <v>27</v>
      </c>
      <c r="M2" s="244">
        <v>28</v>
      </c>
      <c r="N2" s="244">
        <v>29</v>
      </c>
      <c r="O2" s="244">
        <v>30</v>
      </c>
      <c r="P2" s="244">
        <v>31</v>
      </c>
      <c r="Q2" s="168">
        <v>32</v>
      </c>
      <c r="R2" s="168">
        <v>33</v>
      </c>
      <c r="S2" s="168">
        <v>34</v>
      </c>
      <c r="T2" s="168">
        <v>35</v>
      </c>
      <c r="U2" s="168">
        <v>36</v>
      </c>
      <c r="V2" s="168">
        <v>37</v>
      </c>
      <c r="W2" s="168">
        <v>38</v>
      </c>
      <c r="X2" s="235"/>
      <c r="Y2" s="166" t="s">
        <v>198</v>
      </c>
    </row>
    <row r="3" spans="1:45" ht="16.5" thickBot="1" x14ac:dyDescent="0.3">
      <c r="A3" s="169">
        <v>0.05</v>
      </c>
      <c r="B3" s="164">
        <v>3.2</v>
      </c>
      <c r="C3" s="164">
        <v>3.7</v>
      </c>
      <c r="D3" s="164">
        <v>4.0999999999999996</v>
      </c>
      <c r="E3" s="164">
        <v>4.4000000000000004</v>
      </c>
      <c r="F3" s="273">
        <v>4.5999999999999996</v>
      </c>
      <c r="G3" s="240">
        <v>4.7</v>
      </c>
      <c r="H3" s="273">
        <v>4.55</v>
      </c>
      <c r="I3" s="164">
        <v>4.4000000000000004</v>
      </c>
      <c r="J3" s="164">
        <v>4.25</v>
      </c>
      <c r="K3" s="164">
        <v>4.0999999999999996</v>
      </c>
      <c r="L3" s="164">
        <v>3.95</v>
      </c>
      <c r="M3" s="245">
        <v>3.8</v>
      </c>
      <c r="N3" s="245">
        <v>3.6500000000000004</v>
      </c>
      <c r="O3" s="245">
        <v>3.5</v>
      </c>
      <c r="P3" s="245">
        <v>3.3499999999999996</v>
      </c>
      <c r="Q3" s="164">
        <v>3.1500000000000004</v>
      </c>
      <c r="R3" s="164">
        <v>2.95</v>
      </c>
      <c r="S3" s="164">
        <v>2.65</v>
      </c>
      <c r="T3" s="164">
        <v>2.2999999999999998</v>
      </c>
      <c r="U3" s="164">
        <v>1.9</v>
      </c>
      <c r="V3" s="164">
        <v>1.4500000000000002</v>
      </c>
      <c r="W3" s="164">
        <v>0.95</v>
      </c>
      <c r="X3" s="236"/>
      <c r="Y3" s="166"/>
    </row>
    <row r="4" spans="1:45" ht="16.5" thickBot="1" x14ac:dyDescent="0.3">
      <c r="A4" s="169">
        <v>0.06</v>
      </c>
      <c r="B4" s="164">
        <v>3.5700000000000003</v>
      </c>
      <c r="C4" s="164">
        <v>4.07</v>
      </c>
      <c r="D4" s="164">
        <v>4.47</v>
      </c>
      <c r="E4" s="164">
        <v>4.7699999999999996</v>
      </c>
      <c r="F4" s="273">
        <v>4.97</v>
      </c>
      <c r="G4" s="240">
        <v>5.07</v>
      </c>
      <c r="H4" s="273">
        <v>4.92</v>
      </c>
      <c r="I4" s="164">
        <v>4.7699999999999996</v>
      </c>
      <c r="J4" s="164">
        <v>4.62</v>
      </c>
      <c r="K4" s="164">
        <v>4.47</v>
      </c>
      <c r="L4" s="164">
        <v>4.32</v>
      </c>
      <c r="M4" s="245">
        <v>4.17</v>
      </c>
      <c r="N4" s="245">
        <v>4.0199999999999996</v>
      </c>
      <c r="O4" s="245">
        <v>3.87</v>
      </c>
      <c r="P4" s="245">
        <v>3.7199999999999998</v>
      </c>
      <c r="Q4" s="164">
        <v>3.5199999999999996</v>
      </c>
      <c r="R4" s="164">
        <v>3.3200000000000003</v>
      </c>
      <c r="S4" s="164">
        <v>3.0199999999999996</v>
      </c>
      <c r="T4" s="164">
        <v>2.67</v>
      </c>
      <c r="U4" s="164">
        <v>2.27</v>
      </c>
      <c r="V4" s="164">
        <v>1.8199999999999998</v>
      </c>
      <c r="W4" s="164">
        <v>1.3199999999999998</v>
      </c>
      <c r="X4" s="236"/>
      <c r="Y4" s="146" t="s">
        <v>199</v>
      </c>
      <c r="Z4" s="146">
        <v>0</v>
      </c>
      <c r="AA4" s="146">
        <v>5</v>
      </c>
      <c r="AB4" s="146">
        <v>10</v>
      </c>
      <c r="AC4" s="146">
        <v>15</v>
      </c>
      <c r="AD4" s="146">
        <v>20</v>
      </c>
      <c r="AE4" s="146">
        <v>25</v>
      </c>
      <c r="AF4" s="146">
        <v>30</v>
      </c>
      <c r="AG4" s="146">
        <v>35</v>
      </c>
      <c r="AH4" s="146">
        <v>40</v>
      </c>
      <c r="AI4" s="146">
        <v>45</v>
      </c>
      <c r="AJ4" s="146">
        <v>50</v>
      </c>
      <c r="AK4" s="146">
        <v>55</v>
      </c>
      <c r="AL4" s="146">
        <v>60</v>
      </c>
      <c r="AM4" s="146">
        <v>65</v>
      </c>
      <c r="AN4" s="146">
        <v>70</v>
      </c>
      <c r="AO4" s="146">
        <v>75</v>
      </c>
      <c r="AP4" s="146">
        <v>80</v>
      </c>
      <c r="AQ4" s="146">
        <v>85</v>
      </c>
      <c r="AR4" s="146">
        <v>90</v>
      </c>
      <c r="AS4" s="146" t="s">
        <v>200</v>
      </c>
    </row>
    <row r="5" spans="1:45" ht="16.5" thickBot="1" x14ac:dyDescent="0.3">
      <c r="A5" s="169">
        <v>7.0000000000000007E-2</v>
      </c>
      <c r="B5" s="164">
        <v>3.92</v>
      </c>
      <c r="C5" s="164">
        <v>4.42</v>
      </c>
      <c r="D5" s="164">
        <v>4.82</v>
      </c>
      <c r="E5" s="164">
        <v>5.12</v>
      </c>
      <c r="F5" s="273">
        <v>5.32</v>
      </c>
      <c r="G5" s="246">
        <v>5.42</v>
      </c>
      <c r="H5" s="273">
        <v>5.27</v>
      </c>
      <c r="I5" s="164">
        <v>5.12</v>
      </c>
      <c r="J5" s="164">
        <v>4.97</v>
      </c>
      <c r="K5" s="164">
        <v>4.82</v>
      </c>
      <c r="L5" s="164">
        <v>4.67</v>
      </c>
      <c r="M5" s="245">
        <v>4.5199999999999996</v>
      </c>
      <c r="N5" s="245">
        <v>4.37</v>
      </c>
      <c r="O5" s="245">
        <v>4.22</v>
      </c>
      <c r="P5" s="245">
        <v>4.07</v>
      </c>
      <c r="Q5" s="164">
        <v>3.87</v>
      </c>
      <c r="R5" s="164">
        <v>3.67</v>
      </c>
      <c r="S5" s="164">
        <v>3.37</v>
      </c>
      <c r="T5" s="164">
        <v>3.0199999999999996</v>
      </c>
      <c r="U5" s="164">
        <v>2.62</v>
      </c>
      <c r="V5" s="164">
        <v>2.17</v>
      </c>
      <c r="W5" s="164">
        <v>1.67</v>
      </c>
      <c r="X5" s="236"/>
      <c r="Y5" s="146">
        <v>9</v>
      </c>
      <c r="Z5" s="146">
        <v>100</v>
      </c>
      <c r="AA5" s="146">
        <v>100</v>
      </c>
      <c r="AB5" s="146">
        <v>100</v>
      </c>
      <c r="AC5" s="146">
        <v>100</v>
      </c>
      <c r="AD5" s="146">
        <v>100</v>
      </c>
      <c r="AE5" s="146">
        <v>100</v>
      </c>
      <c r="AF5" s="146">
        <v>100</v>
      </c>
      <c r="AG5" s="146">
        <v>100</v>
      </c>
      <c r="AH5" s="146">
        <v>100</v>
      </c>
      <c r="AI5" s="146">
        <v>100</v>
      </c>
      <c r="AJ5" s="146">
        <v>100</v>
      </c>
      <c r="AK5" s="146">
        <v>100</v>
      </c>
      <c r="AL5" s="146">
        <v>100</v>
      </c>
      <c r="AM5" s="146">
        <v>100</v>
      </c>
      <c r="AN5" s="146">
        <v>100</v>
      </c>
      <c r="AO5" s="146">
        <v>100</v>
      </c>
      <c r="AP5" s="146">
        <v>100</v>
      </c>
      <c r="AQ5" s="146">
        <v>100</v>
      </c>
      <c r="AR5" s="146">
        <v>99</v>
      </c>
      <c r="AS5" s="146">
        <v>99.95</v>
      </c>
    </row>
    <row r="6" spans="1:45" ht="19.5" thickBot="1" x14ac:dyDescent="0.35">
      <c r="A6" s="169">
        <v>0.08</v>
      </c>
      <c r="B6" s="292">
        <v>4.24</v>
      </c>
      <c r="C6" s="292">
        <v>4.74</v>
      </c>
      <c r="D6" s="292">
        <v>5.14</v>
      </c>
      <c r="E6" s="292">
        <v>5.44</v>
      </c>
      <c r="F6" s="292">
        <v>5.64</v>
      </c>
      <c r="G6" s="240">
        <v>5.74</v>
      </c>
      <c r="H6" s="292">
        <v>5.59</v>
      </c>
      <c r="I6" s="292">
        <v>5.44</v>
      </c>
      <c r="J6" s="292">
        <v>5.29</v>
      </c>
      <c r="K6" s="292">
        <v>5.14</v>
      </c>
      <c r="L6" s="292">
        <v>4.99</v>
      </c>
      <c r="M6" s="245">
        <v>4.84</v>
      </c>
      <c r="N6" s="245">
        <v>4.6900000000000004</v>
      </c>
      <c r="O6" s="245">
        <v>4.54</v>
      </c>
      <c r="P6" s="245">
        <v>4.3899999999999997</v>
      </c>
      <c r="Q6" s="292">
        <v>4.1900000000000004</v>
      </c>
      <c r="R6" s="292">
        <v>3.99</v>
      </c>
      <c r="S6" s="292">
        <v>3.6900000000000004</v>
      </c>
      <c r="T6" s="292">
        <v>3.34</v>
      </c>
      <c r="U6" s="292">
        <v>2.94</v>
      </c>
      <c r="V6" s="292">
        <v>2.4900000000000002</v>
      </c>
      <c r="W6" s="292">
        <v>1.9900000000000002</v>
      </c>
      <c r="X6" s="237"/>
      <c r="Y6" s="146">
        <v>8.9</v>
      </c>
      <c r="Z6" s="146">
        <v>100</v>
      </c>
      <c r="AA6" s="146">
        <v>100</v>
      </c>
      <c r="AB6" s="146">
        <v>100</v>
      </c>
      <c r="AC6" s="146">
        <v>100</v>
      </c>
      <c r="AD6" s="146">
        <v>100</v>
      </c>
      <c r="AE6" s="146">
        <v>100</v>
      </c>
      <c r="AF6" s="146">
        <v>100</v>
      </c>
      <c r="AG6" s="146">
        <v>100</v>
      </c>
      <c r="AH6" s="146">
        <v>100</v>
      </c>
      <c r="AI6" s="146">
        <v>100</v>
      </c>
      <c r="AJ6" s="146">
        <v>100</v>
      </c>
      <c r="AK6" s="146">
        <v>100</v>
      </c>
      <c r="AL6" s="146">
        <v>100</v>
      </c>
      <c r="AM6" s="146">
        <v>100</v>
      </c>
      <c r="AN6" s="146">
        <v>100</v>
      </c>
      <c r="AO6" s="146">
        <v>100</v>
      </c>
      <c r="AP6" s="146">
        <v>100</v>
      </c>
      <c r="AQ6" s="146">
        <v>100</v>
      </c>
      <c r="AR6" s="146">
        <v>98</v>
      </c>
      <c r="AS6" s="146">
        <v>99.89</v>
      </c>
    </row>
    <row r="7" spans="1:45" ht="16.5" thickBot="1" x14ac:dyDescent="0.3">
      <c r="A7" s="169">
        <v>0.09</v>
      </c>
      <c r="B7" s="292">
        <v>4.53</v>
      </c>
      <c r="C7" s="292">
        <v>5.03</v>
      </c>
      <c r="D7" s="292">
        <v>5.43</v>
      </c>
      <c r="E7" s="292">
        <v>5.73</v>
      </c>
      <c r="F7" s="292">
        <v>5.93</v>
      </c>
      <c r="G7" s="246">
        <v>6.03</v>
      </c>
      <c r="H7" s="292">
        <v>5.88</v>
      </c>
      <c r="I7" s="292">
        <v>5.73</v>
      </c>
      <c r="J7" s="292">
        <v>5.58</v>
      </c>
      <c r="K7" s="292">
        <v>5.43</v>
      </c>
      <c r="L7" s="292">
        <v>5.28</v>
      </c>
      <c r="M7" s="245">
        <v>5.13</v>
      </c>
      <c r="N7" s="245">
        <v>4.9800000000000004</v>
      </c>
      <c r="O7" s="245">
        <v>4.83</v>
      </c>
      <c r="P7" s="245">
        <v>4.68</v>
      </c>
      <c r="Q7" s="292">
        <v>4.4800000000000004</v>
      </c>
      <c r="R7" s="292">
        <v>4.28</v>
      </c>
      <c r="S7" s="292">
        <v>3.9800000000000004</v>
      </c>
      <c r="T7" s="292">
        <v>3.63</v>
      </c>
      <c r="U7" s="292">
        <v>3.2300000000000004</v>
      </c>
      <c r="V7" s="292">
        <v>2.78</v>
      </c>
      <c r="W7" s="292">
        <v>2.2799999999999998</v>
      </c>
      <c r="X7" s="236"/>
      <c r="Y7" s="146">
        <v>8.8000000000000007</v>
      </c>
      <c r="Z7" s="146">
        <v>100</v>
      </c>
      <c r="AA7" s="146">
        <v>100</v>
      </c>
      <c r="AB7" s="146">
        <v>100</v>
      </c>
      <c r="AC7" s="146">
        <v>100</v>
      </c>
      <c r="AD7" s="146">
        <v>100</v>
      </c>
      <c r="AE7" s="146">
        <v>100</v>
      </c>
      <c r="AF7" s="146">
        <v>100</v>
      </c>
      <c r="AG7" s="146">
        <v>100</v>
      </c>
      <c r="AH7" s="146">
        <v>100</v>
      </c>
      <c r="AI7" s="146">
        <v>100</v>
      </c>
      <c r="AJ7" s="146">
        <v>100</v>
      </c>
      <c r="AK7" s="146">
        <v>100</v>
      </c>
      <c r="AL7" s="146">
        <v>100</v>
      </c>
      <c r="AM7" s="146">
        <v>100</v>
      </c>
      <c r="AN7" s="146">
        <v>100</v>
      </c>
      <c r="AO7" s="146">
        <v>100</v>
      </c>
      <c r="AP7" s="146">
        <v>100</v>
      </c>
      <c r="AQ7" s="146">
        <v>100</v>
      </c>
      <c r="AR7" s="146">
        <v>97</v>
      </c>
      <c r="AS7" s="146">
        <v>99.84</v>
      </c>
    </row>
    <row r="8" spans="1:45" ht="19.5" thickBot="1" x14ac:dyDescent="0.35">
      <c r="A8" s="170">
        <v>0.1</v>
      </c>
      <c r="B8" s="171">
        <v>4.8099999999999996</v>
      </c>
      <c r="C8" s="171">
        <v>5.31</v>
      </c>
      <c r="D8" s="171">
        <v>5.71</v>
      </c>
      <c r="E8" s="171">
        <v>6.01</v>
      </c>
      <c r="F8" s="171">
        <v>6.21</v>
      </c>
      <c r="G8" s="240">
        <v>6.31</v>
      </c>
      <c r="H8" s="171">
        <v>6.16</v>
      </c>
      <c r="I8" s="171">
        <v>6.01</v>
      </c>
      <c r="J8" s="171">
        <v>5.86</v>
      </c>
      <c r="K8" s="171">
        <v>5.71</v>
      </c>
      <c r="L8" s="171">
        <v>5.56</v>
      </c>
      <c r="M8" s="172">
        <v>5.41</v>
      </c>
      <c r="N8" s="172">
        <v>5.26</v>
      </c>
      <c r="O8" s="172">
        <v>5.1100000000000003</v>
      </c>
      <c r="P8" s="172">
        <v>4.96</v>
      </c>
      <c r="Q8" s="171">
        <v>4.76</v>
      </c>
      <c r="R8" s="171">
        <v>4.5599999999999996</v>
      </c>
      <c r="S8" s="171">
        <v>4.26</v>
      </c>
      <c r="T8" s="171">
        <v>3.91</v>
      </c>
      <c r="U8" s="171">
        <v>3.51</v>
      </c>
      <c r="V8" s="171">
        <v>3.0599999999999996</v>
      </c>
      <c r="W8" s="171">
        <v>2.56</v>
      </c>
      <c r="X8" s="236"/>
      <c r="Y8" s="146">
        <v>8.6999999999999993</v>
      </c>
      <c r="Z8" s="146">
        <v>100</v>
      </c>
      <c r="AA8" s="146">
        <v>100</v>
      </c>
      <c r="AB8" s="146">
        <v>100</v>
      </c>
      <c r="AC8" s="146">
        <v>100</v>
      </c>
      <c r="AD8" s="146">
        <v>100</v>
      </c>
      <c r="AE8" s="146">
        <v>100</v>
      </c>
      <c r="AF8" s="146">
        <v>100</v>
      </c>
      <c r="AG8" s="146">
        <v>100</v>
      </c>
      <c r="AH8" s="146">
        <v>100</v>
      </c>
      <c r="AI8" s="146">
        <v>100</v>
      </c>
      <c r="AJ8" s="146">
        <v>100</v>
      </c>
      <c r="AK8" s="146">
        <v>100</v>
      </c>
      <c r="AL8" s="146">
        <v>100</v>
      </c>
      <c r="AM8" s="146">
        <v>100</v>
      </c>
      <c r="AN8" s="146">
        <v>100</v>
      </c>
      <c r="AO8" s="146">
        <v>100</v>
      </c>
      <c r="AP8" s="146">
        <v>100</v>
      </c>
      <c r="AQ8" s="146">
        <v>100</v>
      </c>
      <c r="AR8" s="146">
        <v>96</v>
      </c>
      <c r="AS8" s="146">
        <v>99.79</v>
      </c>
    </row>
    <row r="9" spans="1:45" ht="16.5" thickBot="1" x14ac:dyDescent="0.3">
      <c r="A9" s="169">
        <v>0.11</v>
      </c>
      <c r="B9" s="164">
        <v>5.0599999999999996</v>
      </c>
      <c r="C9" s="164">
        <v>5.56</v>
      </c>
      <c r="D9" s="164">
        <v>5.96</v>
      </c>
      <c r="E9" s="164">
        <v>6.26</v>
      </c>
      <c r="F9" s="273">
        <v>6.46</v>
      </c>
      <c r="G9" s="246">
        <v>6.56</v>
      </c>
      <c r="H9" s="273">
        <v>6.41</v>
      </c>
      <c r="I9" s="164">
        <v>6.26</v>
      </c>
      <c r="J9" s="164">
        <v>6.11</v>
      </c>
      <c r="K9" s="164">
        <v>5.96</v>
      </c>
      <c r="L9" s="164">
        <v>5.81</v>
      </c>
      <c r="M9" s="245">
        <v>5.66</v>
      </c>
      <c r="N9" s="245">
        <v>5.51</v>
      </c>
      <c r="O9" s="245">
        <v>5.36</v>
      </c>
      <c r="P9" s="245">
        <v>5.21</v>
      </c>
      <c r="Q9" s="164">
        <v>5.01</v>
      </c>
      <c r="R9" s="164">
        <v>4.8099999999999996</v>
      </c>
      <c r="S9" s="164">
        <v>4.51</v>
      </c>
      <c r="T9" s="164">
        <v>4.16</v>
      </c>
      <c r="U9" s="164">
        <v>3.76</v>
      </c>
      <c r="V9" s="164">
        <v>3.3099999999999996</v>
      </c>
      <c r="W9" s="164">
        <v>2.81</v>
      </c>
      <c r="X9" s="236"/>
      <c r="Y9" s="146">
        <v>8.6</v>
      </c>
      <c r="Z9" s="146">
        <v>100</v>
      </c>
      <c r="AA9" s="146">
        <v>100</v>
      </c>
      <c r="AB9" s="146">
        <v>100</v>
      </c>
      <c r="AC9" s="146">
        <v>100</v>
      </c>
      <c r="AD9" s="146">
        <v>100</v>
      </c>
      <c r="AE9" s="146">
        <v>100</v>
      </c>
      <c r="AF9" s="146">
        <v>100</v>
      </c>
      <c r="AG9" s="146">
        <v>100</v>
      </c>
      <c r="AH9" s="146">
        <v>100</v>
      </c>
      <c r="AI9" s="146">
        <v>100</v>
      </c>
      <c r="AJ9" s="146">
        <v>100</v>
      </c>
      <c r="AK9" s="146">
        <v>100</v>
      </c>
      <c r="AL9" s="146">
        <v>100</v>
      </c>
      <c r="AM9" s="146">
        <v>100</v>
      </c>
      <c r="AN9" s="146">
        <v>100</v>
      </c>
      <c r="AO9" s="146">
        <v>100</v>
      </c>
      <c r="AP9" s="146">
        <v>100</v>
      </c>
      <c r="AQ9" s="146">
        <v>98</v>
      </c>
      <c r="AR9" s="146">
        <v>95</v>
      </c>
      <c r="AS9" s="146">
        <v>99.63</v>
      </c>
    </row>
    <row r="10" spans="1:45" ht="19.5" thickBot="1" x14ac:dyDescent="0.35">
      <c r="A10" s="170">
        <v>0.12</v>
      </c>
      <c r="B10" s="171">
        <v>5.3</v>
      </c>
      <c r="C10" s="171">
        <v>5.8</v>
      </c>
      <c r="D10" s="171">
        <v>6.2</v>
      </c>
      <c r="E10" s="171">
        <v>6.5</v>
      </c>
      <c r="F10" s="171">
        <v>6.7</v>
      </c>
      <c r="G10" s="240">
        <v>6.8</v>
      </c>
      <c r="H10" s="171">
        <v>6.65</v>
      </c>
      <c r="I10" s="171">
        <v>6.5</v>
      </c>
      <c r="J10" s="171">
        <v>6.35</v>
      </c>
      <c r="K10" s="171">
        <v>6.2</v>
      </c>
      <c r="L10" s="171">
        <v>6.05</v>
      </c>
      <c r="M10" s="172">
        <v>5.9</v>
      </c>
      <c r="N10" s="172">
        <v>5.75</v>
      </c>
      <c r="O10" s="172">
        <v>5.6</v>
      </c>
      <c r="P10" s="172">
        <v>5.45</v>
      </c>
      <c r="Q10" s="172">
        <v>5.25</v>
      </c>
      <c r="R10" s="172">
        <v>5.05</v>
      </c>
      <c r="S10" s="172">
        <v>4.75</v>
      </c>
      <c r="T10" s="172">
        <v>4.4000000000000004</v>
      </c>
      <c r="U10" s="172">
        <v>4</v>
      </c>
      <c r="V10" s="172">
        <v>3.55</v>
      </c>
      <c r="W10" s="172">
        <v>3.05</v>
      </c>
      <c r="X10" s="235"/>
      <c r="Y10" s="146">
        <v>8.5</v>
      </c>
      <c r="Z10" s="146">
        <v>100</v>
      </c>
      <c r="AA10" s="146">
        <v>100</v>
      </c>
      <c r="AB10" s="146">
        <v>100</v>
      </c>
      <c r="AC10" s="146">
        <v>100</v>
      </c>
      <c r="AD10" s="146">
        <v>100</v>
      </c>
      <c r="AE10" s="146">
        <v>100</v>
      </c>
      <c r="AF10" s="146">
        <v>100</v>
      </c>
      <c r="AG10" s="146">
        <v>100</v>
      </c>
      <c r="AH10" s="146">
        <v>100</v>
      </c>
      <c r="AI10" s="146">
        <v>100</v>
      </c>
      <c r="AJ10" s="146">
        <v>100</v>
      </c>
      <c r="AK10" s="146">
        <v>100</v>
      </c>
      <c r="AL10" s="146">
        <v>100</v>
      </c>
      <c r="AM10" s="146">
        <v>100</v>
      </c>
      <c r="AN10" s="146">
        <v>100</v>
      </c>
      <c r="AO10" s="146">
        <v>100</v>
      </c>
      <c r="AP10" s="146">
        <v>100</v>
      </c>
      <c r="AQ10" s="146">
        <v>98</v>
      </c>
      <c r="AR10" s="146">
        <v>94</v>
      </c>
      <c r="AS10" s="146">
        <v>99.58</v>
      </c>
    </row>
    <row r="11" spans="1:45" ht="16.5" thickBot="1" x14ac:dyDescent="0.3">
      <c r="A11" s="169">
        <v>0.13</v>
      </c>
      <c r="B11" s="164">
        <v>5.52</v>
      </c>
      <c r="C11" s="164">
        <v>6.02</v>
      </c>
      <c r="D11" s="164">
        <v>6.42</v>
      </c>
      <c r="E11" s="164">
        <v>6.72</v>
      </c>
      <c r="F11" s="273">
        <v>6.92</v>
      </c>
      <c r="G11" s="247">
        <v>7.02</v>
      </c>
      <c r="H11" s="273">
        <v>6.87</v>
      </c>
      <c r="I11" s="164">
        <v>6.72</v>
      </c>
      <c r="J11" s="164">
        <v>6.57</v>
      </c>
      <c r="K11" s="164">
        <v>6.42</v>
      </c>
      <c r="L11" s="164">
        <v>6.27</v>
      </c>
      <c r="M11" s="245">
        <v>6.12</v>
      </c>
      <c r="N11" s="245">
        <v>5.97</v>
      </c>
      <c r="O11" s="245">
        <v>5.82</v>
      </c>
      <c r="P11" s="245">
        <v>5.67</v>
      </c>
      <c r="Q11" s="164">
        <v>5.47</v>
      </c>
      <c r="R11" s="164">
        <v>5.27</v>
      </c>
      <c r="S11" s="164">
        <v>4.97</v>
      </c>
      <c r="T11" s="164">
        <v>4.62</v>
      </c>
      <c r="U11" s="164">
        <v>4.22</v>
      </c>
      <c r="V11" s="164">
        <v>3.7699999999999996</v>
      </c>
      <c r="W11" s="164">
        <v>3.2699999999999996</v>
      </c>
      <c r="X11" s="236"/>
      <c r="Y11" s="146">
        <v>8.4</v>
      </c>
      <c r="Z11" s="146">
        <v>100</v>
      </c>
      <c r="AA11" s="146">
        <v>100</v>
      </c>
      <c r="AB11" s="146">
        <v>100</v>
      </c>
      <c r="AC11" s="146">
        <v>100</v>
      </c>
      <c r="AD11" s="146">
        <v>100</v>
      </c>
      <c r="AE11" s="146">
        <v>100</v>
      </c>
      <c r="AF11" s="146">
        <v>100</v>
      </c>
      <c r="AG11" s="146">
        <v>100</v>
      </c>
      <c r="AH11" s="146">
        <v>100</v>
      </c>
      <c r="AI11" s="146">
        <v>100</v>
      </c>
      <c r="AJ11" s="146">
        <v>100</v>
      </c>
      <c r="AK11" s="146">
        <v>100</v>
      </c>
      <c r="AL11" s="146">
        <v>100</v>
      </c>
      <c r="AM11" s="146">
        <v>100</v>
      </c>
      <c r="AN11" s="146">
        <v>100</v>
      </c>
      <c r="AO11" s="146">
        <v>100</v>
      </c>
      <c r="AP11" s="146">
        <v>99</v>
      </c>
      <c r="AQ11" s="146">
        <v>96</v>
      </c>
      <c r="AR11" s="146">
        <v>93</v>
      </c>
      <c r="AS11" s="146">
        <v>99.37</v>
      </c>
    </row>
    <row r="12" spans="1:45" ht="16.5" thickBot="1" x14ac:dyDescent="0.3">
      <c r="A12" s="169">
        <v>0.14000000000000001</v>
      </c>
      <c r="B12" s="164">
        <v>5.72</v>
      </c>
      <c r="C12" s="164">
        <v>6.22</v>
      </c>
      <c r="D12" s="164">
        <v>6.62</v>
      </c>
      <c r="E12" s="164">
        <v>6.92</v>
      </c>
      <c r="F12" s="273">
        <v>7.1199999999999992</v>
      </c>
      <c r="G12" s="240">
        <v>7.2200000000000006</v>
      </c>
      <c r="H12" s="273">
        <v>7.07</v>
      </c>
      <c r="I12" s="164">
        <v>6.92</v>
      </c>
      <c r="J12" s="164">
        <v>6.77</v>
      </c>
      <c r="K12" s="164">
        <v>6.62</v>
      </c>
      <c r="L12" s="164">
        <v>6.47</v>
      </c>
      <c r="M12" s="245">
        <v>6.32</v>
      </c>
      <c r="N12" s="245">
        <v>6.17</v>
      </c>
      <c r="O12" s="245">
        <v>6.02</v>
      </c>
      <c r="P12" s="245">
        <v>5.87</v>
      </c>
      <c r="Q12" s="164">
        <v>5.67</v>
      </c>
      <c r="R12" s="164">
        <v>5.47</v>
      </c>
      <c r="S12" s="164">
        <v>5.17</v>
      </c>
      <c r="T12" s="164">
        <v>4.82</v>
      </c>
      <c r="U12" s="164">
        <v>4.42</v>
      </c>
      <c r="V12" s="164">
        <v>3.9699999999999998</v>
      </c>
      <c r="W12" s="164">
        <v>3.4699999999999998</v>
      </c>
      <c r="X12" s="236"/>
      <c r="Y12" s="146">
        <v>8.3000000000000007</v>
      </c>
      <c r="Z12" s="146">
        <v>100</v>
      </c>
      <c r="AA12" s="146">
        <v>100</v>
      </c>
      <c r="AB12" s="146">
        <v>100</v>
      </c>
      <c r="AC12" s="146">
        <v>100</v>
      </c>
      <c r="AD12" s="146">
        <v>100</v>
      </c>
      <c r="AE12" s="146">
        <v>100</v>
      </c>
      <c r="AF12" s="146">
        <v>100</v>
      </c>
      <c r="AG12" s="146">
        <v>100</v>
      </c>
      <c r="AH12" s="146">
        <v>100</v>
      </c>
      <c r="AI12" s="146">
        <v>100</v>
      </c>
      <c r="AJ12" s="146">
        <v>100</v>
      </c>
      <c r="AK12" s="146">
        <v>100</v>
      </c>
      <c r="AL12" s="146">
        <v>100</v>
      </c>
      <c r="AM12" s="146">
        <v>100</v>
      </c>
      <c r="AN12" s="146">
        <v>100</v>
      </c>
      <c r="AO12" s="146">
        <v>100</v>
      </c>
      <c r="AP12" s="146">
        <v>99</v>
      </c>
      <c r="AQ12" s="146">
        <v>95</v>
      </c>
      <c r="AR12" s="146">
        <v>92</v>
      </c>
      <c r="AS12" s="146">
        <v>99.26</v>
      </c>
    </row>
    <row r="13" spans="1:45" ht="16.5" thickBot="1" x14ac:dyDescent="0.3">
      <c r="A13" s="169">
        <v>0.15</v>
      </c>
      <c r="B13" s="164">
        <v>5.91</v>
      </c>
      <c r="C13" s="164">
        <v>6.41</v>
      </c>
      <c r="D13" s="164">
        <v>6.81</v>
      </c>
      <c r="E13" s="164">
        <v>7.1099999999999994</v>
      </c>
      <c r="F13" s="273">
        <v>7.3100000000000005</v>
      </c>
      <c r="G13" s="240">
        <v>7.41</v>
      </c>
      <c r="H13" s="273">
        <v>7.26</v>
      </c>
      <c r="I13" s="164">
        <v>7.1099999999999994</v>
      </c>
      <c r="J13" s="164">
        <v>6.96</v>
      </c>
      <c r="K13" s="164">
        <v>6.81</v>
      </c>
      <c r="L13" s="164">
        <v>6.66</v>
      </c>
      <c r="M13" s="245">
        <v>6.51</v>
      </c>
      <c r="N13" s="245">
        <v>6.36</v>
      </c>
      <c r="O13" s="245">
        <v>6.21</v>
      </c>
      <c r="P13" s="245">
        <v>6.06</v>
      </c>
      <c r="Q13" s="164">
        <v>5.86</v>
      </c>
      <c r="R13" s="164">
        <v>5.66</v>
      </c>
      <c r="S13" s="164">
        <v>5.36</v>
      </c>
      <c r="T13" s="164">
        <v>5.01</v>
      </c>
      <c r="U13" s="164">
        <v>4.6100000000000003</v>
      </c>
      <c r="V13" s="164">
        <v>4.16</v>
      </c>
      <c r="W13" s="164">
        <v>3.66</v>
      </c>
      <c r="X13" s="236"/>
      <c r="Y13" s="146">
        <v>8.1999999999999993</v>
      </c>
      <c r="Z13" s="146">
        <v>100</v>
      </c>
      <c r="AA13" s="146">
        <v>100</v>
      </c>
      <c r="AB13" s="146">
        <v>100</v>
      </c>
      <c r="AC13" s="146">
        <v>100</v>
      </c>
      <c r="AD13" s="146">
        <v>100</v>
      </c>
      <c r="AE13" s="146">
        <v>100</v>
      </c>
      <c r="AF13" s="146">
        <v>100</v>
      </c>
      <c r="AG13" s="146">
        <v>100</v>
      </c>
      <c r="AH13" s="146">
        <v>100</v>
      </c>
      <c r="AI13" s="146">
        <v>100</v>
      </c>
      <c r="AJ13" s="146">
        <v>100</v>
      </c>
      <c r="AK13" s="146">
        <v>100</v>
      </c>
      <c r="AL13" s="146">
        <v>100</v>
      </c>
      <c r="AM13" s="146">
        <v>100</v>
      </c>
      <c r="AN13" s="146">
        <v>100</v>
      </c>
      <c r="AO13" s="146">
        <v>100</v>
      </c>
      <c r="AP13" s="146">
        <v>97</v>
      </c>
      <c r="AQ13" s="146">
        <v>94</v>
      </c>
      <c r="AR13" s="146">
        <v>91</v>
      </c>
      <c r="AS13" s="146">
        <v>99.05</v>
      </c>
    </row>
    <row r="14" spans="1:45" ht="16.5" thickBot="1" x14ac:dyDescent="0.3">
      <c r="A14" s="169">
        <v>0.16</v>
      </c>
      <c r="B14" s="164">
        <v>6.09</v>
      </c>
      <c r="C14" s="164">
        <v>6.59</v>
      </c>
      <c r="D14" s="164">
        <v>6.99</v>
      </c>
      <c r="E14" s="164">
        <v>7.2899999999999991</v>
      </c>
      <c r="F14" s="273">
        <v>7.49</v>
      </c>
      <c r="G14" s="246">
        <v>7.59</v>
      </c>
      <c r="H14" s="273">
        <v>7.4399999999999995</v>
      </c>
      <c r="I14" s="164">
        <v>7.2899999999999991</v>
      </c>
      <c r="J14" s="164">
        <v>7.1400000000000006</v>
      </c>
      <c r="K14" s="164">
        <v>6.99</v>
      </c>
      <c r="L14" s="164">
        <v>6.84</v>
      </c>
      <c r="M14" s="245">
        <v>6.69</v>
      </c>
      <c r="N14" s="245">
        <v>6.54</v>
      </c>
      <c r="O14" s="245">
        <v>6.39</v>
      </c>
      <c r="P14" s="245">
        <v>6.24</v>
      </c>
      <c r="Q14" s="164">
        <v>6.04</v>
      </c>
      <c r="R14" s="164">
        <v>5.84</v>
      </c>
      <c r="S14" s="164">
        <v>5.54</v>
      </c>
      <c r="T14" s="164">
        <v>5.19</v>
      </c>
      <c r="U14" s="164">
        <v>4.79</v>
      </c>
      <c r="V14" s="164">
        <v>4.34</v>
      </c>
      <c r="W14" s="164">
        <v>3.84</v>
      </c>
      <c r="X14" s="236"/>
      <c r="Y14" s="146">
        <v>8.1</v>
      </c>
      <c r="Z14" s="146">
        <v>100</v>
      </c>
      <c r="AA14" s="146">
        <v>100</v>
      </c>
      <c r="AB14" s="146">
        <v>100</v>
      </c>
      <c r="AC14" s="146">
        <v>100</v>
      </c>
      <c r="AD14" s="146">
        <v>100</v>
      </c>
      <c r="AE14" s="146">
        <v>100</v>
      </c>
      <c r="AF14" s="146">
        <v>100</v>
      </c>
      <c r="AG14" s="146">
        <v>100</v>
      </c>
      <c r="AH14" s="146">
        <v>100</v>
      </c>
      <c r="AI14" s="146">
        <v>100</v>
      </c>
      <c r="AJ14" s="146">
        <v>100</v>
      </c>
      <c r="AK14" s="146">
        <v>100</v>
      </c>
      <c r="AL14" s="146">
        <v>100</v>
      </c>
      <c r="AM14" s="146">
        <v>100</v>
      </c>
      <c r="AN14" s="146">
        <v>100</v>
      </c>
      <c r="AO14" s="146">
        <v>100</v>
      </c>
      <c r="AP14" s="146">
        <v>97</v>
      </c>
      <c r="AQ14" s="146">
        <v>93</v>
      </c>
      <c r="AR14" s="146">
        <v>90</v>
      </c>
      <c r="AS14" s="146">
        <v>98.95</v>
      </c>
    </row>
    <row r="15" spans="1:45" ht="19.5" thickBot="1" x14ac:dyDescent="0.35">
      <c r="A15" s="170">
        <v>0.17</v>
      </c>
      <c r="B15" s="171">
        <v>6.25</v>
      </c>
      <c r="C15" s="171">
        <v>6.75</v>
      </c>
      <c r="D15" s="171">
        <v>7.15</v>
      </c>
      <c r="E15" s="171">
        <v>7.4499999999999993</v>
      </c>
      <c r="F15" s="171">
        <v>7.65</v>
      </c>
      <c r="G15" s="240">
        <v>7.75</v>
      </c>
      <c r="H15" s="171">
        <v>7.6</v>
      </c>
      <c r="I15" s="171">
        <v>7.4499999999999993</v>
      </c>
      <c r="J15" s="171">
        <v>7.3000000000000007</v>
      </c>
      <c r="K15" s="171">
        <v>7.15</v>
      </c>
      <c r="L15" s="171">
        <v>7</v>
      </c>
      <c r="M15" s="172">
        <v>6.85</v>
      </c>
      <c r="N15" s="172">
        <v>6.7</v>
      </c>
      <c r="O15" s="172">
        <v>6.55</v>
      </c>
      <c r="P15" s="172">
        <v>6.4</v>
      </c>
      <c r="Q15" s="171">
        <v>6.2</v>
      </c>
      <c r="R15" s="171">
        <v>6</v>
      </c>
      <c r="S15" s="171">
        <v>5.7</v>
      </c>
      <c r="T15" s="171">
        <v>5.35</v>
      </c>
      <c r="U15" s="171">
        <v>4.95</v>
      </c>
      <c r="V15" s="171">
        <v>4.5</v>
      </c>
      <c r="W15" s="171">
        <v>4</v>
      </c>
      <c r="X15" s="237"/>
      <c r="Y15" s="146">
        <v>8</v>
      </c>
      <c r="Z15" s="146">
        <v>100</v>
      </c>
      <c r="AA15" s="146">
        <v>100</v>
      </c>
      <c r="AB15" s="146">
        <v>100</v>
      </c>
      <c r="AC15" s="146">
        <v>100</v>
      </c>
      <c r="AD15" s="146">
        <v>100</v>
      </c>
      <c r="AE15" s="146">
        <v>100</v>
      </c>
      <c r="AF15" s="146">
        <v>100</v>
      </c>
      <c r="AG15" s="146">
        <v>100</v>
      </c>
      <c r="AH15" s="146">
        <v>100</v>
      </c>
      <c r="AI15" s="146">
        <v>99</v>
      </c>
      <c r="AJ15" s="146">
        <v>100</v>
      </c>
      <c r="AK15" s="146">
        <v>100</v>
      </c>
      <c r="AL15" s="146">
        <v>100</v>
      </c>
      <c r="AM15" s="146">
        <v>100</v>
      </c>
      <c r="AN15" s="146">
        <v>100</v>
      </c>
      <c r="AO15" s="146">
        <v>99</v>
      </c>
      <c r="AP15" s="146">
        <v>95</v>
      </c>
      <c r="AQ15" s="146">
        <v>92</v>
      </c>
      <c r="AR15" s="146">
        <v>89</v>
      </c>
      <c r="AS15" s="146">
        <v>98.63</v>
      </c>
    </row>
    <row r="16" spans="1:45" ht="16.5" thickBot="1" x14ac:dyDescent="0.3">
      <c r="A16" s="169">
        <v>0.18</v>
      </c>
      <c r="B16" s="164">
        <v>6.4</v>
      </c>
      <c r="C16" s="164">
        <v>6.9</v>
      </c>
      <c r="D16" s="164">
        <v>7.3000000000000007</v>
      </c>
      <c r="E16" s="164">
        <v>7.6</v>
      </c>
      <c r="F16" s="273">
        <v>7.8000000000000007</v>
      </c>
      <c r="G16" s="247">
        <v>7.9</v>
      </c>
      <c r="H16" s="273">
        <v>7.75</v>
      </c>
      <c r="I16" s="164">
        <v>7.6</v>
      </c>
      <c r="J16" s="164">
        <v>7.4499999999999993</v>
      </c>
      <c r="K16" s="164">
        <v>7.3000000000000007</v>
      </c>
      <c r="L16" s="164">
        <v>7.15</v>
      </c>
      <c r="M16" s="245">
        <v>7</v>
      </c>
      <c r="N16" s="245">
        <v>6.85</v>
      </c>
      <c r="O16" s="245">
        <v>6.7</v>
      </c>
      <c r="P16" s="245">
        <v>6.55</v>
      </c>
      <c r="Q16" s="164">
        <v>6.35</v>
      </c>
      <c r="R16" s="164">
        <v>6.15</v>
      </c>
      <c r="S16" s="164">
        <v>5.85</v>
      </c>
      <c r="T16" s="164">
        <v>5.5</v>
      </c>
      <c r="U16" s="164">
        <v>5.0999999999999996</v>
      </c>
      <c r="V16" s="164">
        <v>4.6500000000000004</v>
      </c>
      <c r="W16" s="164">
        <v>4.1500000000000004</v>
      </c>
      <c r="X16" s="236"/>
      <c r="Y16" s="146">
        <v>7.9</v>
      </c>
      <c r="Z16" s="146">
        <v>100</v>
      </c>
      <c r="AA16" s="146">
        <v>100</v>
      </c>
      <c r="AB16" s="146">
        <v>100</v>
      </c>
      <c r="AC16" s="146">
        <v>100</v>
      </c>
      <c r="AD16" s="146">
        <v>100</v>
      </c>
      <c r="AE16" s="146">
        <v>100</v>
      </c>
      <c r="AF16" s="146">
        <v>100</v>
      </c>
      <c r="AG16" s="146">
        <v>100</v>
      </c>
      <c r="AH16" s="146">
        <v>100</v>
      </c>
      <c r="AI16" s="146">
        <v>99</v>
      </c>
      <c r="AJ16" s="146">
        <v>100</v>
      </c>
      <c r="AK16" s="146">
        <v>100</v>
      </c>
      <c r="AL16" s="146">
        <v>100</v>
      </c>
      <c r="AM16" s="146">
        <v>100</v>
      </c>
      <c r="AN16" s="146">
        <v>100</v>
      </c>
      <c r="AO16" s="146">
        <v>98</v>
      </c>
      <c r="AP16" s="146">
        <v>95</v>
      </c>
      <c r="AQ16" s="146">
        <v>92</v>
      </c>
      <c r="AR16" s="146">
        <v>88</v>
      </c>
      <c r="AS16" s="146">
        <v>98.53</v>
      </c>
    </row>
    <row r="17" spans="1:45" ht="16.5" thickBot="1" x14ac:dyDescent="0.3">
      <c r="A17" s="169">
        <v>0.19</v>
      </c>
      <c r="B17" s="164">
        <v>6.54</v>
      </c>
      <c r="C17" s="164">
        <v>7.0399999999999991</v>
      </c>
      <c r="D17" s="164">
        <v>7.4399999999999995</v>
      </c>
      <c r="E17" s="164">
        <v>7.74</v>
      </c>
      <c r="F17" s="273">
        <v>7.9399999999999995</v>
      </c>
      <c r="G17" s="246">
        <v>8.0399999999999991</v>
      </c>
      <c r="H17" s="273">
        <v>7.8900000000000006</v>
      </c>
      <c r="I17" s="164">
        <v>7.74</v>
      </c>
      <c r="J17" s="164">
        <v>7.59</v>
      </c>
      <c r="K17" s="164">
        <v>7.4399999999999995</v>
      </c>
      <c r="L17" s="164">
        <v>7.2899999999999991</v>
      </c>
      <c r="M17" s="245">
        <v>7.1400000000000006</v>
      </c>
      <c r="N17" s="245">
        <v>6.99</v>
      </c>
      <c r="O17" s="245">
        <v>6.84</v>
      </c>
      <c r="P17" s="245">
        <v>6.69</v>
      </c>
      <c r="Q17" s="164">
        <v>6.49</v>
      </c>
      <c r="R17" s="164">
        <v>6.29</v>
      </c>
      <c r="S17" s="164">
        <v>5.99</v>
      </c>
      <c r="T17" s="164">
        <v>5.64</v>
      </c>
      <c r="U17" s="164">
        <v>5.24</v>
      </c>
      <c r="V17" s="164">
        <v>4.79</v>
      </c>
      <c r="W17" s="164">
        <v>4.29</v>
      </c>
      <c r="X17" s="236"/>
      <c r="Y17" s="146">
        <v>7.8</v>
      </c>
      <c r="Z17" s="146">
        <v>100</v>
      </c>
      <c r="AA17" s="146">
        <v>100</v>
      </c>
      <c r="AB17" s="146">
        <v>100</v>
      </c>
      <c r="AC17" s="146">
        <v>100</v>
      </c>
      <c r="AD17" s="146">
        <v>100</v>
      </c>
      <c r="AE17" s="146">
        <v>100</v>
      </c>
      <c r="AF17" s="146">
        <v>100</v>
      </c>
      <c r="AG17" s="146">
        <v>100</v>
      </c>
      <c r="AH17" s="146">
        <v>100</v>
      </c>
      <c r="AI17" s="146">
        <v>98</v>
      </c>
      <c r="AJ17" s="146">
        <v>100</v>
      </c>
      <c r="AK17" s="146">
        <v>100</v>
      </c>
      <c r="AL17" s="146">
        <v>100</v>
      </c>
      <c r="AM17" s="146">
        <v>100</v>
      </c>
      <c r="AN17" s="146">
        <v>100</v>
      </c>
      <c r="AO17" s="146">
        <v>97</v>
      </c>
      <c r="AP17" s="146">
        <v>94</v>
      </c>
      <c r="AQ17" s="146">
        <v>91</v>
      </c>
      <c r="AR17" s="146">
        <v>87</v>
      </c>
      <c r="AS17" s="146">
        <v>98.26</v>
      </c>
    </row>
    <row r="18" spans="1:45" ht="19.5" thickBot="1" x14ac:dyDescent="0.35">
      <c r="A18" s="170">
        <v>0.2</v>
      </c>
      <c r="B18" s="257">
        <v>6.67</v>
      </c>
      <c r="C18" s="257">
        <v>7.17</v>
      </c>
      <c r="D18" s="257">
        <v>7.57</v>
      </c>
      <c r="E18" s="257">
        <v>7.8699999999999992</v>
      </c>
      <c r="F18" s="257">
        <v>8.07</v>
      </c>
      <c r="G18" s="171">
        <v>8.17</v>
      </c>
      <c r="H18" s="257">
        <v>8.02</v>
      </c>
      <c r="I18" s="257">
        <v>7.8699999999999992</v>
      </c>
      <c r="J18" s="257">
        <v>7.7200000000000006</v>
      </c>
      <c r="K18" s="257">
        <v>7.57</v>
      </c>
      <c r="L18" s="257">
        <v>7.42</v>
      </c>
      <c r="M18" s="257">
        <v>7.27</v>
      </c>
      <c r="N18" s="257">
        <v>7.1199999999999992</v>
      </c>
      <c r="O18" s="257">
        <v>6.97</v>
      </c>
      <c r="P18" s="257">
        <v>6.82</v>
      </c>
      <c r="Q18" s="257">
        <v>6.62</v>
      </c>
      <c r="R18" s="257">
        <v>6.42</v>
      </c>
      <c r="S18" s="257">
        <v>6.12</v>
      </c>
      <c r="T18" s="257">
        <v>5.77</v>
      </c>
      <c r="U18" s="257">
        <v>5.37</v>
      </c>
      <c r="V18" s="257">
        <v>4.92</v>
      </c>
      <c r="W18" s="257">
        <v>4.42</v>
      </c>
      <c r="X18" s="236"/>
      <c r="Y18" s="146">
        <v>7.7</v>
      </c>
      <c r="Z18" s="146">
        <v>100</v>
      </c>
      <c r="AA18" s="146">
        <v>100</v>
      </c>
      <c r="AB18" s="146">
        <v>100</v>
      </c>
      <c r="AC18" s="146">
        <v>100</v>
      </c>
      <c r="AD18" s="146">
        <v>100</v>
      </c>
      <c r="AE18" s="146">
        <v>100</v>
      </c>
      <c r="AF18" s="146">
        <v>100</v>
      </c>
      <c r="AG18" s="146">
        <v>100</v>
      </c>
      <c r="AH18" s="146">
        <v>100</v>
      </c>
      <c r="AI18" s="146">
        <v>97</v>
      </c>
      <c r="AJ18" s="146">
        <v>100</v>
      </c>
      <c r="AK18" s="146">
        <v>100</v>
      </c>
      <c r="AL18" s="146">
        <v>100</v>
      </c>
      <c r="AM18" s="146">
        <v>100</v>
      </c>
      <c r="AN18" s="146">
        <v>99</v>
      </c>
      <c r="AO18" s="146">
        <v>96</v>
      </c>
      <c r="AP18" s="146">
        <v>93</v>
      </c>
      <c r="AQ18" s="146">
        <v>89</v>
      </c>
      <c r="AR18" s="146">
        <v>86</v>
      </c>
      <c r="AS18" s="146">
        <v>97.89</v>
      </c>
    </row>
    <row r="19" spans="1:45" ht="16.5" customHeight="1" thickBot="1" x14ac:dyDescent="0.3">
      <c r="A19" s="169">
        <v>0.21</v>
      </c>
      <c r="B19" s="164">
        <v>6.8</v>
      </c>
      <c r="C19" s="164">
        <v>7.3000000000000007</v>
      </c>
      <c r="D19" s="164">
        <v>7.6999999999999993</v>
      </c>
      <c r="E19" s="164">
        <v>8</v>
      </c>
      <c r="F19" s="273">
        <v>8.1999999999999993</v>
      </c>
      <c r="G19" s="247">
        <v>8.3000000000000007</v>
      </c>
      <c r="H19" s="273">
        <v>8.15</v>
      </c>
      <c r="I19" s="164">
        <v>8</v>
      </c>
      <c r="J19" s="164">
        <v>7.85</v>
      </c>
      <c r="K19" s="164">
        <v>7.6999999999999993</v>
      </c>
      <c r="L19" s="164">
        <v>7.5500000000000007</v>
      </c>
      <c r="M19" s="245">
        <v>7.4</v>
      </c>
      <c r="N19" s="245">
        <v>7.25</v>
      </c>
      <c r="O19" s="245">
        <v>7.1</v>
      </c>
      <c r="P19" s="245">
        <v>6.95</v>
      </c>
      <c r="Q19" s="164">
        <v>6.75</v>
      </c>
      <c r="R19" s="164">
        <v>6.55</v>
      </c>
      <c r="S19" s="164">
        <v>6.25</v>
      </c>
      <c r="T19" s="164">
        <v>5.9</v>
      </c>
      <c r="U19" s="164">
        <v>5.5</v>
      </c>
      <c r="V19" s="164">
        <v>5.05</v>
      </c>
      <c r="W19" s="164">
        <v>4.55</v>
      </c>
      <c r="X19" s="236"/>
      <c r="Y19" s="146">
        <v>7.6</v>
      </c>
      <c r="Z19" s="146">
        <v>100</v>
      </c>
      <c r="AA19" s="146">
        <v>100</v>
      </c>
      <c r="AB19" s="146">
        <v>100</v>
      </c>
      <c r="AC19" s="146">
        <v>100</v>
      </c>
      <c r="AD19" s="146">
        <v>100</v>
      </c>
      <c r="AE19" s="146">
        <v>100</v>
      </c>
      <c r="AF19" s="146">
        <v>100</v>
      </c>
      <c r="AG19" s="146">
        <v>100</v>
      </c>
      <c r="AH19" s="146">
        <v>100</v>
      </c>
      <c r="AI19" s="146">
        <v>96</v>
      </c>
      <c r="AJ19" s="146">
        <v>100</v>
      </c>
      <c r="AK19" s="146">
        <v>100</v>
      </c>
      <c r="AL19" s="146">
        <v>100</v>
      </c>
      <c r="AM19" s="146">
        <v>100</v>
      </c>
      <c r="AN19" s="146">
        <v>98</v>
      </c>
      <c r="AO19" s="146">
        <v>95</v>
      </c>
      <c r="AP19" s="146">
        <v>91</v>
      </c>
      <c r="AQ19" s="146">
        <v>88</v>
      </c>
      <c r="AR19" s="146">
        <v>85</v>
      </c>
      <c r="AS19" s="146">
        <v>97.53</v>
      </c>
    </row>
    <row r="20" spans="1:45" ht="16.5" customHeight="1" thickBot="1" x14ac:dyDescent="0.3">
      <c r="A20" s="169">
        <v>0.22</v>
      </c>
      <c r="B20" s="164">
        <v>6.91</v>
      </c>
      <c r="C20" s="164">
        <v>7.41</v>
      </c>
      <c r="D20" s="164">
        <v>7.8100000000000005</v>
      </c>
      <c r="E20" s="164">
        <v>8.11</v>
      </c>
      <c r="F20" s="273">
        <v>8.31</v>
      </c>
      <c r="G20" s="240">
        <v>8.33</v>
      </c>
      <c r="H20" s="273">
        <v>8.26</v>
      </c>
      <c r="I20" s="164">
        <v>8.11</v>
      </c>
      <c r="J20" s="164">
        <v>7.9600000000000009</v>
      </c>
      <c r="K20" s="164">
        <v>7.8100000000000005</v>
      </c>
      <c r="L20" s="164">
        <v>7.66</v>
      </c>
      <c r="M20" s="245">
        <v>7.51</v>
      </c>
      <c r="N20" s="245">
        <v>7.3599999999999994</v>
      </c>
      <c r="O20" s="245">
        <v>7.2100000000000009</v>
      </c>
      <c r="P20" s="245">
        <v>7.0600000000000005</v>
      </c>
      <c r="Q20" s="164">
        <v>6.86</v>
      </c>
      <c r="R20" s="164">
        <v>6.66</v>
      </c>
      <c r="S20" s="164">
        <v>6.36</v>
      </c>
      <c r="T20" s="164">
        <v>6.01</v>
      </c>
      <c r="U20" s="164">
        <v>5.61</v>
      </c>
      <c r="V20" s="164">
        <v>5.16</v>
      </c>
      <c r="W20" s="164">
        <v>4.66</v>
      </c>
      <c r="X20" s="236"/>
      <c r="Y20" s="146">
        <v>7.5</v>
      </c>
      <c r="Z20" s="146">
        <v>100</v>
      </c>
      <c r="AA20" s="146">
        <v>100</v>
      </c>
      <c r="AB20" s="146">
        <v>100</v>
      </c>
      <c r="AC20" s="146">
        <v>100</v>
      </c>
      <c r="AD20" s="146">
        <v>100</v>
      </c>
      <c r="AE20" s="146">
        <v>100</v>
      </c>
      <c r="AF20" s="146">
        <v>100</v>
      </c>
      <c r="AG20" s="146">
        <v>100</v>
      </c>
      <c r="AH20" s="146">
        <v>100</v>
      </c>
      <c r="AI20" s="146">
        <v>96</v>
      </c>
      <c r="AJ20" s="146">
        <v>100</v>
      </c>
      <c r="AK20" s="146">
        <v>100</v>
      </c>
      <c r="AL20" s="146">
        <v>100</v>
      </c>
      <c r="AM20" s="146">
        <v>100</v>
      </c>
      <c r="AN20" s="146">
        <v>98</v>
      </c>
      <c r="AO20" s="146">
        <v>95</v>
      </c>
      <c r="AP20" s="146">
        <v>91</v>
      </c>
      <c r="AQ20" s="146">
        <v>88</v>
      </c>
      <c r="AR20" s="146">
        <v>84</v>
      </c>
      <c r="AS20" s="146">
        <v>97.47</v>
      </c>
    </row>
    <row r="21" spans="1:45" ht="16.5" customHeight="1" thickBot="1" x14ac:dyDescent="0.3">
      <c r="A21" s="169">
        <v>0.23</v>
      </c>
      <c r="B21" s="164">
        <v>7.01</v>
      </c>
      <c r="C21" s="164">
        <v>7.51</v>
      </c>
      <c r="D21" s="164">
        <v>7.91</v>
      </c>
      <c r="E21" s="164">
        <v>8.2100000000000009</v>
      </c>
      <c r="F21" s="273">
        <v>8.33</v>
      </c>
      <c r="G21" s="240">
        <v>8.33</v>
      </c>
      <c r="H21" s="273">
        <v>8.33</v>
      </c>
      <c r="I21" s="164">
        <v>8.2100000000000009</v>
      </c>
      <c r="J21" s="164">
        <v>8.06</v>
      </c>
      <c r="K21" s="164">
        <v>7.91</v>
      </c>
      <c r="L21" s="164">
        <v>7.76</v>
      </c>
      <c r="M21" s="245">
        <v>7.6099999999999994</v>
      </c>
      <c r="N21" s="245">
        <v>7.4600000000000009</v>
      </c>
      <c r="O21" s="245">
        <v>7.3100000000000005</v>
      </c>
      <c r="P21" s="245">
        <v>7.16</v>
      </c>
      <c r="Q21" s="164">
        <v>6.96</v>
      </c>
      <c r="R21" s="164">
        <v>6.76</v>
      </c>
      <c r="S21" s="164">
        <v>6.46</v>
      </c>
      <c r="T21" s="164">
        <v>6.11</v>
      </c>
      <c r="U21" s="164">
        <v>5.71</v>
      </c>
      <c r="V21" s="164">
        <v>5.26</v>
      </c>
      <c r="W21" s="164">
        <v>4.76</v>
      </c>
      <c r="X21" s="236"/>
      <c r="Y21" s="146">
        <v>7.4</v>
      </c>
      <c r="Z21" s="146">
        <v>100</v>
      </c>
      <c r="AA21" s="146">
        <v>100</v>
      </c>
      <c r="AB21" s="146">
        <v>100</v>
      </c>
      <c r="AC21" s="146">
        <v>100</v>
      </c>
      <c r="AD21" s="146">
        <v>100</v>
      </c>
      <c r="AE21" s="146">
        <v>100</v>
      </c>
      <c r="AF21" s="146">
        <v>100</v>
      </c>
      <c r="AG21" s="146">
        <v>100</v>
      </c>
      <c r="AH21" s="146">
        <v>99</v>
      </c>
      <c r="AI21" s="146">
        <v>96</v>
      </c>
      <c r="AJ21" s="146">
        <v>100</v>
      </c>
      <c r="AK21" s="146">
        <v>100</v>
      </c>
      <c r="AL21" s="146">
        <v>100</v>
      </c>
      <c r="AM21" s="146">
        <v>100</v>
      </c>
      <c r="AN21" s="146">
        <v>97</v>
      </c>
      <c r="AO21" s="146">
        <v>94</v>
      </c>
      <c r="AP21" s="146">
        <v>90</v>
      </c>
      <c r="AQ21" s="146">
        <v>87</v>
      </c>
      <c r="AR21" s="146">
        <v>83</v>
      </c>
      <c r="AS21" s="146">
        <v>97.16</v>
      </c>
    </row>
    <row r="22" spans="1:45" ht="16.5" customHeight="1" thickBot="1" x14ac:dyDescent="0.3">
      <c r="A22" s="169">
        <v>0.24</v>
      </c>
      <c r="B22" s="164">
        <v>7.1099999999999994</v>
      </c>
      <c r="C22" s="164">
        <v>7.6099999999999994</v>
      </c>
      <c r="D22" s="164">
        <v>8.01</v>
      </c>
      <c r="E22" s="164">
        <v>8.31</v>
      </c>
      <c r="F22" s="273">
        <v>8.33</v>
      </c>
      <c r="G22" s="240">
        <v>8.33</v>
      </c>
      <c r="H22" s="273">
        <v>8.33</v>
      </c>
      <c r="I22" s="164">
        <v>8.31</v>
      </c>
      <c r="J22" s="164">
        <v>8.16</v>
      </c>
      <c r="K22" s="164">
        <v>8.01</v>
      </c>
      <c r="L22" s="164">
        <v>7.8599999999999994</v>
      </c>
      <c r="M22" s="245">
        <v>7.7100000000000009</v>
      </c>
      <c r="N22" s="245">
        <v>7.5600000000000005</v>
      </c>
      <c r="O22" s="245">
        <v>7.41</v>
      </c>
      <c r="P22" s="245">
        <v>7.26</v>
      </c>
      <c r="Q22" s="164">
        <v>7.0600000000000005</v>
      </c>
      <c r="R22" s="164">
        <v>6.86</v>
      </c>
      <c r="S22" s="164">
        <v>6.56</v>
      </c>
      <c r="T22" s="164">
        <v>6.21</v>
      </c>
      <c r="U22" s="164">
        <v>5.81</v>
      </c>
      <c r="V22" s="164">
        <v>5.36</v>
      </c>
      <c r="W22" s="164">
        <v>4.8600000000000003</v>
      </c>
      <c r="X22" s="236"/>
      <c r="Y22" s="146">
        <v>7.3</v>
      </c>
      <c r="Z22" s="146">
        <v>100</v>
      </c>
      <c r="AA22" s="146">
        <v>100</v>
      </c>
      <c r="AB22" s="146">
        <v>100</v>
      </c>
      <c r="AC22" s="146">
        <v>100</v>
      </c>
      <c r="AD22" s="146">
        <v>100</v>
      </c>
      <c r="AE22" s="146">
        <v>100</v>
      </c>
      <c r="AF22" s="146">
        <v>100</v>
      </c>
      <c r="AG22" s="146">
        <v>100</v>
      </c>
      <c r="AH22" s="146">
        <v>98</v>
      </c>
      <c r="AI22" s="146">
        <v>95</v>
      </c>
      <c r="AJ22" s="146">
        <v>100</v>
      </c>
      <c r="AK22" s="146">
        <v>100</v>
      </c>
      <c r="AL22" s="146">
        <v>100</v>
      </c>
      <c r="AM22" s="146">
        <v>100</v>
      </c>
      <c r="AN22" s="146">
        <v>96</v>
      </c>
      <c r="AO22" s="146">
        <v>93</v>
      </c>
      <c r="AP22" s="146">
        <v>89</v>
      </c>
      <c r="AQ22" s="146">
        <v>86</v>
      </c>
      <c r="AR22" s="146">
        <v>82</v>
      </c>
      <c r="AS22" s="146">
        <v>96.79</v>
      </c>
    </row>
    <row r="23" spans="1:45" ht="16.5" customHeight="1" thickBot="1" x14ac:dyDescent="0.3">
      <c r="A23" s="169">
        <v>0.25</v>
      </c>
      <c r="B23" s="164">
        <v>7.1999999999999993</v>
      </c>
      <c r="C23" s="164">
        <v>7.6999999999999993</v>
      </c>
      <c r="D23" s="164">
        <v>8.1</v>
      </c>
      <c r="E23" s="164">
        <v>8.33</v>
      </c>
      <c r="F23" s="273">
        <v>8.33</v>
      </c>
      <c r="G23" s="240">
        <v>8.33</v>
      </c>
      <c r="H23" s="273">
        <v>8.33</v>
      </c>
      <c r="I23" s="164">
        <v>8.33</v>
      </c>
      <c r="J23" s="164">
        <v>8.25</v>
      </c>
      <c r="K23" s="164">
        <v>8.1</v>
      </c>
      <c r="L23" s="164">
        <v>7.9499999999999993</v>
      </c>
      <c r="M23" s="245">
        <v>7.8000000000000007</v>
      </c>
      <c r="N23" s="245">
        <v>7.65</v>
      </c>
      <c r="O23" s="245">
        <v>7.5</v>
      </c>
      <c r="P23" s="245">
        <v>7.35</v>
      </c>
      <c r="Q23" s="164">
        <v>7.15</v>
      </c>
      <c r="R23" s="164">
        <v>6.95</v>
      </c>
      <c r="S23" s="164">
        <v>6.65</v>
      </c>
      <c r="T23" s="164">
        <v>6.3</v>
      </c>
      <c r="U23" s="164">
        <v>5.9</v>
      </c>
      <c r="V23" s="164">
        <v>5.45</v>
      </c>
      <c r="W23" s="164">
        <v>4.95</v>
      </c>
      <c r="X23" s="236"/>
      <c r="Y23" s="146">
        <v>7.2</v>
      </c>
      <c r="Z23" s="146">
        <v>100</v>
      </c>
      <c r="AA23" s="146">
        <v>100</v>
      </c>
      <c r="AB23" s="146">
        <v>100</v>
      </c>
      <c r="AC23" s="146">
        <v>100</v>
      </c>
      <c r="AD23" s="146">
        <v>100</v>
      </c>
      <c r="AE23" s="146">
        <v>100</v>
      </c>
      <c r="AF23" s="146">
        <v>100</v>
      </c>
      <c r="AG23" s="146">
        <v>100</v>
      </c>
      <c r="AH23" s="146">
        <v>98</v>
      </c>
      <c r="AI23" s="146">
        <v>94</v>
      </c>
      <c r="AJ23" s="146">
        <v>100</v>
      </c>
      <c r="AK23" s="146">
        <v>100</v>
      </c>
      <c r="AL23" s="146">
        <v>100</v>
      </c>
      <c r="AM23" s="146">
        <v>99</v>
      </c>
      <c r="AN23" s="146">
        <v>95</v>
      </c>
      <c r="AO23" s="146">
        <v>92</v>
      </c>
      <c r="AP23" s="146">
        <v>88</v>
      </c>
      <c r="AQ23" s="146">
        <v>85</v>
      </c>
      <c r="AR23" s="146">
        <v>81</v>
      </c>
      <c r="AS23" s="146">
        <v>96.42</v>
      </c>
    </row>
    <row r="24" spans="1:45" ht="16.5" thickBot="1" x14ac:dyDescent="0.3">
      <c r="A24" s="169">
        <v>0.26</v>
      </c>
      <c r="B24" s="164">
        <v>7.2799999999999994</v>
      </c>
      <c r="C24" s="164">
        <v>7.7799999999999994</v>
      </c>
      <c r="D24" s="164">
        <v>8.18</v>
      </c>
      <c r="E24" s="164">
        <v>8.33</v>
      </c>
      <c r="F24" s="273">
        <v>8.33</v>
      </c>
      <c r="G24" s="240">
        <v>8.33</v>
      </c>
      <c r="H24" s="273">
        <v>8.33</v>
      </c>
      <c r="I24" s="164">
        <v>8.33</v>
      </c>
      <c r="J24" s="164">
        <v>8.33</v>
      </c>
      <c r="K24" s="164">
        <v>8.18</v>
      </c>
      <c r="L24" s="164">
        <v>8.0299999999999994</v>
      </c>
      <c r="M24" s="245">
        <v>7.8800000000000008</v>
      </c>
      <c r="N24" s="245">
        <v>7.73</v>
      </c>
      <c r="O24" s="245">
        <v>7.58</v>
      </c>
      <c r="P24" s="245">
        <v>7.43</v>
      </c>
      <c r="Q24" s="164">
        <v>7.23</v>
      </c>
      <c r="R24" s="164">
        <v>7.0299999999999994</v>
      </c>
      <c r="S24" s="164">
        <v>6.73</v>
      </c>
      <c r="T24" s="164">
        <v>6.38</v>
      </c>
      <c r="U24" s="164">
        <v>5.98</v>
      </c>
      <c r="V24" s="164">
        <v>5.53</v>
      </c>
      <c r="W24" s="164">
        <v>5.03</v>
      </c>
      <c r="X24" s="236"/>
      <c r="Y24" s="146">
        <v>7.1</v>
      </c>
      <c r="Z24" s="146">
        <v>100</v>
      </c>
      <c r="AA24" s="146">
        <v>100</v>
      </c>
      <c r="AB24" s="146">
        <v>100</v>
      </c>
      <c r="AC24" s="146">
        <v>100</v>
      </c>
      <c r="AD24" s="146">
        <v>100</v>
      </c>
      <c r="AE24" s="146">
        <v>100</v>
      </c>
      <c r="AF24" s="146">
        <v>100</v>
      </c>
      <c r="AG24" s="146">
        <v>100</v>
      </c>
      <c r="AH24" s="146">
        <v>97</v>
      </c>
      <c r="AI24" s="146">
        <v>94</v>
      </c>
      <c r="AJ24" s="146">
        <v>100</v>
      </c>
      <c r="AK24" s="146">
        <v>100</v>
      </c>
      <c r="AL24" s="146">
        <v>100</v>
      </c>
      <c r="AM24" s="146">
        <v>98</v>
      </c>
      <c r="AN24" s="146">
        <v>95</v>
      </c>
      <c r="AO24" s="146">
        <v>91</v>
      </c>
      <c r="AP24" s="146">
        <v>87</v>
      </c>
      <c r="AQ24" s="146">
        <v>84</v>
      </c>
      <c r="AR24" s="146">
        <v>80</v>
      </c>
      <c r="AS24" s="146">
        <v>96.11</v>
      </c>
    </row>
    <row r="25" spans="1:45" ht="16.5" customHeight="1" thickBot="1" x14ac:dyDescent="0.3">
      <c r="A25" s="169">
        <v>0.27</v>
      </c>
      <c r="B25" s="164">
        <v>7.3599999999999994</v>
      </c>
      <c r="C25" s="164">
        <v>7.8599999999999994</v>
      </c>
      <c r="D25" s="164">
        <v>8.26</v>
      </c>
      <c r="E25" s="164">
        <v>8.33</v>
      </c>
      <c r="F25" s="273">
        <v>8.33</v>
      </c>
      <c r="G25" s="240">
        <v>8.33</v>
      </c>
      <c r="H25" s="273">
        <v>8.33</v>
      </c>
      <c r="I25" s="164">
        <v>8.33</v>
      </c>
      <c r="J25" s="164">
        <v>8.33</v>
      </c>
      <c r="K25" s="164">
        <v>8.26</v>
      </c>
      <c r="L25" s="164">
        <v>8.11</v>
      </c>
      <c r="M25" s="245">
        <v>7.9600000000000009</v>
      </c>
      <c r="N25" s="245">
        <v>7.8100000000000005</v>
      </c>
      <c r="O25" s="245">
        <v>7.66</v>
      </c>
      <c r="P25" s="245">
        <v>7.51</v>
      </c>
      <c r="Q25" s="164">
        <v>7.3100000000000005</v>
      </c>
      <c r="R25" s="164">
        <v>7.1099999999999994</v>
      </c>
      <c r="S25" s="164">
        <v>6.81</v>
      </c>
      <c r="T25" s="164">
        <v>6.46</v>
      </c>
      <c r="U25" s="164">
        <v>6.06</v>
      </c>
      <c r="V25" s="164">
        <v>5.61</v>
      </c>
      <c r="W25" s="164">
        <v>5.1100000000000003</v>
      </c>
      <c r="X25" s="236"/>
      <c r="Y25" s="146">
        <v>7</v>
      </c>
      <c r="Z25" s="146">
        <v>100</v>
      </c>
      <c r="AA25" s="146">
        <v>100</v>
      </c>
      <c r="AB25" s="146">
        <v>100</v>
      </c>
      <c r="AC25" s="146">
        <v>100</v>
      </c>
      <c r="AD25" s="146">
        <v>100</v>
      </c>
      <c r="AE25" s="146">
        <v>100</v>
      </c>
      <c r="AF25" s="146">
        <v>100</v>
      </c>
      <c r="AG25" s="146">
        <v>100</v>
      </c>
      <c r="AH25" s="146">
        <v>96</v>
      </c>
      <c r="AI25" s="146">
        <v>93</v>
      </c>
      <c r="AJ25" s="146">
        <v>100</v>
      </c>
      <c r="AK25" s="146">
        <v>100</v>
      </c>
      <c r="AL25" s="146">
        <v>100</v>
      </c>
      <c r="AM25" s="146">
        <v>97</v>
      </c>
      <c r="AN25" s="146">
        <v>94</v>
      </c>
      <c r="AO25" s="146">
        <v>90</v>
      </c>
      <c r="AP25" s="146">
        <v>86</v>
      </c>
      <c r="AQ25" s="146">
        <v>82</v>
      </c>
      <c r="AR25" s="146">
        <v>79</v>
      </c>
      <c r="AS25" s="146">
        <v>95.79</v>
      </c>
    </row>
    <row r="26" spans="1:45" ht="16.5" customHeight="1" thickBot="1" x14ac:dyDescent="0.3">
      <c r="A26" s="169">
        <v>0.28000000000000003</v>
      </c>
      <c r="B26" s="164">
        <v>7.43</v>
      </c>
      <c r="C26" s="164">
        <v>7.93</v>
      </c>
      <c r="D26" s="164">
        <v>8.33</v>
      </c>
      <c r="E26" s="164">
        <v>8.33</v>
      </c>
      <c r="F26" s="273">
        <v>8.33</v>
      </c>
      <c r="G26" s="240">
        <v>8.33</v>
      </c>
      <c r="H26" s="273">
        <v>8.33</v>
      </c>
      <c r="I26" s="164">
        <v>8.33</v>
      </c>
      <c r="J26" s="164">
        <v>8.33</v>
      </c>
      <c r="K26" s="164">
        <v>8.33</v>
      </c>
      <c r="L26" s="164">
        <v>8.18</v>
      </c>
      <c r="M26" s="245">
        <v>8.0299999999999994</v>
      </c>
      <c r="N26" s="245">
        <v>7.8800000000000008</v>
      </c>
      <c r="O26" s="245">
        <v>7.73</v>
      </c>
      <c r="P26" s="245">
        <v>7.58</v>
      </c>
      <c r="Q26" s="164">
        <v>7.3800000000000008</v>
      </c>
      <c r="R26" s="164">
        <v>7.18</v>
      </c>
      <c r="S26" s="164">
        <v>6.88</v>
      </c>
      <c r="T26" s="164">
        <v>6.53</v>
      </c>
      <c r="U26" s="164">
        <v>6.13</v>
      </c>
      <c r="V26" s="164">
        <v>5.68</v>
      </c>
      <c r="W26" s="164">
        <v>5.18</v>
      </c>
      <c r="X26" s="236"/>
      <c r="Y26" s="146">
        <v>6.9</v>
      </c>
      <c r="Z26" s="146">
        <v>100</v>
      </c>
      <c r="AA26" s="146">
        <v>100</v>
      </c>
      <c r="AB26" s="146">
        <v>100</v>
      </c>
      <c r="AC26" s="146">
        <v>100</v>
      </c>
      <c r="AD26" s="146">
        <v>100</v>
      </c>
      <c r="AE26" s="146">
        <v>100</v>
      </c>
      <c r="AF26" s="146">
        <v>100</v>
      </c>
      <c r="AG26" s="146">
        <v>100</v>
      </c>
      <c r="AH26" s="146">
        <v>96</v>
      </c>
      <c r="AI26" s="146">
        <v>92</v>
      </c>
      <c r="AJ26" s="146">
        <v>100</v>
      </c>
      <c r="AK26" s="146">
        <v>100</v>
      </c>
      <c r="AL26" s="146">
        <v>100</v>
      </c>
      <c r="AM26" s="146">
        <v>96</v>
      </c>
      <c r="AN26" s="146">
        <v>93</v>
      </c>
      <c r="AO26" s="146">
        <v>89</v>
      </c>
      <c r="AP26" s="146">
        <v>85</v>
      </c>
      <c r="AQ26" s="146">
        <v>82</v>
      </c>
      <c r="AR26" s="146">
        <v>78</v>
      </c>
      <c r="AS26" s="146">
        <v>95.32</v>
      </c>
    </row>
    <row r="27" spans="1:45" ht="16.5" thickBot="1" x14ac:dyDescent="0.3">
      <c r="A27" s="169">
        <v>0.28999999999999998</v>
      </c>
      <c r="B27" s="164">
        <v>7.5</v>
      </c>
      <c r="C27" s="164">
        <v>8</v>
      </c>
      <c r="D27" s="164">
        <v>8.33</v>
      </c>
      <c r="E27" s="164">
        <v>8.33</v>
      </c>
      <c r="F27" s="273">
        <v>8.33</v>
      </c>
      <c r="G27" s="240">
        <v>8.33</v>
      </c>
      <c r="H27" s="273">
        <v>8.33</v>
      </c>
      <c r="I27" s="164">
        <v>8.33</v>
      </c>
      <c r="J27" s="164">
        <v>8.33</v>
      </c>
      <c r="K27" s="164">
        <v>8.33</v>
      </c>
      <c r="L27" s="164">
        <v>8.25</v>
      </c>
      <c r="M27" s="245">
        <v>8.1</v>
      </c>
      <c r="N27" s="245">
        <v>7.9499999999999993</v>
      </c>
      <c r="O27" s="245">
        <v>7.8000000000000007</v>
      </c>
      <c r="P27" s="245">
        <v>7.65</v>
      </c>
      <c r="Q27" s="164">
        <v>7.4499999999999993</v>
      </c>
      <c r="R27" s="164">
        <v>7.25</v>
      </c>
      <c r="S27" s="164">
        <v>6.95</v>
      </c>
      <c r="T27" s="164">
        <v>6.6</v>
      </c>
      <c r="U27" s="164">
        <v>6.2</v>
      </c>
      <c r="V27" s="164">
        <v>5.75</v>
      </c>
      <c r="W27" s="164">
        <v>5.25</v>
      </c>
      <c r="X27" s="236"/>
      <c r="Y27" s="146">
        <v>6.8</v>
      </c>
      <c r="Z27" s="146">
        <v>100</v>
      </c>
      <c r="AA27" s="146">
        <v>100</v>
      </c>
      <c r="AB27" s="146">
        <v>100</v>
      </c>
      <c r="AC27" s="146">
        <v>100</v>
      </c>
      <c r="AD27" s="146">
        <v>100</v>
      </c>
      <c r="AE27" s="146">
        <v>100</v>
      </c>
      <c r="AF27" s="146">
        <v>100</v>
      </c>
      <c r="AG27" s="146">
        <v>99</v>
      </c>
      <c r="AH27" s="146">
        <v>95</v>
      </c>
      <c r="AI27" s="146">
        <v>91</v>
      </c>
      <c r="AJ27" s="146">
        <v>100</v>
      </c>
      <c r="AK27" s="146">
        <v>100</v>
      </c>
      <c r="AL27" s="146">
        <v>99</v>
      </c>
      <c r="AM27" s="146">
        <v>95</v>
      </c>
      <c r="AN27" s="146">
        <v>91</v>
      </c>
      <c r="AO27" s="146">
        <v>88</v>
      </c>
      <c r="AP27" s="146">
        <v>84</v>
      </c>
      <c r="AQ27" s="146">
        <v>80</v>
      </c>
      <c r="AR27" s="146">
        <v>77</v>
      </c>
      <c r="AS27" s="146">
        <v>94.68</v>
      </c>
    </row>
    <row r="28" spans="1:45" ht="16.5" customHeight="1" thickBot="1" x14ac:dyDescent="0.3">
      <c r="A28" s="169">
        <v>0.3</v>
      </c>
      <c r="B28" s="164">
        <v>7.5600000000000005</v>
      </c>
      <c r="C28" s="164">
        <v>8.06</v>
      </c>
      <c r="D28" s="164">
        <v>8.33</v>
      </c>
      <c r="E28" s="164">
        <v>8.33</v>
      </c>
      <c r="F28" s="273">
        <v>8.33</v>
      </c>
      <c r="G28" s="240">
        <v>8.33</v>
      </c>
      <c r="H28" s="273">
        <v>8.33</v>
      </c>
      <c r="I28" s="164">
        <v>8.33</v>
      </c>
      <c r="J28" s="164">
        <v>8.33</v>
      </c>
      <c r="K28" s="164">
        <v>8.33</v>
      </c>
      <c r="L28" s="164">
        <v>8.31</v>
      </c>
      <c r="M28" s="245">
        <v>8.16</v>
      </c>
      <c r="N28" s="245">
        <v>8.01</v>
      </c>
      <c r="O28" s="245">
        <v>7.8599999999999994</v>
      </c>
      <c r="P28" s="245">
        <v>7.7100000000000009</v>
      </c>
      <c r="Q28" s="164">
        <v>7.51</v>
      </c>
      <c r="R28" s="164">
        <v>7.3100000000000005</v>
      </c>
      <c r="S28" s="164">
        <v>7.01</v>
      </c>
      <c r="T28" s="164">
        <v>6.66</v>
      </c>
      <c r="U28" s="164">
        <v>6.26</v>
      </c>
      <c r="V28" s="164">
        <v>5.81</v>
      </c>
      <c r="W28" s="164">
        <v>5.31</v>
      </c>
      <c r="X28" s="236"/>
      <c r="Y28" s="146">
        <v>6.7</v>
      </c>
      <c r="Z28" s="146">
        <v>100</v>
      </c>
      <c r="AA28" s="146">
        <v>100</v>
      </c>
      <c r="AB28" s="146">
        <v>100</v>
      </c>
      <c r="AC28" s="146">
        <v>100</v>
      </c>
      <c r="AD28" s="146">
        <v>100</v>
      </c>
      <c r="AE28" s="146">
        <v>100</v>
      </c>
      <c r="AF28" s="146">
        <v>100</v>
      </c>
      <c r="AG28" s="146">
        <v>99</v>
      </c>
      <c r="AH28" s="146">
        <v>95</v>
      </c>
      <c r="AI28" s="146">
        <v>91</v>
      </c>
      <c r="AJ28" s="146">
        <v>100</v>
      </c>
      <c r="AK28" s="146">
        <v>100</v>
      </c>
      <c r="AL28" s="146">
        <v>99</v>
      </c>
      <c r="AM28" s="146">
        <v>95</v>
      </c>
      <c r="AN28" s="146">
        <v>91</v>
      </c>
      <c r="AO28" s="146">
        <v>87</v>
      </c>
      <c r="AP28" s="146">
        <v>84</v>
      </c>
      <c r="AQ28" s="146">
        <v>80</v>
      </c>
      <c r="AR28" s="146">
        <v>76</v>
      </c>
      <c r="AS28" s="146">
        <v>94.58</v>
      </c>
    </row>
    <row r="29" spans="1:45" ht="16.5" customHeight="1" thickBot="1" x14ac:dyDescent="0.3">
      <c r="A29" s="169">
        <v>0.31</v>
      </c>
      <c r="B29" s="164">
        <v>7.6199999999999992</v>
      </c>
      <c r="C29" s="164">
        <v>8.1199999999999992</v>
      </c>
      <c r="D29" s="164">
        <v>8.33</v>
      </c>
      <c r="E29" s="164">
        <v>8.33</v>
      </c>
      <c r="F29" s="273">
        <v>8.33</v>
      </c>
      <c r="G29" s="240">
        <v>8.33</v>
      </c>
      <c r="H29" s="273">
        <v>8.33</v>
      </c>
      <c r="I29" s="164">
        <v>8.33</v>
      </c>
      <c r="J29" s="164">
        <v>8.33</v>
      </c>
      <c r="K29" s="164">
        <v>8.33</v>
      </c>
      <c r="L29" s="164">
        <v>8.33</v>
      </c>
      <c r="M29" s="245">
        <v>8.2200000000000006</v>
      </c>
      <c r="N29" s="245">
        <v>8.07</v>
      </c>
      <c r="O29" s="245">
        <v>7.92</v>
      </c>
      <c r="P29" s="245">
        <v>7.77</v>
      </c>
      <c r="Q29" s="164">
        <v>7.57</v>
      </c>
      <c r="R29" s="164">
        <v>7.3699999999999992</v>
      </c>
      <c r="S29" s="164">
        <v>7.07</v>
      </c>
      <c r="T29" s="164">
        <v>6.72</v>
      </c>
      <c r="U29" s="164">
        <v>6.32</v>
      </c>
      <c r="V29" s="164">
        <v>5.87</v>
      </c>
      <c r="W29" s="164">
        <v>5.37</v>
      </c>
      <c r="X29" s="236"/>
      <c r="Y29" s="146">
        <v>6.6</v>
      </c>
      <c r="Z29" s="146">
        <v>100</v>
      </c>
      <c r="AA29" s="146">
        <v>100</v>
      </c>
      <c r="AB29" s="146">
        <v>100</v>
      </c>
      <c r="AC29" s="146">
        <v>100</v>
      </c>
      <c r="AD29" s="146">
        <v>100</v>
      </c>
      <c r="AE29" s="146">
        <v>100</v>
      </c>
      <c r="AF29" s="146">
        <v>100</v>
      </c>
      <c r="AG29" s="146">
        <v>98</v>
      </c>
      <c r="AH29" s="146">
        <v>94</v>
      </c>
      <c r="AI29" s="146">
        <v>90</v>
      </c>
      <c r="AJ29" s="146">
        <v>100</v>
      </c>
      <c r="AK29" s="146">
        <v>100</v>
      </c>
      <c r="AL29" s="146">
        <v>97</v>
      </c>
      <c r="AM29" s="146">
        <v>94</v>
      </c>
      <c r="AN29" s="146">
        <v>90</v>
      </c>
      <c r="AO29" s="146">
        <v>86</v>
      </c>
      <c r="AP29" s="146">
        <v>82</v>
      </c>
      <c r="AQ29" s="146">
        <v>78</v>
      </c>
      <c r="AR29" s="146">
        <v>75</v>
      </c>
      <c r="AS29" s="146">
        <v>93.89</v>
      </c>
    </row>
    <row r="30" spans="1:45" ht="16.5" customHeight="1" thickBot="1" x14ac:dyDescent="0.3">
      <c r="A30" s="169">
        <v>0.32</v>
      </c>
      <c r="B30" s="164">
        <v>7.67</v>
      </c>
      <c r="C30" s="164">
        <v>8.17</v>
      </c>
      <c r="D30" s="164">
        <v>8.33</v>
      </c>
      <c r="E30" s="164">
        <v>8.33</v>
      </c>
      <c r="F30" s="273">
        <v>8.33</v>
      </c>
      <c r="G30" s="240">
        <v>8.33</v>
      </c>
      <c r="H30" s="273">
        <v>8.33</v>
      </c>
      <c r="I30" s="164">
        <v>8.33</v>
      </c>
      <c r="J30" s="164">
        <v>8.33</v>
      </c>
      <c r="K30" s="164">
        <v>8.33</v>
      </c>
      <c r="L30" s="164">
        <v>8.33</v>
      </c>
      <c r="M30" s="245">
        <v>8.27</v>
      </c>
      <c r="N30" s="245">
        <v>8.1199999999999992</v>
      </c>
      <c r="O30" s="245">
        <v>7.9700000000000006</v>
      </c>
      <c r="P30" s="245">
        <v>7.82</v>
      </c>
      <c r="Q30" s="164">
        <v>7.6199999999999992</v>
      </c>
      <c r="R30" s="164">
        <v>7.42</v>
      </c>
      <c r="S30" s="164">
        <v>7.1199999999999992</v>
      </c>
      <c r="T30" s="164">
        <v>6.77</v>
      </c>
      <c r="U30" s="164">
        <v>6.37</v>
      </c>
      <c r="V30" s="164">
        <v>5.92</v>
      </c>
      <c r="W30" s="164">
        <v>5.42</v>
      </c>
      <c r="X30" s="236"/>
      <c r="Y30" s="146">
        <v>6.5</v>
      </c>
      <c r="Z30" s="146">
        <v>100</v>
      </c>
      <c r="AA30" s="146">
        <v>100</v>
      </c>
      <c r="AB30" s="146">
        <v>100</v>
      </c>
      <c r="AC30" s="146">
        <v>100</v>
      </c>
      <c r="AD30" s="146">
        <v>100</v>
      </c>
      <c r="AE30" s="146">
        <v>100</v>
      </c>
      <c r="AF30" s="146">
        <v>100</v>
      </c>
      <c r="AG30" s="146">
        <v>97</v>
      </c>
      <c r="AH30" s="146">
        <v>93</v>
      </c>
      <c r="AI30" s="146">
        <v>90</v>
      </c>
      <c r="AJ30" s="146">
        <v>100</v>
      </c>
      <c r="AK30" s="146">
        <v>100</v>
      </c>
      <c r="AL30" s="146">
        <v>97</v>
      </c>
      <c r="AM30" s="146">
        <v>93</v>
      </c>
      <c r="AN30" s="146">
        <v>89</v>
      </c>
      <c r="AO30" s="146">
        <v>85</v>
      </c>
      <c r="AP30" s="146">
        <v>82</v>
      </c>
      <c r="AQ30" s="146">
        <v>78</v>
      </c>
      <c r="AR30" s="146">
        <v>74</v>
      </c>
      <c r="AS30" s="146">
        <v>93.58</v>
      </c>
    </row>
    <row r="31" spans="1:45" ht="16.5" customHeight="1" thickBot="1" x14ac:dyDescent="0.3">
      <c r="A31" s="169">
        <v>0.33</v>
      </c>
      <c r="B31" s="164">
        <v>7.7200000000000006</v>
      </c>
      <c r="C31" s="164">
        <v>8.2200000000000006</v>
      </c>
      <c r="D31" s="164">
        <v>8.33</v>
      </c>
      <c r="E31" s="164">
        <v>8.33</v>
      </c>
      <c r="F31" s="273">
        <v>8.33</v>
      </c>
      <c r="G31" s="240">
        <v>8.33</v>
      </c>
      <c r="H31" s="273">
        <v>8.33</v>
      </c>
      <c r="I31" s="164">
        <v>8.33</v>
      </c>
      <c r="J31" s="164">
        <v>8.33</v>
      </c>
      <c r="K31" s="164">
        <v>8.33</v>
      </c>
      <c r="L31" s="164">
        <v>8.33</v>
      </c>
      <c r="M31" s="245">
        <v>8.32</v>
      </c>
      <c r="N31" s="245">
        <v>8.17</v>
      </c>
      <c r="O31" s="245">
        <v>8.02</v>
      </c>
      <c r="P31" s="245">
        <v>7.8699999999999992</v>
      </c>
      <c r="Q31" s="164">
        <v>7.67</v>
      </c>
      <c r="R31" s="164">
        <v>7.4700000000000006</v>
      </c>
      <c r="S31" s="164">
        <v>7.17</v>
      </c>
      <c r="T31" s="164">
        <v>6.82</v>
      </c>
      <c r="U31" s="164">
        <v>6.42</v>
      </c>
      <c r="V31" s="164">
        <v>5.97</v>
      </c>
      <c r="W31" s="164">
        <v>5.47</v>
      </c>
      <c r="X31" s="236"/>
      <c r="Y31" s="146">
        <v>6.4</v>
      </c>
      <c r="Z31" s="146">
        <v>100</v>
      </c>
      <c r="AA31" s="146">
        <v>100</v>
      </c>
      <c r="AB31" s="146">
        <v>100</v>
      </c>
      <c r="AC31" s="146">
        <v>100</v>
      </c>
      <c r="AD31" s="146">
        <v>100</v>
      </c>
      <c r="AE31" s="146">
        <v>100</v>
      </c>
      <c r="AF31" s="146">
        <v>100</v>
      </c>
      <c r="AG31" s="146">
        <v>97</v>
      </c>
      <c r="AH31" s="146">
        <v>93</v>
      </c>
      <c r="AI31" s="146">
        <v>89</v>
      </c>
      <c r="AJ31" s="146">
        <v>100</v>
      </c>
      <c r="AK31" s="146">
        <v>100</v>
      </c>
      <c r="AL31" s="146">
        <v>96</v>
      </c>
      <c r="AM31" s="146">
        <v>93</v>
      </c>
      <c r="AN31" s="146">
        <v>89</v>
      </c>
      <c r="AO31" s="146">
        <v>85</v>
      </c>
      <c r="AP31" s="146">
        <v>81</v>
      </c>
      <c r="AQ31" s="146">
        <v>77</v>
      </c>
      <c r="AR31" s="146">
        <v>73</v>
      </c>
      <c r="AS31" s="146">
        <v>93.32</v>
      </c>
    </row>
    <row r="32" spans="1:45" ht="16.5" customHeight="1" thickBot="1" x14ac:dyDescent="0.3">
      <c r="A32" s="169">
        <v>0.34</v>
      </c>
      <c r="B32" s="164">
        <v>7.77</v>
      </c>
      <c r="C32" s="164">
        <v>8.27</v>
      </c>
      <c r="D32" s="164">
        <v>8.33</v>
      </c>
      <c r="E32" s="164">
        <v>8.33</v>
      </c>
      <c r="F32" s="273">
        <v>8.33</v>
      </c>
      <c r="G32" s="240">
        <v>8.33</v>
      </c>
      <c r="H32" s="273">
        <v>8.33</v>
      </c>
      <c r="I32" s="164">
        <v>8.33</v>
      </c>
      <c r="J32" s="164">
        <v>8.33</v>
      </c>
      <c r="K32" s="164">
        <v>8.33</v>
      </c>
      <c r="L32" s="164">
        <v>8.33</v>
      </c>
      <c r="M32" s="245">
        <v>8.33</v>
      </c>
      <c r="N32" s="245">
        <v>8.2200000000000006</v>
      </c>
      <c r="O32" s="245">
        <v>8.07</v>
      </c>
      <c r="P32" s="245">
        <v>7.92</v>
      </c>
      <c r="Q32" s="164">
        <v>7.7200000000000006</v>
      </c>
      <c r="R32" s="164">
        <v>7.52</v>
      </c>
      <c r="S32" s="164">
        <v>7.2200000000000006</v>
      </c>
      <c r="T32" s="164">
        <v>6.87</v>
      </c>
      <c r="U32" s="164">
        <v>6.47</v>
      </c>
      <c r="V32" s="164">
        <v>6.02</v>
      </c>
      <c r="W32" s="164">
        <v>5.52</v>
      </c>
      <c r="X32" s="236"/>
      <c r="Y32" s="146">
        <v>6.3</v>
      </c>
      <c r="Z32" s="146">
        <v>100</v>
      </c>
      <c r="AA32" s="146">
        <v>100</v>
      </c>
      <c r="AB32" s="146">
        <v>100</v>
      </c>
      <c r="AC32" s="146">
        <v>100</v>
      </c>
      <c r="AD32" s="146">
        <v>100</v>
      </c>
      <c r="AE32" s="146">
        <v>100</v>
      </c>
      <c r="AF32" s="146">
        <v>100</v>
      </c>
      <c r="AG32" s="146">
        <v>96</v>
      </c>
      <c r="AH32" s="146">
        <v>92</v>
      </c>
      <c r="AI32" s="146">
        <v>88</v>
      </c>
      <c r="AJ32" s="146">
        <v>100</v>
      </c>
      <c r="AK32" s="146">
        <v>99</v>
      </c>
      <c r="AL32" s="146">
        <v>95</v>
      </c>
      <c r="AM32" s="146">
        <v>91</v>
      </c>
      <c r="AN32" s="146">
        <v>88</v>
      </c>
      <c r="AO32" s="146">
        <v>84</v>
      </c>
      <c r="AP32" s="146">
        <v>80</v>
      </c>
      <c r="AQ32" s="146">
        <v>76</v>
      </c>
      <c r="AR32" s="146">
        <v>72</v>
      </c>
      <c r="AS32" s="146">
        <v>92.68</v>
      </c>
    </row>
    <row r="33" spans="1:45" ht="16.5" customHeight="1" thickBot="1" x14ac:dyDescent="0.3">
      <c r="A33" s="169">
        <v>0.35</v>
      </c>
      <c r="B33" s="164">
        <v>7.8100000000000005</v>
      </c>
      <c r="C33" s="164">
        <v>8.31</v>
      </c>
      <c r="D33" s="164">
        <v>8.33</v>
      </c>
      <c r="E33" s="164">
        <v>8.33</v>
      </c>
      <c r="F33" s="273">
        <v>8.33</v>
      </c>
      <c r="G33" s="240">
        <v>8.33</v>
      </c>
      <c r="H33" s="273">
        <v>8.33</v>
      </c>
      <c r="I33" s="164">
        <v>8.33</v>
      </c>
      <c r="J33" s="164">
        <v>8.33</v>
      </c>
      <c r="K33" s="164">
        <v>8.33</v>
      </c>
      <c r="L33" s="164">
        <v>8.33</v>
      </c>
      <c r="M33" s="245">
        <v>8.33</v>
      </c>
      <c r="N33" s="245">
        <v>8.26</v>
      </c>
      <c r="O33" s="245">
        <v>8.11</v>
      </c>
      <c r="P33" s="245">
        <v>7.9600000000000009</v>
      </c>
      <c r="Q33" s="164">
        <v>7.76</v>
      </c>
      <c r="R33" s="164">
        <v>7.5600000000000005</v>
      </c>
      <c r="S33" s="164">
        <v>7.26</v>
      </c>
      <c r="T33" s="164">
        <v>6.91</v>
      </c>
      <c r="U33" s="164">
        <v>6.51</v>
      </c>
      <c r="V33" s="164">
        <v>6.06</v>
      </c>
      <c r="W33" s="164">
        <v>5.56</v>
      </c>
      <c r="X33" s="236"/>
      <c r="Y33" s="146">
        <v>6.2</v>
      </c>
      <c r="Z33" s="146">
        <v>100</v>
      </c>
      <c r="AA33" s="146">
        <v>100</v>
      </c>
      <c r="AB33" s="146">
        <v>100</v>
      </c>
      <c r="AC33" s="146">
        <v>100</v>
      </c>
      <c r="AD33" s="146">
        <v>100</v>
      </c>
      <c r="AE33" s="146">
        <v>100</v>
      </c>
      <c r="AF33" s="146">
        <v>99</v>
      </c>
      <c r="AG33" s="146">
        <v>95</v>
      </c>
      <c r="AH33" s="146">
        <v>91</v>
      </c>
      <c r="AI33" s="146">
        <v>87</v>
      </c>
      <c r="AJ33" s="146">
        <v>100</v>
      </c>
      <c r="AK33" s="146">
        <v>98</v>
      </c>
      <c r="AL33" s="146">
        <v>94</v>
      </c>
      <c r="AM33" s="146">
        <v>90</v>
      </c>
      <c r="AN33" s="146">
        <v>86</v>
      </c>
      <c r="AO33" s="146">
        <v>82</v>
      </c>
      <c r="AP33" s="146">
        <v>78</v>
      </c>
      <c r="AQ33" s="146">
        <v>75</v>
      </c>
      <c r="AR33" s="146">
        <v>71</v>
      </c>
      <c r="AS33" s="146">
        <v>91.89</v>
      </c>
    </row>
    <row r="34" spans="1:45" ht="16.5" customHeight="1" thickBot="1" x14ac:dyDescent="0.3">
      <c r="A34" s="169">
        <v>0.36</v>
      </c>
      <c r="B34" s="164">
        <v>7.85</v>
      </c>
      <c r="C34" s="164">
        <v>8.33</v>
      </c>
      <c r="D34" s="164">
        <v>8.33</v>
      </c>
      <c r="E34" s="164">
        <v>8.33</v>
      </c>
      <c r="F34" s="273">
        <v>8.33</v>
      </c>
      <c r="G34" s="240">
        <v>8.33</v>
      </c>
      <c r="H34" s="273">
        <v>8.33</v>
      </c>
      <c r="I34" s="164">
        <v>8.33</v>
      </c>
      <c r="J34" s="164">
        <v>8.33</v>
      </c>
      <c r="K34" s="164">
        <v>8.33</v>
      </c>
      <c r="L34" s="164">
        <v>8.33</v>
      </c>
      <c r="M34" s="245">
        <v>8.33</v>
      </c>
      <c r="N34" s="245">
        <v>8.3000000000000007</v>
      </c>
      <c r="O34" s="245">
        <v>8.15</v>
      </c>
      <c r="P34" s="245">
        <v>8</v>
      </c>
      <c r="Q34" s="164">
        <v>7.8000000000000007</v>
      </c>
      <c r="R34" s="164">
        <v>7.6</v>
      </c>
      <c r="S34" s="164">
        <v>7.3000000000000007</v>
      </c>
      <c r="T34" s="164">
        <v>6.95</v>
      </c>
      <c r="U34" s="164">
        <v>6.55</v>
      </c>
      <c r="V34" s="164">
        <v>6.1</v>
      </c>
      <c r="W34" s="164">
        <v>5.6</v>
      </c>
      <c r="X34" s="236"/>
      <c r="Y34" s="146">
        <v>6.1</v>
      </c>
      <c r="Z34" s="146">
        <v>100</v>
      </c>
      <c r="AA34" s="146">
        <v>100</v>
      </c>
      <c r="AB34" s="146">
        <v>100</v>
      </c>
      <c r="AC34" s="146">
        <v>100</v>
      </c>
      <c r="AD34" s="146">
        <v>100</v>
      </c>
      <c r="AE34" s="146">
        <v>100</v>
      </c>
      <c r="AF34" s="146">
        <v>99</v>
      </c>
      <c r="AG34" s="146">
        <v>95</v>
      </c>
      <c r="AH34" s="146">
        <v>91</v>
      </c>
      <c r="AI34" s="146">
        <v>86</v>
      </c>
      <c r="AJ34" s="146">
        <v>100</v>
      </c>
      <c r="AK34" s="146">
        <v>98</v>
      </c>
      <c r="AL34" s="146">
        <v>93</v>
      </c>
      <c r="AM34" s="146">
        <v>89</v>
      </c>
      <c r="AN34" s="146">
        <v>86</v>
      </c>
      <c r="AO34" s="146">
        <v>81</v>
      </c>
      <c r="AP34" s="146">
        <v>78</v>
      </c>
      <c r="AQ34" s="146">
        <v>74</v>
      </c>
      <c r="AR34" s="146">
        <v>70</v>
      </c>
      <c r="AS34" s="146">
        <v>91.58</v>
      </c>
    </row>
    <row r="35" spans="1:45" ht="16.5" customHeight="1" thickBot="1" x14ac:dyDescent="0.3">
      <c r="A35" s="169">
        <v>0.37</v>
      </c>
      <c r="B35" s="164">
        <v>7.8800000000000008</v>
      </c>
      <c r="C35" s="164">
        <v>8.33</v>
      </c>
      <c r="D35" s="164">
        <v>8.33</v>
      </c>
      <c r="E35" s="164">
        <v>8.33</v>
      </c>
      <c r="F35" s="273">
        <v>8.33</v>
      </c>
      <c r="G35" s="240">
        <v>8.33</v>
      </c>
      <c r="H35" s="273">
        <v>8.33</v>
      </c>
      <c r="I35" s="164">
        <v>8.33</v>
      </c>
      <c r="J35" s="164">
        <v>8.33</v>
      </c>
      <c r="K35" s="164">
        <v>8.33</v>
      </c>
      <c r="L35" s="164">
        <v>8.33</v>
      </c>
      <c r="M35" s="245">
        <v>8.33</v>
      </c>
      <c r="N35" s="245">
        <v>8.33</v>
      </c>
      <c r="O35" s="245">
        <v>8.18</v>
      </c>
      <c r="P35" s="245">
        <v>8.0299999999999994</v>
      </c>
      <c r="Q35" s="164">
        <v>7.83</v>
      </c>
      <c r="R35" s="164">
        <v>7.6300000000000008</v>
      </c>
      <c r="S35" s="164">
        <v>7.33</v>
      </c>
      <c r="T35" s="164">
        <v>6.98</v>
      </c>
      <c r="U35" s="164">
        <v>6.58</v>
      </c>
      <c r="V35" s="164">
        <v>6.13</v>
      </c>
      <c r="W35" s="164">
        <v>5.63</v>
      </c>
      <c r="X35" s="236"/>
      <c r="Y35" s="146">
        <v>6</v>
      </c>
      <c r="Z35" s="146">
        <v>100</v>
      </c>
      <c r="AA35" s="146">
        <v>100</v>
      </c>
      <c r="AB35" s="146">
        <v>100</v>
      </c>
      <c r="AC35" s="146">
        <v>100</v>
      </c>
      <c r="AD35" s="146">
        <v>100</v>
      </c>
      <c r="AE35" s="146">
        <v>100</v>
      </c>
      <c r="AF35" s="146">
        <v>98</v>
      </c>
      <c r="AG35" s="146">
        <v>94</v>
      </c>
      <c r="AH35" s="146">
        <v>90</v>
      </c>
      <c r="AI35" s="146">
        <v>86</v>
      </c>
      <c r="AJ35" s="146">
        <v>100</v>
      </c>
      <c r="AK35" s="146">
        <v>97</v>
      </c>
      <c r="AL35" s="146">
        <v>93</v>
      </c>
      <c r="AM35" s="146">
        <v>89</v>
      </c>
      <c r="AN35" s="146">
        <v>85</v>
      </c>
      <c r="AO35" s="146">
        <v>81</v>
      </c>
      <c r="AP35" s="146">
        <v>77</v>
      </c>
      <c r="AQ35" s="146">
        <v>73</v>
      </c>
      <c r="AR35" s="146">
        <v>69</v>
      </c>
      <c r="AS35" s="146">
        <v>91.16</v>
      </c>
    </row>
    <row r="36" spans="1:45" ht="16.5" customHeight="1" thickBot="1" x14ac:dyDescent="0.3">
      <c r="A36" s="169">
        <v>0.38</v>
      </c>
      <c r="B36" s="164">
        <v>7.92</v>
      </c>
      <c r="C36" s="164">
        <v>8.33</v>
      </c>
      <c r="D36" s="164">
        <v>8.33</v>
      </c>
      <c r="E36" s="164">
        <v>8.33</v>
      </c>
      <c r="F36" s="273">
        <v>8.33</v>
      </c>
      <c r="G36" s="240">
        <v>8.33</v>
      </c>
      <c r="H36" s="273">
        <v>8.33</v>
      </c>
      <c r="I36" s="164">
        <v>8.33</v>
      </c>
      <c r="J36" s="164">
        <v>8.33</v>
      </c>
      <c r="K36" s="164">
        <v>8.33</v>
      </c>
      <c r="L36" s="164">
        <v>8.33</v>
      </c>
      <c r="M36" s="245">
        <v>8.33</v>
      </c>
      <c r="N36" s="245">
        <v>8.33</v>
      </c>
      <c r="O36" s="245">
        <v>8.2200000000000006</v>
      </c>
      <c r="P36" s="245">
        <v>8.07</v>
      </c>
      <c r="Q36" s="164">
        <v>7.8699999999999992</v>
      </c>
      <c r="R36" s="164">
        <v>7.67</v>
      </c>
      <c r="S36" s="164">
        <v>7.3699999999999992</v>
      </c>
      <c r="T36" s="164">
        <v>7.02</v>
      </c>
      <c r="U36" s="164">
        <v>6.62</v>
      </c>
      <c r="V36" s="164">
        <v>6.17</v>
      </c>
      <c r="W36" s="164">
        <v>5.67</v>
      </c>
      <c r="X36" s="236"/>
      <c r="Y36" s="146">
        <v>5.9</v>
      </c>
      <c r="Z36" s="146">
        <v>100</v>
      </c>
      <c r="AA36" s="146">
        <v>100</v>
      </c>
      <c r="AB36" s="146">
        <v>100</v>
      </c>
      <c r="AC36" s="146">
        <v>100</v>
      </c>
      <c r="AD36" s="146">
        <v>100</v>
      </c>
      <c r="AE36" s="146">
        <v>100</v>
      </c>
      <c r="AF36" s="146">
        <v>98</v>
      </c>
      <c r="AG36" s="146">
        <v>94</v>
      </c>
      <c r="AH36" s="146">
        <v>90</v>
      </c>
      <c r="AI36" s="146">
        <v>86</v>
      </c>
      <c r="AJ36" s="146">
        <v>100</v>
      </c>
      <c r="AK36" s="146">
        <v>96</v>
      </c>
      <c r="AL36" s="146">
        <v>92</v>
      </c>
      <c r="AM36" s="146">
        <v>88</v>
      </c>
      <c r="AN36" s="146">
        <v>84</v>
      </c>
      <c r="AO36" s="146">
        <v>80</v>
      </c>
      <c r="AP36" s="146">
        <v>76</v>
      </c>
      <c r="AQ36" s="146">
        <v>72</v>
      </c>
      <c r="AR36" s="146">
        <v>68</v>
      </c>
      <c r="AS36" s="146">
        <v>90.74</v>
      </c>
    </row>
    <row r="37" spans="1:45" ht="16.5" customHeight="1" thickBot="1" x14ac:dyDescent="0.3">
      <c r="A37" s="169">
        <v>0.39</v>
      </c>
      <c r="B37" s="164">
        <v>7.9499999999999993</v>
      </c>
      <c r="C37" s="164">
        <v>8.33</v>
      </c>
      <c r="D37" s="164">
        <v>8.33</v>
      </c>
      <c r="E37" s="164">
        <v>8.33</v>
      </c>
      <c r="F37" s="273">
        <v>8.33</v>
      </c>
      <c r="G37" s="240">
        <v>8.33</v>
      </c>
      <c r="H37" s="273">
        <v>8.33</v>
      </c>
      <c r="I37" s="164">
        <v>8.33</v>
      </c>
      <c r="J37" s="164">
        <v>8.33</v>
      </c>
      <c r="K37" s="164">
        <v>8.33</v>
      </c>
      <c r="L37" s="164">
        <v>8.33</v>
      </c>
      <c r="M37" s="245">
        <v>8.33</v>
      </c>
      <c r="N37" s="245">
        <v>8.33</v>
      </c>
      <c r="O37" s="245">
        <v>8.25</v>
      </c>
      <c r="P37" s="245">
        <v>8.1</v>
      </c>
      <c r="Q37" s="164">
        <v>7.9</v>
      </c>
      <c r="R37" s="164">
        <v>7.6999999999999993</v>
      </c>
      <c r="S37" s="164">
        <v>7.4</v>
      </c>
      <c r="T37" s="164">
        <v>7.0500000000000007</v>
      </c>
      <c r="U37" s="164">
        <v>6.65</v>
      </c>
      <c r="V37" s="164">
        <v>6.2</v>
      </c>
      <c r="W37" s="164">
        <v>5.7</v>
      </c>
      <c r="X37" s="236"/>
      <c r="Y37" s="146">
        <v>5.8</v>
      </c>
      <c r="Z37" s="146">
        <v>100</v>
      </c>
      <c r="AA37" s="146">
        <v>100</v>
      </c>
      <c r="AB37" s="146">
        <v>100</v>
      </c>
      <c r="AC37" s="146">
        <v>100</v>
      </c>
      <c r="AD37" s="146">
        <v>100</v>
      </c>
      <c r="AE37" s="146">
        <v>100</v>
      </c>
      <c r="AF37" s="146">
        <v>97</v>
      </c>
      <c r="AG37" s="146">
        <v>93</v>
      </c>
      <c r="AH37" s="146">
        <v>89</v>
      </c>
      <c r="AI37" s="146">
        <v>85</v>
      </c>
      <c r="AJ37" s="146">
        <v>100</v>
      </c>
      <c r="AK37" s="146">
        <v>96</v>
      </c>
      <c r="AL37" s="146">
        <v>91</v>
      </c>
      <c r="AM37" s="146">
        <v>88</v>
      </c>
      <c r="AN37" s="146">
        <v>84</v>
      </c>
      <c r="AO37" s="146">
        <v>79</v>
      </c>
      <c r="AP37" s="146">
        <v>76</v>
      </c>
      <c r="AQ37" s="146">
        <v>71</v>
      </c>
      <c r="AR37" s="146">
        <v>67</v>
      </c>
      <c r="AS37" s="146">
        <v>90.32</v>
      </c>
    </row>
    <row r="38" spans="1:45" ht="16.5" customHeight="1" thickBot="1" x14ac:dyDescent="0.3">
      <c r="A38" s="169">
        <v>0.4</v>
      </c>
      <c r="B38" s="164">
        <v>7.98</v>
      </c>
      <c r="C38" s="164">
        <v>8.33</v>
      </c>
      <c r="D38" s="164">
        <v>8.33</v>
      </c>
      <c r="E38" s="164">
        <v>8.33</v>
      </c>
      <c r="F38" s="273">
        <v>8.33</v>
      </c>
      <c r="G38" s="240">
        <v>8.33</v>
      </c>
      <c r="H38" s="273">
        <v>8.33</v>
      </c>
      <c r="I38" s="164">
        <v>8.33</v>
      </c>
      <c r="J38" s="164">
        <v>8.33</v>
      </c>
      <c r="K38" s="164">
        <v>8.33</v>
      </c>
      <c r="L38" s="164">
        <v>8.33</v>
      </c>
      <c r="M38" s="245">
        <v>8.33</v>
      </c>
      <c r="N38" s="245">
        <v>8.33</v>
      </c>
      <c r="O38" s="245">
        <v>8.2799999999999994</v>
      </c>
      <c r="P38" s="245">
        <v>8.1300000000000008</v>
      </c>
      <c r="Q38" s="164">
        <v>7.93</v>
      </c>
      <c r="R38" s="164">
        <v>7.73</v>
      </c>
      <c r="S38" s="164">
        <v>7.43</v>
      </c>
      <c r="T38" s="164">
        <v>7.08</v>
      </c>
      <c r="U38" s="164">
        <v>6.68</v>
      </c>
      <c r="V38" s="164">
        <v>6.23</v>
      </c>
      <c r="W38" s="164">
        <v>5.73</v>
      </c>
      <c r="X38" s="236"/>
      <c r="Y38" s="146">
        <v>5.7</v>
      </c>
      <c r="Z38" s="146">
        <v>100</v>
      </c>
      <c r="AA38" s="146">
        <v>100</v>
      </c>
      <c r="AB38" s="146">
        <v>100</v>
      </c>
      <c r="AC38" s="146">
        <v>100</v>
      </c>
      <c r="AD38" s="146">
        <v>100</v>
      </c>
      <c r="AE38" s="146">
        <v>100</v>
      </c>
      <c r="AF38" s="146">
        <v>97</v>
      </c>
      <c r="AG38" s="146">
        <v>93</v>
      </c>
      <c r="AH38" s="146">
        <v>88</v>
      </c>
      <c r="AI38" s="146">
        <v>85</v>
      </c>
      <c r="AJ38" s="146">
        <v>99</v>
      </c>
      <c r="AK38" s="146">
        <v>95</v>
      </c>
      <c r="AL38" s="146">
        <v>90</v>
      </c>
      <c r="AM38" s="146">
        <v>87</v>
      </c>
      <c r="AN38" s="146">
        <v>83</v>
      </c>
      <c r="AO38" s="146">
        <v>78</v>
      </c>
      <c r="AP38" s="146">
        <v>75</v>
      </c>
      <c r="AQ38" s="146">
        <v>70</v>
      </c>
      <c r="AR38" s="146">
        <v>66</v>
      </c>
      <c r="AS38" s="146">
        <v>89.79</v>
      </c>
    </row>
    <row r="39" spans="1:45" ht="16.5" thickBot="1" x14ac:dyDescent="0.3">
      <c r="A39" s="173">
        <v>0.41</v>
      </c>
      <c r="B39" s="164">
        <v>8.01</v>
      </c>
      <c r="C39" s="164">
        <v>8.33</v>
      </c>
      <c r="D39" s="164">
        <v>8.33</v>
      </c>
      <c r="E39" s="164">
        <v>8.33</v>
      </c>
      <c r="F39" s="273">
        <v>8.33</v>
      </c>
      <c r="G39" s="240">
        <v>8.33</v>
      </c>
      <c r="H39" s="273">
        <v>8.33</v>
      </c>
      <c r="I39" s="164">
        <v>8.33</v>
      </c>
      <c r="J39" s="164">
        <v>8.33</v>
      </c>
      <c r="K39" s="164">
        <v>8.33</v>
      </c>
      <c r="L39" s="164">
        <v>8.33</v>
      </c>
      <c r="M39" s="245">
        <v>8.33</v>
      </c>
      <c r="N39" s="245">
        <v>8.33</v>
      </c>
      <c r="O39" s="245">
        <v>8.31</v>
      </c>
      <c r="P39" s="245">
        <v>8.16</v>
      </c>
      <c r="Q39" s="164">
        <v>7.9600000000000009</v>
      </c>
      <c r="R39" s="164">
        <v>7.76</v>
      </c>
      <c r="S39" s="164">
        <v>7.4600000000000009</v>
      </c>
      <c r="T39" s="164">
        <v>7.1099999999999994</v>
      </c>
      <c r="U39" s="164">
        <v>6.71</v>
      </c>
      <c r="V39" s="164">
        <v>6.26</v>
      </c>
      <c r="W39" s="164">
        <v>5.76</v>
      </c>
      <c r="X39" s="236"/>
      <c r="Y39" s="146">
        <v>5.6</v>
      </c>
      <c r="Z39" s="146">
        <v>100</v>
      </c>
      <c r="AA39" s="146">
        <v>100</v>
      </c>
      <c r="AB39" s="146">
        <v>100</v>
      </c>
      <c r="AC39" s="146">
        <v>100</v>
      </c>
      <c r="AD39" s="146">
        <v>100</v>
      </c>
      <c r="AE39" s="146">
        <v>100</v>
      </c>
      <c r="AF39" s="146">
        <v>97</v>
      </c>
      <c r="AG39" s="146">
        <v>93</v>
      </c>
      <c r="AH39" s="146">
        <v>88</v>
      </c>
      <c r="AI39" s="146">
        <v>84</v>
      </c>
      <c r="AJ39" s="146">
        <v>99</v>
      </c>
      <c r="AK39" s="146">
        <v>95</v>
      </c>
      <c r="AL39" s="146">
        <v>90</v>
      </c>
      <c r="AM39" s="146">
        <v>86</v>
      </c>
      <c r="AN39" s="146">
        <v>82</v>
      </c>
      <c r="AO39" s="146">
        <v>78</v>
      </c>
      <c r="AP39" s="146">
        <v>74</v>
      </c>
      <c r="AQ39" s="146">
        <v>69</v>
      </c>
      <c r="AR39" s="146">
        <v>65</v>
      </c>
      <c r="AS39" s="146">
        <v>89.47</v>
      </c>
    </row>
    <row r="40" spans="1:45" ht="16.5" thickBot="1" x14ac:dyDescent="0.3">
      <c r="A40" s="173">
        <v>0.42</v>
      </c>
      <c r="B40" s="164">
        <v>8.0299999999999994</v>
      </c>
      <c r="C40" s="164">
        <v>8.33</v>
      </c>
      <c r="D40" s="164">
        <v>8.33</v>
      </c>
      <c r="E40" s="164">
        <v>8.33</v>
      </c>
      <c r="F40" s="273">
        <v>8.33</v>
      </c>
      <c r="G40" s="240">
        <v>8.33</v>
      </c>
      <c r="H40" s="273">
        <v>8.33</v>
      </c>
      <c r="I40" s="164">
        <v>8.33</v>
      </c>
      <c r="J40" s="164">
        <v>8.33</v>
      </c>
      <c r="K40" s="164">
        <v>8.33</v>
      </c>
      <c r="L40" s="164">
        <v>8.33</v>
      </c>
      <c r="M40" s="245">
        <v>8.33</v>
      </c>
      <c r="N40" s="245">
        <v>8.33</v>
      </c>
      <c r="O40" s="245">
        <v>8.33</v>
      </c>
      <c r="P40" s="245">
        <v>8.18</v>
      </c>
      <c r="Q40" s="164">
        <v>7.98</v>
      </c>
      <c r="R40" s="164">
        <v>7.7799999999999994</v>
      </c>
      <c r="S40" s="164">
        <v>7.48</v>
      </c>
      <c r="T40" s="164">
        <v>7.1300000000000008</v>
      </c>
      <c r="U40" s="164">
        <v>6.73</v>
      </c>
      <c r="V40" s="164">
        <v>6.28</v>
      </c>
      <c r="W40" s="164">
        <v>5.78</v>
      </c>
      <c r="X40" s="236"/>
      <c r="Y40" s="146">
        <v>5.5</v>
      </c>
      <c r="Z40" s="146">
        <v>100</v>
      </c>
      <c r="AA40" s="146">
        <v>100</v>
      </c>
      <c r="AB40" s="146">
        <v>100</v>
      </c>
      <c r="AC40" s="146">
        <v>100</v>
      </c>
      <c r="AD40" s="146">
        <v>100</v>
      </c>
      <c r="AE40" s="146">
        <v>100</v>
      </c>
      <c r="AF40" s="146">
        <v>96</v>
      </c>
      <c r="AG40" s="146">
        <v>92</v>
      </c>
      <c r="AH40" s="146">
        <v>87</v>
      </c>
      <c r="AI40" s="146">
        <v>83</v>
      </c>
      <c r="AJ40" s="146">
        <v>98</v>
      </c>
      <c r="AK40" s="146">
        <v>94</v>
      </c>
      <c r="AL40" s="146">
        <v>89</v>
      </c>
      <c r="AM40" s="146">
        <v>85</v>
      </c>
      <c r="AN40" s="146">
        <v>81</v>
      </c>
      <c r="AO40" s="146">
        <v>77</v>
      </c>
      <c r="AP40" s="146">
        <v>73</v>
      </c>
      <c r="AQ40" s="146">
        <v>68</v>
      </c>
      <c r="AR40" s="146">
        <v>64</v>
      </c>
      <c r="AS40" s="146">
        <v>88.79</v>
      </c>
    </row>
    <row r="41" spans="1:45" ht="16.5" thickBot="1" x14ac:dyDescent="0.3">
      <c r="A41" s="173">
        <v>0.43</v>
      </c>
      <c r="B41" s="164">
        <v>8.0500000000000007</v>
      </c>
      <c r="C41" s="164">
        <v>8.33</v>
      </c>
      <c r="D41" s="164">
        <v>8.33</v>
      </c>
      <c r="E41" s="164">
        <v>8.33</v>
      </c>
      <c r="F41" s="273">
        <v>8.33</v>
      </c>
      <c r="G41" s="240">
        <v>8.33</v>
      </c>
      <c r="H41" s="273">
        <v>8.33</v>
      </c>
      <c r="I41" s="164">
        <v>8.33</v>
      </c>
      <c r="J41" s="164">
        <v>8.33</v>
      </c>
      <c r="K41" s="164">
        <v>8.33</v>
      </c>
      <c r="L41" s="164">
        <v>8.33</v>
      </c>
      <c r="M41" s="245">
        <v>8.33</v>
      </c>
      <c r="N41" s="245">
        <v>8.33</v>
      </c>
      <c r="O41" s="245">
        <v>8.33</v>
      </c>
      <c r="P41" s="245">
        <v>8.1999999999999993</v>
      </c>
      <c r="Q41" s="164">
        <v>8</v>
      </c>
      <c r="R41" s="164">
        <v>7.8000000000000007</v>
      </c>
      <c r="S41" s="164">
        <v>7.5</v>
      </c>
      <c r="T41" s="164">
        <v>7.15</v>
      </c>
      <c r="U41" s="164">
        <v>6.75</v>
      </c>
      <c r="V41" s="164">
        <v>6.3</v>
      </c>
      <c r="W41" s="164">
        <v>5.8</v>
      </c>
      <c r="X41" s="236"/>
      <c r="Y41" s="146">
        <v>5.4</v>
      </c>
      <c r="Z41" s="146">
        <v>100</v>
      </c>
      <c r="AA41" s="146">
        <v>100</v>
      </c>
      <c r="AB41" s="146">
        <v>100</v>
      </c>
      <c r="AC41" s="146">
        <v>100</v>
      </c>
      <c r="AD41" s="146">
        <v>100</v>
      </c>
      <c r="AE41" s="146">
        <v>99</v>
      </c>
      <c r="AF41" s="146">
        <v>95</v>
      </c>
      <c r="AG41" s="146">
        <v>91</v>
      </c>
      <c r="AH41" s="146">
        <v>87</v>
      </c>
      <c r="AI41" s="146">
        <v>82</v>
      </c>
      <c r="AJ41" s="146">
        <v>97</v>
      </c>
      <c r="AK41" s="146">
        <v>93</v>
      </c>
      <c r="AL41" s="146">
        <v>88</v>
      </c>
      <c r="AM41" s="146">
        <v>84</v>
      </c>
      <c r="AN41" s="146">
        <v>80</v>
      </c>
      <c r="AO41" s="146">
        <v>76</v>
      </c>
      <c r="AP41" s="146">
        <v>72</v>
      </c>
      <c r="AQ41" s="146">
        <v>67</v>
      </c>
      <c r="AR41" s="146">
        <v>63</v>
      </c>
      <c r="AS41" s="146">
        <v>88.11</v>
      </c>
    </row>
    <row r="42" spans="1:45" ht="16.5" thickBot="1" x14ac:dyDescent="0.3">
      <c r="A42" s="173">
        <v>0.44</v>
      </c>
      <c r="B42" s="164">
        <v>8.08</v>
      </c>
      <c r="C42" s="164">
        <v>8.33</v>
      </c>
      <c r="D42" s="164">
        <v>8.33</v>
      </c>
      <c r="E42" s="164">
        <v>8.33</v>
      </c>
      <c r="F42" s="273">
        <v>8.33</v>
      </c>
      <c r="G42" s="240">
        <v>8.33</v>
      </c>
      <c r="H42" s="273">
        <v>8.33</v>
      </c>
      <c r="I42" s="164">
        <v>8.33</v>
      </c>
      <c r="J42" s="164">
        <v>8.33</v>
      </c>
      <c r="K42" s="164">
        <v>8.33</v>
      </c>
      <c r="L42" s="164">
        <v>8.33</v>
      </c>
      <c r="M42" s="245">
        <v>8.33</v>
      </c>
      <c r="N42" s="245">
        <v>8.33</v>
      </c>
      <c r="O42" s="245">
        <v>8.33</v>
      </c>
      <c r="P42" s="245">
        <v>8.23</v>
      </c>
      <c r="Q42" s="164">
        <v>8.0299999999999994</v>
      </c>
      <c r="R42" s="164">
        <v>7.83</v>
      </c>
      <c r="S42" s="164">
        <v>7.5299999999999994</v>
      </c>
      <c r="T42" s="164">
        <v>7.18</v>
      </c>
      <c r="U42" s="164">
        <v>6.78</v>
      </c>
      <c r="V42" s="164">
        <v>6.33</v>
      </c>
      <c r="W42" s="164">
        <v>5.83</v>
      </c>
      <c r="X42" s="236"/>
      <c r="Y42" s="146">
        <v>5.3</v>
      </c>
      <c r="Z42" s="146">
        <v>100</v>
      </c>
      <c r="AA42" s="146">
        <v>100</v>
      </c>
      <c r="AB42" s="146">
        <v>100</v>
      </c>
      <c r="AC42" s="146">
        <v>100</v>
      </c>
      <c r="AD42" s="146">
        <v>100</v>
      </c>
      <c r="AE42" s="146">
        <v>99</v>
      </c>
      <c r="AF42" s="146">
        <v>95</v>
      </c>
      <c r="AG42" s="146">
        <v>91</v>
      </c>
      <c r="AH42" s="146">
        <v>86</v>
      </c>
      <c r="AI42" s="146">
        <v>82</v>
      </c>
      <c r="AJ42" s="146">
        <v>97</v>
      </c>
      <c r="AK42" s="146">
        <v>92</v>
      </c>
      <c r="AL42" s="146">
        <v>88</v>
      </c>
      <c r="AM42" s="146">
        <v>84</v>
      </c>
      <c r="AN42" s="146">
        <v>80</v>
      </c>
      <c r="AO42" s="146">
        <v>75</v>
      </c>
      <c r="AP42" s="146">
        <v>71</v>
      </c>
      <c r="AQ42" s="146">
        <v>67</v>
      </c>
      <c r="AR42" s="146">
        <v>62</v>
      </c>
      <c r="AS42" s="146">
        <v>87.84</v>
      </c>
    </row>
    <row r="43" spans="1:45" ht="16.5" thickBot="1" x14ac:dyDescent="0.3">
      <c r="A43" s="173">
        <v>0.45</v>
      </c>
      <c r="B43" s="164">
        <v>8.1</v>
      </c>
      <c r="C43" s="164">
        <v>8.33</v>
      </c>
      <c r="D43" s="164">
        <v>8.33</v>
      </c>
      <c r="E43" s="164">
        <v>8.33</v>
      </c>
      <c r="F43" s="273">
        <v>8.33</v>
      </c>
      <c r="G43" s="240">
        <v>8.33</v>
      </c>
      <c r="H43" s="273">
        <v>8.33</v>
      </c>
      <c r="I43" s="164">
        <v>8.33</v>
      </c>
      <c r="J43" s="164">
        <v>8.33</v>
      </c>
      <c r="K43" s="164">
        <v>8.33</v>
      </c>
      <c r="L43" s="164">
        <v>8.33</v>
      </c>
      <c r="M43" s="245">
        <v>8.33</v>
      </c>
      <c r="N43" s="245">
        <v>8.33</v>
      </c>
      <c r="O43" s="245">
        <v>8.33</v>
      </c>
      <c r="P43" s="245">
        <v>8.25</v>
      </c>
      <c r="Q43" s="164">
        <v>8.0500000000000007</v>
      </c>
      <c r="R43" s="164">
        <v>7.85</v>
      </c>
      <c r="S43" s="164">
        <v>7.5500000000000007</v>
      </c>
      <c r="T43" s="164">
        <v>7.1999999999999993</v>
      </c>
      <c r="U43" s="164">
        <v>6.8</v>
      </c>
      <c r="V43" s="164">
        <v>6.35</v>
      </c>
      <c r="W43" s="164">
        <v>5.85</v>
      </c>
      <c r="X43" s="236"/>
      <c r="Y43" s="146">
        <v>5.2</v>
      </c>
      <c r="Z43" s="146">
        <v>100</v>
      </c>
      <c r="AA43" s="146">
        <v>100</v>
      </c>
      <c r="AB43" s="146">
        <v>100</v>
      </c>
      <c r="AC43" s="146">
        <v>100</v>
      </c>
      <c r="AD43" s="146">
        <v>100</v>
      </c>
      <c r="AE43" s="146">
        <v>99</v>
      </c>
      <c r="AF43" s="146">
        <v>94</v>
      </c>
      <c r="AG43" s="146">
        <v>90</v>
      </c>
      <c r="AH43" s="146">
        <v>86</v>
      </c>
      <c r="AI43" s="146">
        <v>81</v>
      </c>
      <c r="AJ43" s="146">
        <v>96</v>
      </c>
      <c r="AK43" s="146">
        <v>91</v>
      </c>
      <c r="AL43" s="146">
        <v>87</v>
      </c>
      <c r="AM43" s="146">
        <v>83</v>
      </c>
      <c r="AN43" s="146">
        <v>78</v>
      </c>
      <c r="AO43" s="146">
        <v>74</v>
      </c>
      <c r="AP43" s="146">
        <v>70</v>
      </c>
      <c r="AQ43" s="146">
        <v>66</v>
      </c>
      <c r="AR43" s="146">
        <v>61</v>
      </c>
      <c r="AS43" s="146">
        <v>87.16</v>
      </c>
    </row>
    <row r="44" spans="1:45" ht="16.5" thickBot="1" x14ac:dyDescent="0.3">
      <c r="A44" s="173">
        <v>0.46</v>
      </c>
      <c r="B44" s="164">
        <v>8.11</v>
      </c>
      <c r="C44" s="164">
        <v>8.33</v>
      </c>
      <c r="D44" s="164">
        <v>8.33</v>
      </c>
      <c r="E44" s="164">
        <v>8.33</v>
      </c>
      <c r="F44" s="273">
        <v>8.33</v>
      </c>
      <c r="G44" s="240">
        <v>8.33</v>
      </c>
      <c r="H44" s="273">
        <v>8.33</v>
      </c>
      <c r="I44" s="164">
        <v>8.33</v>
      </c>
      <c r="J44" s="164">
        <v>8.33</v>
      </c>
      <c r="K44" s="164">
        <v>8.33</v>
      </c>
      <c r="L44" s="164">
        <v>8.33</v>
      </c>
      <c r="M44" s="245">
        <v>8.33</v>
      </c>
      <c r="N44" s="245">
        <v>8.33</v>
      </c>
      <c r="O44" s="245">
        <v>8.33</v>
      </c>
      <c r="P44" s="245">
        <v>8.26</v>
      </c>
      <c r="Q44" s="164">
        <v>8.06</v>
      </c>
      <c r="R44" s="164">
        <v>7.8599999999999994</v>
      </c>
      <c r="S44" s="164">
        <v>7.5600000000000005</v>
      </c>
      <c r="T44" s="164">
        <v>7.2100000000000009</v>
      </c>
      <c r="U44" s="164">
        <v>6.81</v>
      </c>
      <c r="V44" s="164">
        <v>6.36</v>
      </c>
      <c r="W44" s="164">
        <v>5.86</v>
      </c>
      <c r="X44" s="236"/>
      <c r="Y44" s="146">
        <v>5.0999999999999996</v>
      </c>
      <c r="Z44" s="146">
        <v>100</v>
      </c>
      <c r="AA44" s="146">
        <v>100</v>
      </c>
      <c r="AB44" s="146">
        <v>100</v>
      </c>
      <c r="AC44" s="146">
        <v>100</v>
      </c>
      <c r="AD44" s="146">
        <v>100</v>
      </c>
      <c r="AE44" s="146">
        <v>98</v>
      </c>
      <c r="AF44" s="146">
        <v>94</v>
      </c>
      <c r="AG44" s="146">
        <v>89</v>
      </c>
      <c r="AH44" s="146">
        <v>85</v>
      </c>
      <c r="AI44" s="146">
        <v>81</v>
      </c>
      <c r="AJ44" s="146">
        <v>95</v>
      </c>
      <c r="AK44" s="146">
        <v>91</v>
      </c>
      <c r="AL44" s="146">
        <v>86</v>
      </c>
      <c r="AM44" s="146">
        <v>82</v>
      </c>
      <c r="AN44" s="146">
        <v>78</v>
      </c>
      <c r="AO44" s="146">
        <v>73</v>
      </c>
      <c r="AP44" s="146">
        <v>69</v>
      </c>
      <c r="AQ44" s="146">
        <v>64</v>
      </c>
      <c r="AR44" s="146">
        <v>60</v>
      </c>
      <c r="AS44" s="146">
        <v>86.58</v>
      </c>
    </row>
    <row r="45" spans="1:45" ht="16.5" thickBot="1" x14ac:dyDescent="0.3">
      <c r="A45" s="173">
        <v>0.47</v>
      </c>
      <c r="B45" s="164">
        <v>8.1300000000000008</v>
      </c>
      <c r="C45" s="164">
        <v>8.33</v>
      </c>
      <c r="D45" s="164">
        <v>8.33</v>
      </c>
      <c r="E45" s="164">
        <v>8.33</v>
      </c>
      <c r="F45" s="273">
        <v>8.33</v>
      </c>
      <c r="G45" s="240">
        <v>8.33</v>
      </c>
      <c r="H45" s="273">
        <v>8.33</v>
      </c>
      <c r="I45" s="164">
        <v>8.33</v>
      </c>
      <c r="J45" s="164">
        <v>8.33</v>
      </c>
      <c r="K45" s="164">
        <v>8.33</v>
      </c>
      <c r="L45" s="164">
        <v>8.33</v>
      </c>
      <c r="M45" s="245">
        <v>8.33</v>
      </c>
      <c r="N45" s="245">
        <v>8.33</v>
      </c>
      <c r="O45" s="245">
        <v>8.33</v>
      </c>
      <c r="P45" s="245">
        <v>8.2799999999999994</v>
      </c>
      <c r="Q45" s="164">
        <v>8.08</v>
      </c>
      <c r="R45" s="164">
        <v>7.8800000000000008</v>
      </c>
      <c r="S45" s="164">
        <v>7.58</v>
      </c>
      <c r="T45" s="164">
        <v>7.23</v>
      </c>
      <c r="U45" s="164">
        <v>6.83</v>
      </c>
      <c r="V45" s="164">
        <v>6.38</v>
      </c>
      <c r="W45" s="164">
        <v>5.88</v>
      </c>
      <c r="X45" s="236"/>
      <c r="Y45" s="146">
        <v>5</v>
      </c>
      <c r="Z45" s="146">
        <v>100</v>
      </c>
      <c r="AA45" s="146">
        <v>100</v>
      </c>
      <c r="AB45" s="146">
        <v>100</v>
      </c>
      <c r="AC45" s="146">
        <v>100</v>
      </c>
      <c r="AD45" s="146">
        <v>100</v>
      </c>
      <c r="AE45" s="146">
        <v>97</v>
      </c>
      <c r="AF45" s="146">
        <v>93</v>
      </c>
      <c r="AG45" s="146">
        <v>89</v>
      </c>
      <c r="AH45" s="146">
        <v>84</v>
      </c>
      <c r="AI45" s="146">
        <v>80</v>
      </c>
      <c r="AJ45" s="146">
        <v>95</v>
      </c>
      <c r="AK45" s="146">
        <v>90</v>
      </c>
      <c r="AL45" s="146">
        <v>85</v>
      </c>
      <c r="AM45" s="146">
        <v>81</v>
      </c>
      <c r="AN45" s="146">
        <v>77</v>
      </c>
      <c r="AO45" s="146">
        <v>72</v>
      </c>
      <c r="AP45" s="146">
        <v>68</v>
      </c>
      <c r="AQ45" s="146">
        <v>63</v>
      </c>
      <c r="AR45" s="146">
        <v>59</v>
      </c>
      <c r="AS45" s="146">
        <v>85.95</v>
      </c>
    </row>
    <row r="46" spans="1:45" x14ac:dyDescent="0.25">
      <c r="A46" s="173">
        <v>0.48</v>
      </c>
      <c r="B46" s="164">
        <v>8.15</v>
      </c>
      <c r="C46" s="164">
        <v>8.33</v>
      </c>
      <c r="D46" s="164">
        <v>8.33</v>
      </c>
      <c r="E46" s="164">
        <v>8.33</v>
      </c>
      <c r="F46" s="273">
        <v>8.33</v>
      </c>
      <c r="G46" s="240">
        <v>8.33</v>
      </c>
      <c r="H46" s="273">
        <v>8.33</v>
      </c>
      <c r="I46" s="164">
        <v>8.33</v>
      </c>
      <c r="J46" s="164">
        <v>8.33</v>
      </c>
      <c r="K46" s="164">
        <v>8.33</v>
      </c>
      <c r="L46" s="164">
        <v>8.33</v>
      </c>
      <c r="M46" s="245">
        <v>8.33</v>
      </c>
      <c r="N46" s="245">
        <v>8.33</v>
      </c>
      <c r="O46" s="245">
        <v>8.33</v>
      </c>
      <c r="P46" s="245">
        <v>8.3000000000000007</v>
      </c>
      <c r="Q46" s="164">
        <v>8.1</v>
      </c>
      <c r="R46" s="164">
        <v>7.9</v>
      </c>
      <c r="S46" s="164">
        <v>7.6</v>
      </c>
      <c r="T46" s="164">
        <v>7.25</v>
      </c>
      <c r="U46" s="164">
        <v>6.85</v>
      </c>
      <c r="V46" s="164">
        <v>6.4</v>
      </c>
      <c r="W46" s="164">
        <v>5.9</v>
      </c>
      <c r="X46" s="236"/>
    </row>
    <row r="47" spans="1:45" x14ac:dyDescent="0.25">
      <c r="A47" s="173">
        <v>0.49</v>
      </c>
      <c r="B47" s="164">
        <v>8.16</v>
      </c>
      <c r="C47" s="164">
        <v>8.33</v>
      </c>
      <c r="D47" s="164">
        <v>8.33</v>
      </c>
      <c r="E47" s="164">
        <v>8.33</v>
      </c>
      <c r="F47" s="273">
        <v>8.33</v>
      </c>
      <c r="G47" s="240">
        <v>8.33</v>
      </c>
      <c r="H47" s="273">
        <v>8.33</v>
      </c>
      <c r="I47" s="164">
        <v>8.33</v>
      </c>
      <c r="J47" s="164">
        <v>8.33</v>
      </c>
      <c r="K47" s="164">
        <v>8.33</v>
      </c>
      <c r="L47" s="164">
        <v>8.33</v>
      </c>
      <c r="M47" s="245">
        <v>8.33</v>
      </c>
      <c r="N47" s="245">
        <v>8.33</v>
      </c>
      <c r="O47" s="245">
        <v>8.33</v>
      </c>
      <c r="P47" s="245">
        <v>8.31</v>
      </c>
      <c r="Q47" s="164">
        <v>8.11</v>
      </c>
      <c r="R47" s="164">
        <v>7.91</v>
      </c>
      <c r="S47" s="164">
        <v>7.6099999999999994</v>
      </c>
      <c r="T47" s="164">
        <v>7.26</v>
      </c>
      <c r="U47" s="164">
        <v>6.86</v>
      </c>
      <c r="V47" s="164">
        <v>6.41</v>
      </c>
      <c r="W47" s="164">
        <v>5.91</v>
      </c>
      <c r="X47" s="236"/>
    </row>
    <row r="48" spans="1:45" x14ac:dyDescent="0.25">
      <c r="A48" s="173">
        <v>0.5</v>
      </c>
      <c r="B48" s="164">
        <v>8.18</v>
      </c>
      <c r="C48" s="164">
        <v>8.33</v>
      </c>
      <c r="D48" s="164">
        <v>8.33</v>
      </c>
      <c r="E48" s="164">
        <v>8.33</v>
      </c>
      <c r="F48" s="273">
        <v>8.33</v>
      </c>
      <c r="G48" s="240">
        <v>8.33</v>
      </c>
      <c r="H48" s="273">
        <v>8.33</v>
      </c>
      <c r="I48" s="164">
        <v>8.33</v>
      </c>
      <c r="J48" s="164">
        <v>8.33</v>
      </c>
      <c r="K48" s="164">
        <v>8.33</v>
      </c>
      <c r="L48" s="164">
        <v>8.33</v>
      </c>
      <c r="M48" s="245">
        <v>8.33</v>
      </c>
      <c r="N48" s="245">
        <v>8.33</v>
      </c>
      <c r="O48" s="245">
        <v>8.33</v>
      </c>
      <c r="P48" s="245">
        <v>8.33</v>
      </c>
      <c r="Q48" s="164">
        <v>8.1300000000000008</v>
      </c>
      <c r="R48" s="164">
        <v>7.93</v>
      </c>
      <c r="S48" s="164">
        <v>7.63</v>
      </c>
      <c r="T48" s="164">
        <v>7.2799999999999994</v>
      </c>
      <c r="U48" s="164">
        <v>6.88</v>
      </c>
      <c r="V48" s="164">
        <v>6.43</v>
      </c>
      <c r="W48" s="164">
        <v>5.93</v>
      </c>
      <c r="X48" s="236"/>
    </row>
    <row r="49" spans="1:24" x14ac:dyDescent="0.25">
      <c r="A49" s="147"/>
      <c r="B49" s="147"/>
      <c r="C49" s="147"/>
      <c r="D49" s="147"/>
      <c r="E49" s="147"/>
      <c r="F49" s="147"/>
    </row>
    <row r="50" spans="1:24" x14ac:dyDescent="0.25">
      <c r="A50" s="166" t="s">
        <v>201</v>
      </c>
      <c r="B50" s="147"/>
      <c r="C50" s="147"/>
      <c r="D50" s="147"/>
      <c r="E50" s="147"/>
      <c r="F50" s="147"/>
      <c r="G50" s="147"/>
      <c r="I50" s="147"/>
      <c r="J50" s="147"/>
      <c r="K50" s="147"/>
      <c r="L50" s="147"/>
      <c r="M50" s="147"/>
      <c r="N50" s="147"/>
      <c r="O50" s="147"/>
      <c r="P50" s="147"/>
      <c r="Q50" s="147"/>
      <c r="R50" s="147"/>
      <c r="S50" s="147"/>
      <c r="T50" s="147"/>
      <c r="U50" s="147"/>
      <c r="V50" s="147"/>
      <c r="W50" s="147"/>
      <c r="X50" s="238"/>
    </row>
    <row r="51" spans="1:24" x14ac:dyDescent="0.25">
      <c r="A51" s="166" t="s">
        <v>202</v>
      </c>
      <c r="B51" s="147"/>
      <c r="C51" s="147"/>
      <c r="D51" s="147"/>
      <c r="E51" s="147"/>
      <c r="F51" s="147"/>
      <c r="G51" s="147"/>
      <c r="I51" s="147"/>
      <c r="J51" s="147"/>
      <c r="K51" s="147"/>
      <c r="L51" s="147"/>
      <c r="M51" s="147"/>
      <c r="N51" s="147"/>
      <c r="O51" s="147"/>
      <c r="P51" s="147"/>
      <c r="Q51" s="147"/>
      <c r="R51" s="147"/>
      <c r="S51" s="147"/>
      <c r="T51" s="147"/>
      <c r="U51" s="147"/>
      <c r="V51" s="147"/>
      <c r="W51" s="147"/>
      <c r="X51" s="238"/>
    </row>
    <row r="52" spans="1:24" x14ac:dyDescent="0.25">
      <c r="A52" s="166" t="s">
        <v>203</v>
      </c>
      <c r="B52" s="147"/>
      <c r="C52" s="147"/>
      <c r="D52" s="147"/>
      <c r="E52" s="147"/>
      <c r="F52" s="147"/>
      <c r="G52" s="147"/>
      <c r="I52" s="147"/>
      <c r="J52" s="147"/>
      <c r="K52" s="147"/>
      <c r="L52" s="147"/>
      <c r="M52" s="147"/>
      <c r="N52" s="147"/>
      <c r="O52" s="147"/>
      <c r="P52" s="147"/>
      <c r="Q52" s="147"/>
      <c r="R52" s="147"/>
      <c r="S52" s="147"/>
      <c r="T52" s="147"/>
      <c r="U52" s="147"/>
      <c r="V52" s="147"/>
      <c r="W52" s="147"/>
      <c r="X52" s="238"/>
    </row>
    <row r="53" spans="1:24" x14ac:dyDescent="0.25">
      <c r="A53" s="147"/>
      <c r="B53" s="147"/>
      <c r="C53" s="147"/>
      <c r="D53" s="147"/>
      <c r="E53" s="147"/>
      <c r="F53" s="147"/>
      <c r="G53" s="147"/>
      <c r="I53" s="147"/>
      <c r="J53" s="147"/>
      <c r="K53" s="147"/>
      <c r="L53" s="147"/>
      <c r="M53" s="147"/>
      <c r="N53" s="147"/>
      <c r="O53" s="147"/>
      <c r="P53" s="147"/>
      <c r="Q53" s="147"/>
      <c r="R53" s="147"/>
      <c r="S53" s="147"/>
      <c r="T53" s="147"/>
      <c r="U53" s="147"/>
      <c r="V53" s="147"/>
      <c r="W53" s="147"/>
      <c r="X53" s="238"/>
    </row>
    <row r="54" spans="1:24" x14ac:dyDescent="0.25">
      <c r="A54" s="147"/>
      <c r="B54" s="147"/>
      <c r="C54" s="147"/>
      <c r="D54" s="147"/>
      <c r="E54" s="147"/>
      <c r="F54" s="147"/>
      <c r="G54" s="147"/>
      <c r="I54" s="147"/>
      <c r="J54" s="147"/>
      <c r="K54" s="147"/>
      <c r="L54" s="147"/>
      <c r="M54" s="147"/>
      <c r="N54" s="147"/>
      <c r="O54" s="147"/>
      <c r="P54" s="147"/>
      <c r="Q54" s="147"/>
      <c r="R54" s="147"/>
      <c r="S54" s="147"/>
      <c r="T54" s="147"/>
      <c r="U54" s="147"/>
      <c r="V54" s="147"/>
      <c r="W54" s="147"/>
      <c r="X54" s="238"/>
    </row>
    <row r="55" spans="1:24" x14ac:dyDescent="0.25">
      <c r="A55" s="147"/>
      <c r="B55" s="147"/>
      <c r="C55" s="147"/>
      <c r="D55" s="147"/>
      <c r="E55" s="147"/>
      <c r="F55" s="147"/>
      <c r="G55" s="147"/>
      <c r="I55" s="147"/>
      <c r="J55" s="147"/>
      <c r="K55" s="147"/>
      <c r="L55" s="147"/>
      <c r="M55" s="147"/>
      <c r="N55" s="147"/>
      <c r="O55" s="147"/>
      <c r="P55" s="147"/>
      <c r="Q55" s="147"/>
      <c r="R55" s="147"/>
      <c r="S55" s="147"/>
      <c r="T55" s="147"/>
      <c r="U55" s="147"/>
      <c r="V55" s="147"/>
      <c r="W55" s="147"/>
      <c r="X55" s="238"/>
    </row>
    <row r="56" spans="1:24" x14ac:dyDescent="0.25">
      <c r="A56" s="174" t="s">
        <v>204</v>
      </c>
      <c r="B56" s="147"/>
      <c r="C56" s="147"/>
      <c r="D56" s="147"/>
      <c r="E56" s="147"/>
      <c r="F56" s="147"/>
    </row>
    <row r="57" spans="1:24" x14ac:dyDescent="0.25">
      <c r="A57" s="147"/>
      <c r="B57" s="147"/>
      <c r="C57" s="147"/>
      <c r="D57" s="147"/>
      <c r="E57" s="147"/>
      <c r="F57" s="147"/>
    </row>
    <row r="58" spans="1:24" x14ac:dyDescent="0.25">
      <c r="A58" s="175" t="s">
        <v>61</v>
      </c>
      <c r="B58" s="175" t="s">
        <v>205</v>
      </c>
      <c r="C58" s="175" t="s">
        <v>206</v>
      </c>
      <c r="D58" s="175" t="s">
        <v>207</v>
      </c>
      <c r="E58" s="175" t="s">
        <v>208</v>
      </c>
      <c r="F58" s="175" t="s">
        <v>209</v>
      </c>
      <c r="H58" s="241" t="s">
        <v>210</v>
      </c>
    </row>
    <row r="59" spans="1:24" ht="23.25" x14ac:dyDescent="0.25">
      <c r="A59" s="176">
        <v>17</v>
      </c>
      <c r="B59" s="603" t="s">
        <v>211</v>
      </c>
      <c r="C59" s="177" t="s">
        <v>172</v>
      </c>
      <c r="D59" s="604" t="s">
        <v>212</v>
      </c>
      <c r="E59" s="604" t="s">
        <v>212</v>
      </c>
      <c r="F59" s="178" t="s">
        <v>213</v>
      </c>
      <c r="H59" s="242" t="s">
        <v>214</v>
      </c>
    </row>
    <row r="60" spans="1:24" ht="23.25" x14ac:dyDescent="0.25">
      <c r="A60" s="179">
        <v>18</v>
      </c>
      <c r="B60" s="603"/>
      <c r="C60" s="177" t="s">
        <v>215</v>
      </c>
      <c r="D60" s="604"/>
      <c r="E60" s="604"/>
      <c r="F60" s="178" t="s">
        <v>216</v>
      </c>
      <c r="H60" s="241" t="s">
        <v>217</v>
      </c>
    </row>
    <row r="61" spans="1:24" x14ac:dyDescent="0.25">
      <c r="A61" s="176">
        <v>19</v>
      </c>
      <c r="B61" s="603"/>
      <c r="C61" s="180"/>
      <c r="D61" s="604"/>
      <c r="E61" s="604"/>
      <c r="F61" s="181"/>
      <c r="H61" s="241" t="s">
        <v>218</v>
      </c>
      <c r="I61" s="147"/>
    </row>
    <row r="62" spans="1:24" ht="23.25" x14ac:dyDescent="0.25">
      <c r="A62" s="179">
        <v>20</v>
      </c>
      <c r="B62" s="603"/>
      <c r="C62" s="178" t="s">
        <v>212</v>
      </c>
      <c r="D62" s="605" t="s">
        <v>213</v>
      </c>
      <c r="E62" s="178" t="s">
        <v>213</v>
      </c>
      <c r="F62" s="181"/>
      <c r="H62" s="241" t="s">
        <v>219</v>
      </c>
    </row>
    <row r="63" spans="1:24" ht="23.25" x14ac:dyDescent="0.25">
      <c r="A63" s="176">
        <v>21</v>
      </c>
      <c r="B63" s="606" t="s">
        <v>172</v>
      </c>
      <c r="C63" s="178" t="s">
        <v>220</v>
      </c>
      <c r="D63" s="605"/>
      <c r="E63" s="178" t="s">
        <v>216</v>
      </c>
      <c r="F63" s="181"/>
      <c r="H63" s="241" t="s">
        <v>221</v>
      </c>
    </row>
    <row r="64" spans="1:24" x14ac:dyDescent="0.25">
      <c r="A64" s="179">
        <v>22</v>
      </c>
      <c r="B64" s="606"/>
      <c r="C64" s="181"/>
      <c r="D64" s="605"/>
      <c r="E64" s="181"/>
      <c r="F64" s="181"/>
      <c r="H64" s="241" t="s">
        <v>222</v>
      </c>
    </row>
    <row r="65" spans="1:8" x14ac:dyDescent="0.25">
      <c r="A65" s="176">
        <v>23</v>
      </c>
      <c r="B65" s="606"/>
      <c r="C65" s="181"/>
      <c r="D65" s="605"/>
      <c r="E65" s="181"/>
      <c r="F65" s="181"/>
    </row>
    <row r="66" spans="1:8" x14ac:dyDescent="0.25">
      <c r="A66" s="179">
        <v>24</v>
      </c>
      <c r="B66" s="606"/>
      <c r="C66" s="181"/>
      <c r="D66" s="605"/>
      <c r="E66" s="181"/>
      <c r="F66" s="181"/>
      <c r="H66" s="241" t="s">
        <v>223</v>
      </c>
    </row>
    <row r="67" spans="1:8" x14ac:dyDescent="0.25">
      <c r="A67" s="176">
        <v>25</v>
      </c>
      <c r="B67" s="606"/>
      <c r="C67" s="181"/>
      <c r="D67" s="604" t="s">
        <v>212</v>
      </c>
      <c r="E67" s="181"/>
      <c r="F67" s="181"/>
      <c r="H67" s="241" t="s">
        <v>224</v>
      </c>
    </row>
    <row r="68" spans="1:8" x14ac:dyDescent="0.25">
      <c r="A68" s="179">
        <v>26</v>
      </c>
      <c r="B68" s="606"/>
      <c r="C68" s="604" t="s">
        <v>212</v>
      </c>
      <c r="D68" s="604"/>
      <c r="E68" s="181"/>
      <c r="F68" s="181"/>
    </row>
    <row r="69" spans="1:8" x14ac:dyDescent="0.25">
      <c r="A69" s="176">
        <v>27</v>
      </c>
      <c r="B69" s="603" t="s">
        <v>211</v>
      </c>
      <c r="C69" s="604"/>
      <c r="D69" s="604"/>
      <c r="E69" s="181"/>
      <c r="F69" s="181"/>
    </row>
    <row r="70" spans="1:8" x14ac:dyDescent="0.25">
      <c r="A70" s="179">
        <v>28</v>
      </c>
      <c r="B70" s="603"/>
      <c r="C70" s="606" t="s">
        <v>172</v>
      </c>
      <c r="D70" s="604"/>
      <c r="E70" s="181"/>
      <c r="F70" s="181"/>
      <c r="H70" s="241" t="s">
        <v>225</v>
      </c>
    </row>
    <row r="71" spans="1:8" x14ac:dyDescent="0.25">
      <c r="A71" s="176">
        <v>29</v>
      </c>
      <c r="B71" s="603"/>
      <c r="C71" s="606"/>
      <c r="D71" s="604"/>
      <c r="E71" s="181"/>
      <c r="F71" s="181"/>
    </row>
    <row r="72" spans="1:8" x14ac:dyDescent="0.25">
      <c r="A72" s="179">
        <v>30</v>
      </c>
      <c r="B72" s="603"/>
      <c r="C72" s="606"/>
      <c r="D72" s="606" t="s">
        <v>172</v>
      </c>
      <c r="E72" s="181"/>
      <c r="F72" s="181"/>
      <c r="H72" s="241" t="s">
        <v>226</v>
      </c>
    </row>
    <row r="73" spans="1:8" x14ac:dyDescent="0.25">
      <c r="A73" s="176">
        <v>31</v>
      </c>
      <c r="B73" s="603"/>
      <c r="C73" s="606"/>
      <c r="D73" s="606"/>
      <c r="E73" s="178" t="s">
        <v>212</v>
      </c>
      <c r="F73" s="181"/>
    </row>
    <row r="74" spans="1:8" ht="23.25" x14ac:dyDescent="0.25">
      <c r="A74" s="179">
        <v>32</v>
      </c>
      <c r="B74" s="603"/>
      <c r="C74" s="606"/>
      <c r="D74" s="606"/>
      <c r="E74" s="178" t="s">
        <v>220</v>
      </c>
      <c r="F74" s="181"/>
      <c r="H74" s="241" t="s">
        <v>227</v>
      </c>
    </row>
    <row r="75" spans="1:8" ht="23.25" x14ac:dyDescent="0.25">
      <c r="A75" s="176">
        <v>33</v>
      </c>
      <c r="B75" s="603"/>
      <c r="C75" s="603" t="s">
        <v>211</v>
      </c>
      <c r="D75" s="606"/>
      <c r="E75" s="177" t="s">
        <v>172</v>
      </c>
      <c r="F75" s="177" t="s">
        <v>172</v>
      </c>
    </row>
    <row r="76" spans="1:8" x14ac:dyDescent="0.25">
      <c r="A76" s="179">
        <v>34</v>
      </c>
      <c r="B76" s="607" t="s">
        <v>228</v>
      </c>
      <c r="C76" s="603"/>
      <c r="D76" s="606"/>
      <c r="E76" s="177" t="s">
        <v>215</v>
      </c>
      <c r="F76" s="177" t="s">
        <v>215</v>
      </c>
      <c r="H76" s="241" t="s">
        <v>229</v>
      </c>
    </row>
    <row r="77" spans="1:8" x14ac:dyDescent="0.25">
      <c r="A77" s="176">
        <v>35</v>
      </c>
      <c r="B77" s="607"/>
      <c r="C77" s="607" t="s">
        <v>228</v>
      </c>
      <c r="D77" s="603" t="s">
        <v>211</v>
      </c>
      <c r="E77" s="603" t="s">
        <v>211</v>
      </c>
      <c r="F77" s="180"/>
    </row>
    <row r="78" spans="1:8" ht="23.25" x14ac:dyDescent="0.25">
      <c r="A78" s="179">
        <v>36</v>
      </c>
      <c r="B78" s="607"/>
      <c r="C78" s="607"/>
      <c r="D78" s="603"/>
      <c r="E78" s="603"/>
      <c r="F78" s="182" t="s">
        <v>211</v>
      </c>
      <c r="H78" s="241" t="s">
        <v>230</v>
      </c>
    </row>
    <row r="79" spans="1:8" x14ac:dyDescent="0.25">
      <c r="A79" s="602" t="s">
        <v>231</v>
      </c>
      <c r="B79" s="602"/>
      <c r="C79" s="602"/>
      <c r="D79" s="602"/>
      <c r="E79" s="602"/>
      <c r="F79" s="602"/>
    </row>
    <row r="80" spans="1:8" x14ac:dyDescent="0.25">
      <c r="A80" s="147"/>
      <c r="B80" s="147"/>
      <c r="C80" s="147"/>
      <c r="D80" s="147"/>
      <c r="E80" s="147"/>
      <c r="F80" s="147"/>
      <c r="H80" s="241" t="s">
        <v>232</v>
      </c>
    </row>
    <row r="81" spans="1:24" x14ac:dyDescent="0.25">
      <c r="A81" s="147"/>
      <c r="B81" s="147"/>
      <c r="C81" s="147"/>
      <c r="D81" s="147"/>
      <c r="E81" s="147"/>
      <c r="F81" s="147"/>
    </row>
    <row r="82" spans="1:24" x14ac:dyDescent="0.25">
      <c r="A82" s="147"/>
      <c r="B82" s="147"/>
      <c r="C82" s="147"/>
      <c r="D82" s="147"/>
      <c r="E82" s="147"/>
      <c r="F82" s="147"/>
      <c r="H82" s="241" t="s">
        <v>359</v>
      </c>
    </row>
    <row r="83" spans="1:24" x14ac:dyDescent="0.25">
      <c r="A83" s="147"/>
      <c r="B83" s="147"/>
      <c r="C83" s="147"/>
      <c r="D83" s="147"/>
      <c r="E83" s="147"/>
      <c r="F83" s="147"/>
    </row>
    <row r="84" spans="1:24" x14ac:dyDescent="0.25">
      <c r="A84" t="s">
        <v>233</v>
      </c>
      <c r="B84" s="147"/>
      <c r="C84" s="147"/>
      <c r="D84" s="147"/>
      <c r="E84" s="147"/>
      <c r="F84" s="147"/>
    </row>
    <row r="85" spans="1:24" x14ac:dyDescent="0.25">
      <c r="A85" t="s">
        <v>234</v>
      </c>
      <c r="B85" s="147"/>
      <c r="C85" s="147"/>
      <c r="D85" s="147"/>
      <c r="E85" s="147"/>
      <c r="F85" s="147"/>
    </row>
    <row r="86" spans="1:24" x14ac:dyDescent="0.25">
      <c r="A86" s="147" t="s">
        <v>235</v>
      </c>
      <c r="B86" s="147"/>
      <c r="C86" s="147"/>
      <c r="D86" s="147"/>
      <c r="E86" s="147"/>
      <c r="F86" s="147"/>
    </row>
    <row r="87" spans="1:24" x14ac:dyDescent="0.25">
      <c r="A87" s="147"/>
      <c r="B87" s="147"/>
      <c r="C87" s="147"/>
      <c r="D87" s="147"/>
      <c r="E87" s="147"/>
      <c r="F87" s="147"/>
      <c r="G87" s="147"/>
      <c r="I87" s="147"/>
      <c r="J87" s="147"/>
      <c r="K87" s="147"/>
      <c r="L87" s="147"/>
      <c r="M87" s="147"/>
      <c r="N87" s="147"/>
      <c r="O87" s="147"/>
      <c r="P87" s="147"/>
      <c r="Q87" s="147"/>
      <c r="R87" s="147"/>
      <c r="S87" s="147"/>
      <c r="T87" s="147"/>
      <c r="U87" s="147"/>
      <c r="V87" s="147"/>
      <c r="W87" s="147"/>
      <c r="X87" s="238"/>
    </row>
    <row r="88" spans="1:24" x14ac:dyDescent="0.25">
      <c r="A88" s="147"/>
      <c r="B88" s="147"/>
      <c r="C88" s="147"/>
      <c r="D88" s="147"/>
      <c r="E88" s="147"/>
      <c r="F88" s="147"/>
      <c r="G88" s="147"/>
      <c r="I88" s="147"/>
      <c r="J88" s="147"/>
      <c r="K88" s="147"/>
      <c r="L88" s="147"/>
      <c r="M88" s="147"/>
      <c r="N88" s="147"/>
      <c r="O88" s="147"/>
      <c r="P88" s="147"/>
      <c r="Q88" s="147"/>
      <c r="R88" s="147"/>
      <c r="S88" s="147"/>
      <c r="T88" s="147"/>
      <c r="U88" s="147"/>
      <c r="V88" s="147"/>
      <c r="W88" s="147"/>
      <c r="X88" s="238"/>
    </row>
    <row r="89" spans="1:24" x14ac:dyDescent="0.25">
      <c r="A89" s="147"/>
      <c r="B89" s="147"/>
      <c r="C89" s="147"/>
      <c r="D89" s="147"/>
      <c r="E89" s="147"/>
      <c r="F89" s="147"/>
      <c r="G89" s="147"/>
      <c r="I89" s="147"/>
      <c r="J89" s="147"/>
      <c r="K89" s="147"/>
      <c r="L89" s="147"/>
      <c r="M89" s="147"/>
      <c r="N89" s="147"/>
      <c r="O89" s="147"/>
      <c r="P89" s="147"/>
      <c r="Q89" s="147"/>
      <c r="R89" s="147"/>
      <c r="S89" s="147"/>
      <c r="T89" s="147"/>
      <c r="U89" s="147"/>
      <c r="V89" s="147"/>
      <c r="W89" s="147"/>
      <c r="X89" s="238"/>
    </row>
    <row r="90" spans="1:24" x14ac:dyDescent="0.25">
      <c r="A90" s="147"/>
      <c r="B90" s="147"/>
      <c r="C90" s="147"/>
      <c r="D90" s="147"/>
      <c r="E90" s="147"/>
      <c r="F90" s="147"/>
      <c r="G90" s="147"/>
      <c r="I90" s="147"/>
      <c r="J90" s="147"/>
      <c r="K90" s="147"/>
      <c r="L90" s="147"/>
      <c r="M90" s="147"/>
      <c r="N90" s="147"/>
      <c r="O90" s="147"/>
      <c r="P90" s="147"/>
      <c r="Q90" s="147"/>
      <c r="R90" s="147"/>
      <c r="S90" s="147"/>
      <c r="T90" s="147"/>
      <c r="U90" s="147"/>
      <c r="V90" s="147"/>
      <c r="W90" s="147"/>
      <c r="X90" s="238"/>
    </row>
    <row r="91" spans="1:24" x14ac:dyDescent="0.25">
      <c r="A91" s="147"/>
      <c r="B91" s="147"/>
      <c r="C91" s="147"/>
      <c r="D91" s="147"/>
      <c r="E91" s="147"/>
      <c r="F91" s="147"/>
      <c r="G91" s="147"/>
      <c r="I91" s="147"/>
      <c r="J91" s="147"/>
      <c r="K91" s="147"/>
      <c r="L91" s="147"/>
      <c r="M91" s="147"/>
      <c r="N91" s="147"/>
      <c r="O91" s="147"/>
      <c r="P91" s="147"/>
      <c r="Q91" s="147"/>
      <c r="R91" s="147"/>
      <c r="S91" s="147"/>
      <c r="T91" s="147"/>
      <c r="U91" s="147"/>
      <c r="V91" s="147"/>
      <c r="W91" s="147"/>
      <c r="X91" s="238"/>
    </row>
    <row r="92" spans="1:24" x14ac:dyDescent="0.25">
      <c r="A92" s="147"/>
      <c r="B92" s="147"/>
      <c r="C92" s="147"/>
      <c r="D92" s="147"/>
      <c r="E92" s="147"/>
      <c r="F92" s="147"/>
      <c r="G92" s="147"/>
      <c r="I92" s="147"/>
      <c r="J92" s="147"/>
      <c r="K92" s="147"/>
      <c r="L92" s="147"/>
      <c r="M92" s="147"/>
      <c r="N92" s="147"/>
      <c r="O92" s="147"/>
      <c r="P92" s="147"/>
      <c r="Q92" s="147"/>
      <c r="R92" s="147"/>
      <c r="S92" s="147"/>
      <c r="T92" s="147"/>
      <c r="U92" s="147"/>
      <c r="V92" s="147"/>
      <c r="W92" s="147"/>
      <c r="X92" s="238"/>
    </row>
    <row r="93" spans="1:24" x14ac:dyDescent="0.25">
      <c r="A93" s="147"/>
      <c r="B93" s="147"/>
      <c r="C93" s="147"/>
      <c r="D93" s="147"/>
      <c r="E93" s="147"/>
      <c r="F93" s="147"/>
      <c r="G93" s="147"/>
      <c r="I93" s="147"/>
      <c r="J93" s="147"/>
      <c r="K93" s="147"/>
      <c r="L93" s="147"/>
      <c r="M93" s="147"/>
      <c r="N93" s="147"/>
      <c r="O93" s="147"/>
      <c r="P93" s="147"/>
      <c r="Q93" s="147"/>
      <c r="R93" s="147"/>
      <c r="S93" s="147"/>
      <c r="T93" s="147"/>
      <c r="U93" s="147"/>
      <c r="V93" s="147"/>
      <c r="W93" s="147"/>
      <c r="X93" s="238"/>
    </row>
    <row r="94" spans="1:24" x14ac:dyDescent="0.25">
      <c r="A94" s="147"/>
      <c r="B94" s="147"/>
      <c r="C94" s="147"/>
      <c r="D94" s="147"/>
      <c r="E94" s="147"/>
      <c r="F94" s="147"/>
      <c r="G94" s="147"/>
      <c r="I94" s="147"/>
      <c r="J94" s="147"/>
      <c r="K94" s="147"/>
      <c r="L94" s="147"/>
      <c r="M94" s="147"/>
      <c r="N94" s="147"/>
      <c r="O94" s="147"/>
      <c r="P94" s="147"/>
      <c r="Q94" s="147"/>
      <c r="R94" s="147"/>
      <c r="S94" s="147"/>
      <c r="T94" s="147"/>
      <c r="U94" s="147"/>
      <c r="V94" s="147"/>
      <c r="W94" s="147"/>
      <c r="X94" s="238"/>
    </row>
    <row r="95" spans="1:24" x14ac:dyDescent="0.25">
      <c r="A95" s="147"/>
      <c r="B95" s="147"/>
      <c r="C95" s="147"/>
      <c r="D95" s="147"/>
      <c r="E95" s="147"/>
      <c r="F95" s="147"/>
      <c r="G95" s="147"/>
      <c r="I95" s="147"/>
      <c r="J95" s="147"/>
      <c r="K95" s="147"/>
      <c r="L95" s="147"/>
      <c r="M95" s="147"/>
      <c r="N95" s="147"/>
      <c r="O95" s="147"/>
      <c r="P95" s="147"/>
      <c r="Q95" s="147"/>
      <c r="R95" s="147"/>
      <c r="S95" s="147"/>
      <c r="T95" s="147"/>
      <c r="U95" s="147"/>
      <c r="V95" s="147"/>
      <c r="W95" s="147"/>
      <c r="X95" s="238"/>
    </row>
    <row r="96" spans="1:24" x14ac:dyDescent="0.25">
      <c r="A96" s="147"/>
      <c r="B96" s="147"/>
      <c r="C96" s="147"/>
      <c r="D96" s="147"/>
      <c r="E96" s="147"/>
      <c r="F96" s="147"/>
      <c r="G96" s="147"/>
      <c r="I96" s="147"/>
      <c r="J96" s="147"/>
      <c r="K96" s="147"/>
      <c r="L96" s="147"/>
      <c r="M96" s="147"/>
      <c r="N96" s="147"/>
      <c r="O96" s="147"/>
      <c r="P96" s="147"/>
      <c r="Q96" s="147"/>
      <c r="R96" s="147"/>
      <c r="S96" s="147"/>
      <c r="T96" s="147"/>
      <c r="U96" s="147"/>
      <c r="V96" s="147"/>
      <c r="W96" s="147"/>
      <c r="X96" s="238"/>
    </row>
    <row r="97" spans="1:24" x14ac:dyDescent="0.25">
      <c r="A97" s="147"/>
      <c r="B97" s="147"/>
      <c r="C97" s="147"/>
      <c r="D97" s="147"/>
      <c r="E97" s="147"/>
      <c r="F97" s="147"/>
      <c r="G97" s="147"/>
      <c r="I97" s="147"/>
      <c r="J97" s="147"/>
      <c r="K97" s="147"/>
      <c r="L97" s="147"/>
      <c r="M97" s="147"/>
      <c r="N97" s="147"/>
      <c r="O97" s="147"/>
      <c r="P97" s="147"/>
      <c r="Q97" s="147"/>
      <c r="R97" s="147"/>
      <c r="S97" s="147"/>
      <c r="T97" s="147"/>
      <c r="U97" s="147"/>
      <c r="V97" s="147"/>
      <c r="W97" s="147"/>
      <c r="X97" s="238"/>
    </row>
    <row r="98" spans="1:24" x14ac:dyDescent="0.25">
      <c r="A98" s="147"/>
      <c r="B98" s="147"/>
      <c r="C98" s="147"/>
      <c r="D98" s="147"/>
      <c r="E98" s="147"/>
      <c r="F98" s="147"/>
      <c r="G98" s="147"/>
      <c r="I98" s="147"/>
      <c r="J98" s="147"/>
      <c r="K98" s="147"/>
      <c r="L98" s="147"/>
      <c r="M98" s="147"/>
      <c r="N98" s="147"/>
      <c r="O98" s="147"/>
      <c r="P98" s="147"/>
      <c r="Q98" s="147"/>
      <c r="R98" s="147"/>
      <c r="S98" s="147"/>
      <c r="T98" s="147"/>
      <c r="U98" s="147"/>
      <c r="V98" s="147"/>
      <c r="W98" s="147"/>
      <c r="X98" s="238"/>
    </row>
    <row r="99" spans="1:24" x14ac:dyDescent="0.25">
      <c r="A99" s="147"/>
      <c r="B99" s="147"/>
      <c r="C99" s="147"/>
      <c r="D99" s="147"/>
      <c r="E99" s="147"/>
      <c r="F99" s="147"/>
      <c r="G99" s="147"/>
      <c r="I99" s="147"/>
      <c r="J99" s="147"/>
      <c r="K99" s="147"/>
      <c r="L99" s="147"/>
      <c r="M99" s="147"/>
      <c r="N99" s="147"/>
      <c r="O99" s="147"/>
      <c r="P99" s="147"/>
      <c r="Q99" s="147"/>
      <c r="R99" s="147"/>
      <c r="S99" s="147"/>
      <c r="T99" s="147"/>
      <c r="U99" s="147"/>
      <c r="V99" s="147"/>
      <c r="W99" s="147"/>
      <c r="X99" s="238"/>
    </row>
    <row r="100" spans="1:24" x14ac:dyDescent="0.25">
      <c r="A100" s="147"/>
      <c r="B100" s="147"/>
      <c r="C100" s="147"/>
      <c r="D100" s="147"/>
      <c r="E100" s="147"/>
      <c r="F100" s="147"/>
      <c r="G100" s="147"/>
      <c r="I100" s="147"/>
      <c r="J100" s="147"/>
      <c r="K100" s="147"/>
      <c r="L100" s="147"/>
      <c r="M100" s="147"/>
      <c r="N100" s="147"/>
      <c r="O100" s="147"/>
      <c r="P100" s="147"/>
      <c r="Q100" s="147"/>
      <c r="R100" s="147"/>
      <c r="S100" s="147"/>
      <c r="T100" s="147"/>
      <c r="U100" s="147"/>
      <c r="V100" s="147"/>
      <c r="W100" s="147"/>
      <c r="X100" s="238"/>
    </row>
    <row r="101" spans="1:24" x14ac:dyDescent="0.25">
      <c r="A101" s="147"/>
      <c r="B101" s="147"/>
      <c r="C101" s="147"/>
      <c r="D101" s="147"/>
      <c r="E101" s="147"/>
      <c r="F101" s="147"/>
      <c r="G101" s="147"/>
      <c r="I101" s="147"/>
      <c r="J101" s="147"/>
      <c r="K101" s="147"/>
      <c r="L101" s="147"/>
      <c r="M101" s="147"/>
      <c r="N101" s="147"/>
      <c r="O101" s="147"/>
      <c r="P101" s="147"/>
      <c r="Q101" s="147"/>
      <c r="R101" s="147"/>
      <c r="S101" s="147"/>
      <c r="T101" s="147"/>
      <c r="U101" s="147"/>
      <c r="V101" s="147"/>
      <c r="W101" s="147"/>
      <c r="X101" s="238"/>
    </row>
    <row r="102" spans="1:24" x14ac:dyDescent="0.25">
      <c r="A102" s="147"/>
      <c r="B102" s="147"/>
      <c r="C102" s="147"/>
      <c r="D102" s="147"/>
      <c r="E102" s="147"/>
      <c r="F102" s="147"/>
      <c r="G102" s="147"/>
      <c r="I102" s="147"/>
      <c r="J102" s="147"/>
      <c r="K102" s="147"/>
      <c r="L102" s="147"/>
      <c r="M102" s="147"/>
      <c r="N102" s="147"/>
      <c r="O102" s="147"/>
      <c r="P102" s="147"/>
      <c r="Q102" s="147"/>
      <c r="R102" s="147"/>
      <c r="S102" s="147"/>
      <c r="T102" s="147"/>
      <c r="U102" s="147"/>
      <c r="V102" s="147"/>
      <c r="W102" s="147"/>
      <c r="X102" s="238"/>
    </row>
    <row r="103" spans="1:24" x14ac:dyDescent="0.25">
      <c r="A103" s="147"/>
      <c r="B103" s="147"/>
      <c r="C103" s="147"/>
      <c r="D103" s="147"/>
      <c r="E103" s="147"/>
      <c r="F103" s="147"/>
      <c r="G103" s="147"/>
      <c r="I103" s="147"/>
      <c r="J103" s="147"/>
      <c r="K103" s="147"/>
      <c r="L103" s="147"/>
      <c r="M103" s="147"/>
      <c r="N103" s="147"/>
      <c r="O103" s="147"/>
      <c r="P103" s="147"/>
      <c r="Q103" s="147"/>
      <c r="R103" s="147"/>
      <c r="S103" s="147"/>
      <c r="T103" s="147"/>
      <c r="U103" s="147"/>
      <c r="V103" s="147"/>
      <c r="W103" s="147"/>
      <c r="X103" s="238"/>
    </row>
    <row r="104" spans="1:24" x14ac:dyDescent="0.25">
      <c r="A104" s="147"/>
      <c r="B104" s="147"/>
      <c r="C104" s="147"/>
      <c r="D104" s="147"/>
      <c r="E104" s="147"/>
      <c r="F104" s="147"/>
      <c r="G104" s="147"/>
      <c r="I104" s="147"/>
      <c r="J104" s="147"/>
      <c r="K104" s="147"/>
      <c r="L104" s="147"/>
      <c r="M104" s="147"/>
      <c r="N104" s="147"/>
      <c r="O104" s="147"/>
      <c r="P104" s="147"/>
      <c r="Q104" s="147"/>
      <c r="R104" s="147"/>
      <c r="S104" s="147"/>
      <c r="T104" s="147"/>
      <c r="U104" s="147"/>
      <c r="V104" s="147"/>
      <c r="W104" s="147"/>
      <c r="X104" s="238"/>
    </row>
    <row r="105" spans="1:24" x14ac:dyDescent="0.25">
      <c r="A105" s="147"/>
      <c r="B105" s="147"/>
      <c r="C105" s="147"/>
      <c r="D105" s="147"/>
      <c r="E105" s="147"/>
      <c r="F105" s="147"/>
      <c r="G105" s="147"/>
      <c r="I105" s="147"/>
      <c r="J105" s="147"/>
      <c r="K105" s="147"/>
      <c r="L105" s="147"/>
      <c r="M105" s="147"/>
      <c r="N105" s="147"/>
      <c r="O105" s="147"/>
      <c r="P105" s="147"/>
      <c r="Q105" s="147"/>
      <c r="R105" s="147"/>
      <c r="S105" s="147"/>
      <c r="T105" s="147"/>
      <c r="U105" s="147"/>
      <c r="V105" s="147"/>
      <c r="W105" s="147"/>
      <c r="X105" s="238"/>
    </row>
    <row r="106" spans="1:24" x14ac:dyDescent="0.25">
      <c r="A106" s="147"/>
      <c r="B106" s="147"/>
      <c r="C106" s="147"/>
      <c r="D106" s="147"/>
      <c r="E106" s="147"/>
      <c r="F106" s="147"/>
      <c r="G106" s="147"/>
      <c r="I106" s="147"/>
      <c r="J106" s="147"/>
      <c r="K106" s="147"/>
      <c r="L106" s="147"/>
      <c r="M106" s="147"/>
      <c r="N106" s="147"/>
      <c r="O106" s="147"/>
      <c r="P106" s="147"/>
      <c r="Q106" s="147"/>
      <c r="R106" s="147"/>
      <c r="S106" s="147"/>
      <c r="T106" s="147"/>
      <c r="U106" s="147"/>
      <c r="V106" s="147"/>
      <c r="W106" s="147"/>
      <c r="X106" s="238"/>
    </row>
    <row r="107" spans="1:24" x14ac:dyDescent="0.25">
      <c r="A107" s="147"/>
      <c r="B107" s="147"/>
      <c r="C107" s="147"/>
      <c r="D107" s="147"/>
      <c r="E107" s="147"/>
      <c r="F107" s="147"/>
      <c r="G107" s="147"/>
      <c r="I107" s="147"/>
      <c r="J107" s="147"/>
      <c r="K107" s="147"/>
      <c r="L107" s="147"/>
      <c r="M107" s="147"/>
      <c r="N107" s="147"/>
      <c r="O107" s="147"/>
      <c r="P107" s="147"/>
      <c r="Q107" s="147"/>
      <c r="R107" s="147"/>
      <c r="S107" s="147"/>
      <c r="T107" s="147"/>
      <c r="U107" s="147"/>
      <c r="V107" s="147"/>
      <c r="W107" s="147"/>
      <c r="X107" s="238"/>
    </row>
    <row r="108" spans="1:24" x14ac:dyDescent="0.25">
      <c r="A108" s="147"/>
      <c r="B108" s="147"/>
      <c r="C108" s="147"/>
      <c r="D108" s="147"/>
      <c r="E108" s="147"/>
      <c r="F108" s="147"/>
      <c r="G108" s="147"/>
      <c r="I108" s="147"/>
      <c r="J108" s="147"/>
      <c r="K108" s="147"/>
      <c r="L108" s="147"/>
      <c r="M108" s="147"/>
      <c r="N108" s="147"/>
      <c r="O108" s="147"/>
      <c r="P108" s="147"/>
      <c r="Q108" s="147"/>
      <c r="R108" s="147"/>
      <c r="S108" s="147"/>
      <c r="T108" s="147"/>
      <c r="U108" s="147"/>
      <c r="V108" s="147"/>
      <c r="W108" s="147"/>
      <c r="X108" s="238"/>
    </row>
    <row r="109" spans="1:24" x14ac:dyDescent="0.25">
      <c r="A109" s="147"/>
      <c r="B109" s="147"/>
      <c r="C109" s="147"/>
      <c r="D109" s="147"/>
      <c r="E109" s="147"/>
      <c r="F109" s="147"/>
      <c r="G109" s="147"/>
      <c r="I109" s="147"/>
      <c r="J109" s="147"/>
      <c r="K109" s="147"/>
      <c r="L109" s="147"/>
      <c r="M109" s="147"/>
      <c r="N109" s="147"/>
      <c r="O109" s="147"/>
      <c r="P109" s="147"/>
      <c r="Q109" s="147"/>
      <c r="R109" s="147"/>
      <c r="S109" s="147"/>
      <c r="T109" s="147"/>
      <c r="U109" s="147"/>
      <c r="V109" s="147"/>
      <c r="W109" s="147"/>
      <c r="X109" s="238"/>
    </row>
    <row r="110" spans="1:24" x14ac:dyDescent="0.25">
      <c r="A110" s="147"/>
      <c r="B110" s="147"/>
      <c r="C110" s="147"/>
      <c r="D110" s="147"/>
      <c r="E110" s="147"/>
      <c r="F110" s="147"/>
      <c r="G110" s="147"/>
      <c r="I110" s="147"/>
      <c r="J110" s="147"/>
      <c r="K110" s="147"/>
      <c r="L110" s="147"/>
      <c r="M110" s="147"/>
      <c r="N110" s="147"/>
      <c r="O110" s="147"/>
      <c r="P110" s="147"/>
      <c r="Q110" s="147"/>
      <c r="R110" s="147"/>
      <c r="S110" s="147"/>
      <c r="T110" s="147"/>
      <c r="U110" s="147"/>
      <c r="V110" s="147"/>
      <c r="W110" s="147"/>
      <c r="X110" s="238"/>
    </row>
    <row r="111" spans="1:24" x14ac:dyDescent="0.25">
      <c r="A111" s="147"/>
      <c r="B111" s="147"/>
      <c r="C111" s="147"/>
      <c r="D111" s="147"/>
      <c r="E111" s="147"/>
      <c r="F111" s="147"/>
      <c r="G111" s="147"/>
      <c r="I111" s="147"/>
      <c r="J111" s="147"/>
      <c r="K111" s="147"/>
      <c r="L111" s="147"/>
      <c r="M111" s="147"/>
      <c r="N111" s="147"/>
      <c r="O111" s="147"/>
      <c r="P111" s="147"/>
      <c r="Q111" s="147"/>
      <c r="R111" s="147"/>
      <c r="S111" s="147"/>
      <c r="T111" s="147"/>
      <c r="U111" s="147"/>
      <c r="V111" s="147"/>
      <c r="W111" s="147"/>
      <c r="X111" s="238"/>
    </row>
    <row r="112" spans="1:24" x14ac:dyDescent="0.25">
      <c r="A112" s="147"/>
      <c r="B112" s="147"/>
      <c r="C112" s="147"/>
      <c r="D112" s="147"/>
      <c r="E112" s="147"/>
      <c r="F112" s="147"/>
      <c r="G112" s="147"/>
      <c r="I112" s="147"/>
      <c r="J112" s="147"/>
      <c r="K112" s="147"/>
      <c r="L112" s="147"/>
      <c r="M112" s="147"/>
      <c r="N112" s="147"/>
      <c r="O112" s="147"/>
      <c r="P112" s="147"/>
      <c r="Q112" s="147"/>
      <c r="R112" s="147"/>
      <c r="S112" s="147"/>
      <c r="T112" s="147"/>
      <c r="U112" s="147"/>
      <c r="V112" s="147"/>
      <c r="W112" s="147"/>
      <c r="X112" s="238"/>
    </row>
    <row r="113" spans="1:24" x14ac:dyDescent="0.25">
      <c r="A113" s="147"/>
      <c r="B113" s="147"/>
      <c r="C113" s="147"/>
      <c r="D113" s="147"/>
      <c r="E113" s="147"/>
      <c r="F113" s="147"/>
      <c r="G113" s="147"/>
      <c r="I113" s="147"/>
      <c r="J113" s="147"/>
      <c r="K113" s="147"/>
      <c r="L113" s="147"/>
      <c r="M113" s="147"/>
      <c r="N113" s="147"/>
      <c r="O113" s="147"/>
      <c r="P113" s="147"/>
      <c r="Q113" s="147"/>
      <c r="R113" s="147"/>
      <c r="S113" s="147"/>
      <c r="T113" s="147"/>
      <c r="U113" s="147"/>
      <c r="V113" s="147"/>
      <c r="W113" s="147"/>
      <c r="X113" s="238"/>
    </row>
    <row r="114" spans="1:24" x14ac:dyDescent="0.25">
      <c r="A114" s="147"/>
      <c r="B114" s="147"/>
      <c r="C114" s="147"/>
      <c r="D114" s="147"/>
      <c r="E114" s="147"/>
      <c r="F114" s="147"/>
      <c r="G114" s="147"/>
      <c r="I114" s="147"/>
      <c r="J114" s="147"/>
      <c r="K114" s="147"/>
      <c r="L114" s="147"/>
      <c r="M114" s="147"/>
      <c r="N114" s="147"/>
      <c r="O114" s="147"/>
      <c r="P114" s="147"/>
      <c r="Q114" s="147"/>
      <c r="R114" s="147"/>
      <c r="S114" s="147"/>
      <c r="T114" s="147"/>
      <c r="U114" s="147"/>
      <c r="V114" s="147"/>
      <c r="W114" s="147"/>
      <c r="X114" s="238"/>
    </row>
    <row r="115" spans="1:24" x14ac:dyDescent="0.25">
      <c r="A115" s="147"/>
      <c r="B115" s="147"/>
      <c r="C115" s="147"/>
      <c r="D115" s="147"/>
      <c r="E115" s="147"/>
      <c r="F115" s="147"/>
      <c r="G115" s="147"/>
      <c r="I115" s="147"/>
      <c r="J115" s="147"/>
      <c r="K115" s="147"/>
      <c r="L115" s="147"/>
      <c r="M115" s="147"/>
      <c r="N115" s="147"/>
      <c r="O115" s="147"/>
      <c r="P115" s="147"/>
      <c r="Q115" s="147"/>
      <c r="R115" s="147"/>
      <c r="S115" s="147"/>
      <c r="T115" s="147"/>
      <c r="U115" s="147"/>
      <c r="V115" s="147"/>
      <c r="W115" s="147"/>
      <c r="X115" s="238"/>
    </row>
    <row r="116" spans="1:24" x14ac:dyDescent="0.25">
      <c r="A116" s="147"/>
      <c r="B116" s="147"/>
      <c r="C116" s="147"/>
      <c r="D116" s="147"/>
      <c r="E116" s="147"/>
      <c r="F116" s="147"/>
      <c r="G116" s="147"/>
      <c r="I116" s="147"/>
      <c r="J116" s="147"/>
      <c r="K116" s="147"/>
      <c r="L116" s="147"/>
      <c r="M116" s="147"/>
      <c r="N116" s="147"/>
      <c r="O116" s="147"/>
      <c r="P116" s="147"/>
      <c r="Q116" s="147"/>
      <c r="R116" s="147"/>
      <c r="S116" s="147"/>
      <c r="T116" s="147"/>
      <c r="U116" s="147"/>
      <c r="V116" s="147"/>
      <c r="W116" s="147"/>
      <c r="X116" s="238"/>
    </row>
    <row r="117" spans="1:24" x14ac:dyDescent="0.25">
      <c r="A117" s="147"/>
      <c r="B117" s="147"/>
      <c r="C117" s="147"/>
      <c r="D117" s="147"/>
      <c r="E117" s="147"/>
      <c r="F117" s="147"/>
      <c r="G117" s="147"/>
      <c r="I117" s="147"/>
      <c r="J117" s="147"/>
      <c r="K117" s="147"/>
      <c r="L117" s="147"/>
      <c r="M117" s="147"/>
      <c r="N117" s="147"/>
      <c r="O117" s="147"/>
      <c r="P117" s="147"/>
      <c r="Q117" s="147"/>
      <c r="R117" s="147"/>
      <c r="S117" s="147"/>
      <c r="T117" s="147"/>
      <c r="U117" s="147"/>
      <c r="V117" s="147"/>
      <c r="W117" s="147"/>
      <c r="X117" s="238"/>
    </row>
    <row r="118" spans="1:24" x14ac:dyDescent="0.25">
      <c r="A118" s="147"/>
      <c r="B118" s="147"/>
      <c r="C118" s="147"/>
      <c r="D118" s="147"/>
      <c r="E118" s="147"/>
      <c r="F118" s="147"/>
      <c r="G118" s="147"/>
      <c r="I118" s="147"/>
      <c r="J118" s="147"/>
      <c r="K118" s="147"/>
      <c r="L118" s="147"/>
      <c r="M118" s="147"/>
      <c r="N118" s="147"/>
      <c r="O118" s="147"/>
      <c r="P118" s="147"/>
      <c r="Q118" s="147"/>
      <c r="R118" s="147"/>
      <c r="S118" s="147"/>
      <c r="T118" s="147"/>
      <c r="U118" s="147"/>
      <c r="V118" s="147"/>
      <c r="W118" s="147"/>
      <c r="X118" s="238"/>
    </row>
    <row r="119" spans="1:24" x14ac:dyDescent="0.25">
      <c r="A119" s="147"/>
      <c r="B119" s="147"/>
      <c r="C119" s="147"/>
      <c r="D119" s="147"/>
      <c r="E119" s="147"/>
      <c r="F119" s="147"/>
      <c r="G119" s="147"/>
      <c r="I119" s="147"/>
      <c r="J119" s="147"/>
      <c r="K119" s="147"/>
      <c r="L119" s="147"/>
      <c r="M119" s="147"/>
      <c r="N119" s="147"/>
      <c r="O119" s="147"/>
      <c r="P119" s="147"/>
      <c r="Q119" s="147"/>
      <c r="R119" s="147"/>
      <c r="S119" s="147"/>
      <c r="T119" s="147"/>
      <c r="U119" s="147"/>
      <c r="V119" s="147"/>
      <c r="W119" s="147"/>
      <c r="X119" s="238"/>
    </row>
    <row r="120" spans="1:24" x14ac:dyDescent="0.25">
      <c r="A120" s="147"/>
      <c r="B120" s="147"/>
      <c r="C120" s="147"/>
      <c r="D120" s="147"/>
      <c r="E120" s="147"/>
      <c r="F120" s="147"/>
      <c r="G120" s="147"/>
      <c r="I120" s="147"/>
      <c r="J120" s="147"/>
      <c r="K120" s="147"/>
      <c r="L120" s="147"/>
      <c r="M120" s="147"/>
      <c r="N120" s="147"/>
      <c r="O120" s="147"/>
      <c r="P120" s="147"/>
      <c r="Q120" s="147"/>
      <c r="R120" s="147"/>
      <c r="S120" s="147"/>
      <c r="T120" s="147"/>
      <c r="U120" s="147"/>
      <c r="V120" s="147"/>
      <c r="W120" s="147"/>
      <c r="X120" s="238"/>
    </row>
    <row r="121" spans="1:24" x14ac:dyDescent="0.25">
      <c r="A121" s="147"/>
      <c r="B121" s="147"/>
      <c r="C121" s="147"/>
      <c r="D121" s="147"/>
      <c r="E121" s="147"/>
      <c r="F121" s="147"/>
      <c r="G121" s="147"/>
      <c r="I121" s="147"/>
      <c r="J121" s="147"/>
      <c r="K121" s="147"/>
      <c r="L121" s="147"/>
      <c r="M121" s="147"/>
      <c r="N121" s="147"/>
      <c r="O121" s="147"/>
      <c r="P121" s="147"/>
      <c r="Q121" s="147"/>
      <c r="R121" s="147"/>
      <c r="S121" s="147"/>
      <c r="T121" s="147"/>
      <c r="U121" s="147"/>
      <c r="V121" s="147"/>
      <c r="W121" s="147"/>
      <c r="X121" s="238"/>
    </row>
    <row r="122" spans="1:24" x14ac:dyDescent="0.25">
      <c r="A122" s="147"/>
      <c r="B122" s="147"/>
      <c r="C122" s="147"/>
      <c r="D122" s="147"/>
      <c r="E122" s="147"/>
      <c r="F122" s="147"/>
      <c r="G122" s="147"/>
      <c r="I122" s="147"/>
      <c r="J122" s="147"/>
      <c r="K122" s="147"/>
      <c r="L122" s="147"/>
      <c r="M122" s="147"/>
      <c r="N122" s="147"/>
      <c r="O122" s="147"/>
      <c r="P122" s="147"/>
      <c r="Q122" s="147"/>
      <c r="R122" s="147"/>
      <c r="S122" s="147"/>
      <c r="T122" s="147"/>
      <c r="U122" s="147"/>
      <c r="V122" s="147"/>
      <c r="W122" s="147"/>
      <c r="X122" s="238"/>
    </row>
    <row r="123" spans="1:24" x14ac:dyDescent="0.25">
      <c r="A123" s="147"/>
      <c r="B123" s="147"/>
      <c r="C123" s="147"/>
      <c r="D123" s="147"/>
      <c r="E123" s="147"/>
      <c r="F123" s="147"/>
      <c r="G123" s="147"/>
      <c r="I123" s="147"/>
      <c r="J123" s="147"/>
      <c r="K123" s="147"/>
      <c r="L123" s="147"/>
      <c r="M123" s="147"/>
      <c r="N123" s="147"/>
      <c r="O123" s="147"/>
      <c r="P123" s="147"/>
      <c r="Q123" s="147"/>
      <c r="R123" s="147"/>
      <c r="S123" s="147"/>
      <c r="T123" s="147"/>
      <c r="U123" s="147"/>
      <c r="V123" s="147"/>
      <c r="W123" s="147"/>
      <c r="X123" s="238"/>
    </row>
    <row r="124" spans="1:24" x14ac:dyDescent="0.25">
      <c r="A124" s="147"/>
      <c r="B124" s="147"/>
      <c r="C124" s="147"/>
      <c r="D124" s="147"/>
      <c r="E124" s="147"/>
      <c r="F124" s="147"/>
      <c r="G124" s="147"/>
      <c r="I124" s="147"/>
      <c r="J124" s="147"/>
      <c r="K124" s="147"/>
      <c r="L124" s="147"/>
      <c r="M124" s="147"/>
      <c r="N124" s="147"/>
      <c r="O124" s="147"/>
      <c r="P124" s="147"/>
      <c r="Q124" s="147"/>
      <c r="R124" s="147"/>
      <c r="S124" s="147"/>
      <c r="T124" s="147"/>
      <c r="U124" s="147"/>
      <c r="V124" s="147"/>
      <c r="W124" s="147"/>
      <c r="X124" s="238"/>
    </row>
    <row r="125" spans="1:24" x14ac:dyDescent="0.25">
      <c r="A125" s="147"/>
      <c r="B125" s="147"/>
      <c r="C125" s="147"/>
      <c r="D125" s="147"/>
      <c r="E125" s="147"/>
      <c r="F125" s="147"/>
    </row>
    <row r="126" spans="1:24" x14ac:dyDescent="0.25">
      <c r="A126" s="147"/>
      <c r="B126" s="147"/>
      <c r="C126" s="147"/>
      <c r="D126" s="147"/>
      <c r="E126" s="147"/>
      <c r="F126" s="147"/>
    </row>
    <row r="127" spans="1:24" x14ac:dyDescent="0.25">
      <c r="A127" s="147"/>
      <c r="B127" s="147"/>
      <c r="C127" s="147"/>
      <c r="D127" s="147"/>
      <c r="E127" s="147"/>
      <c r="F127" s="147"/>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152" priority="3" operator="greaterThan">
      <formula>6.99</formula>
    </cfRule>
    <cfRule type="cellIs" dxfId="151" priority="4"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BO34"/>
  <sheetViews>
    <sheetView zoomScaleNormal="100" workbookViewId="0">
      <pane xSplit="6" ySplit="3" topLeftCell="G4" activePane="bottomRight" state="frozen"/>
      <selection pane="topRight" activeCell="H1" sqref="H1"/>
      <selection pane="bottomLeft" activeCell="A4" sqref="A4"/>
      <selection pane="bottomRight" activeCell="AD14" sqref="AD14"/>
    </sheetView>
  </sheetViews>
  <sheetFormatPr baseColWidth="10" defaultColWidth="11.42578125" defaultRowHeight="15" x14ac:dyDescent="0.25"/>
  <cols>
    <col min="1" max="1" width="4.7109375" bestFit="1" customWidth="1"/>
    <col min="2" max="2" width="5.140625" bestFit="1" customWidth="1"/>
    <col min="3" max="3" width="15.140625" style="163" bestFit="1" customWidth="1"/>
    <col min="4" max="4" width="5.5703125" bestFit="1" customWidth="1"/>
    <col min="5" max="5" width="5" bestFit="1" customWidth="1"/>
    <col min="6" max="6" width="4.5703125" style="358" bestFit="1" customWidth="1"/>
    <col min="7" max="7" width="3.7109375" style="4" customWidth="1"/>
    <col min="8" max="8" width="4.5703125" customWidth="1"/>
    <col min="9" max="9" width="6.140625" style="145" customWidth="1"/>
    <col min="10" max="12" width="6.140625" customWidth="1"/>
    <col min="13" max="13" width="6.140625" bestFit="1" customWidth="1"/>
    <col min="14" max="14" width="5" bestFit="1" customWidth="1"/>
    <col min="15" max="15" width="6.140625" customWidth="1"/>
    <col min="16" max="16" width="5.5703125" style="384" customWidth="1"/>
    <col min="17" max="17" width="5" style="384" customWidth="1"/>
    <col min="18" max="18" width="4.42578125" style="358" bestFit="1" customWidth="1"/>
    <col min="19" max="22" width="6.140625" style="358" bestFit="1" customWidth="1"/>
    <col min="23" max="23" width="5.5703125" style="358" bestFit="1" customWidth="1"/>
    <col min="24" max="24" width="5" style="358" bestFit="1" customWidth="1"/>
    <col min="25" max="25" width="6.140625" style="358"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12" t="s">
        <v>469</v>
      </c>
      <c r="AI1" s="612"/>
      <c r="AJ1" s="612"/>
      <c r="AK1" s="612"/>
      <c r="AL1" s="612"/>
      <c r="AM1" s="612"/>
      <c r="AN1" s="612"/>
      <c r="AO1" s="612"/>
      <c r="AP1" s="612"/>
      <c r="AQ1" s="612"/>
      <c r="AR1" s="612"/>
      <c r="AS1" s="612"/>
      <c r="AT1" s="612"/>
      <c r="BJ1" s="375" t="s">
        <v>471</v>
      </c>
      <c r="BK1" s="375" t="s">
        <v>171</v>
      </c>
      <c r="BL1" s="375" t="s">
        <v>472</v>
      </c>
      <c r="BM1" s="376" t="s">
        <v>473</v>
      </c>
      <c r="BN1" s="374" t="s">
        <v>474</v>
      </c>
      <c r="BO1" s="374" t="s">
        <v>475</v>
      </c>
    </row>
    <row r="2" spans="1:67" s="222" customFormat="1" ht="18.75" x14ac:dyDescent="0.3">
      <c r="C2" s="357">
        <f ca="1">TODAY()</f>
        <v>43634</v>
      </c>
      <c r="D2" s="611">
        <v>41471</v>
      </c>
      <c r="E2" s="611"/>
      <c r="F2" s="611"/>
      <c r="G2" s="223"/>
      <c r="H2" s="223"/>
      <c r="I2" s="277"/>
      <c r="J2" s="223"/>
      <c r="K2" s="223"/>
      <c r="L2" s="223"/>
      <c r="M2" s="223"/>
      <c r="N2" s="223"/>
      <c r="O2" s="223"/>
      <c r="P2" s="347"/>
      <c r="Q2" s="253"/>
      <c r="R2" s="253"/>
      <c r="S2" s="253">
        <v>0</v>
      </c>
      <c r="T2" s="253">
        <v>1</v>
      </c>
      <c r="U2" s="253">
        <v>1</v>
      </c>
      <c r="V2" s="253">
        <v>0</v>
      </c>
      <c r="W2" s="253">
        <v>0</v>
      </c>
      <c r="X2" s="253">
        <v>1</v>
      </c>
      <c r="Y2" s="253">
        <v>1</v>
      </c>
      <c r="AJ2" s="372">
        <f>SUM(AJ4:AJ14)*$BM$3</f>
        <v>0.14144000000000001</v>
      </c>
      <c r="AK2" s="372">
        <f>SUM(AK4:AK14)*$BM$3</f>
        <v>7.1570000000000022E-2</v>
      </c>
      <c r="AL2" s="372">
        <f>SUM(AL4:AL14)*$BM$2</f>
        <v>0.1495725</v>
      </c>
      <c r="AM2" s="372">
        <f>SUM(AM4:AM14)*$BM$4</f>
        <v>9.0524999999999911E-2</v>
      </c>
      <c r="AN2" s="372">
        <f>SUM(AN4:AN14)*$BM$5</f>
        <v>1.2999999999999954E-2</v>
      </c>
      <c r="AO2" s="372">
        <f>SUM(AO4:AO14)*$BM$5</f>
        <v>1.2999999999999954E-2</v>
      </c>
      <c r="AP2" s="372">
        <f>SUM(AP4:AP14)*$BM$6</f>
        <v>4.9779999999999824E-2</v>
      </c>
      <c r="AQ2" s="373">
        <f>SUM(AQ4:AQ14)</f>
        <v>0.32666666666666649</v>
      </c>
      <c r="AR2" s="373">
        <f>SUM(AR4:AR14)</f>
        <v>0.25</v>
      </c>
      <c r="AS2" s="373">
        <f t="shared" ref="AS2:AT2" si="0">SUM(AS4:AS14)</f>
        <v>6.9789166666666667</v>
      </c>
      <c r="AT2" s="373">
        <f t="shared" si="0"/>
        <v>6.25E-2</v>
      </c>
      <c r="AX2" s="372">
        <f>SUM(AX4:AX14)*$BM$3</f>
        <v>0.10285000000000001</v>
      </c>
      <c r="AY2" s="372">
        <f>SUM(AY4:AY14)*$BM$3</f>
        <v>3.2980000000000016E-2</v>
      </c>
      <c r="AZ2" s="372">
        <f>SUM(AZ4:AZ14)*$BM$2</f>
        <v>7.5092500000000006E-2</v>
      </c>
      <c r="BA2" s="372">
        <f>SUM(BA4:BA14)*$BM$4</f>
        <v>6.8837500000000024E-2</v>
      </c>
      <c r="BB2" s="372">
        <f>SUM(BB4:BB14)*$BM$5</f>
        <v>2.6199999999999907E-2</v>
      </c>
      <c r="BC2" s="372">
        <f>SUM(BC4:BC14)*$BM$5</f>
        <v>2.1833333333333257E-2</v>
      </c>
      <c r="BD2" s="372">
        <f>SUM(BD4:BD14)*$BM$6</f>
        <v>4.2287666666666515E-2</v>
      </c>
      <c r="BE2" s="373">
        <f>SUM(BE4:BE14)</f>
        <v>0.28499999999999986</v>
      </c>
      <c r="BF2" s="373">
        <f>SUM(BF4:BF14)</f>
        <v>0.20666666666666669</v>
      </c>
      <c r="BG2" s="373">
        <f t="shared" ref="BG2:BH2" si="1">SUM(BG4:BG14)</f>
        <v>13.285166666666665</v>
      </c>
      <c r="BH2" s="373">
        <f t="shared" si="1"/>
        <v>3.125E-2</v>
      </c>
      <c r="BJ2" s="227" t="s">
        <v>476</v>
      </c>
      <c r="BK2" s="377">
        <v>1</v>
      </c>
      <c r="BL2" s="378">
        <v>0.624</v>
      </c>
      <c r="BM2" s="379">
        <v>0.245</v>
      </c>
      <c r="BN2" s="297">
        <f>BM2*10</f>
        <v>2.4500000000000002</v>
      </c>
      <c r="BO2" s="297">
        <f>BM2*15</f>
        <v>3.6749999999999998</v>
      </c>
    </row>
    <row r="3" spans="1:67" ht="18.75" x14ac:dyDescent="0.3">
      <c r="A3" s="266" t="s">
        <v>357</v>
      </c>
      <c r="B3" s="266" t="s">
        <v>247</v>
      </c>
      <c r="C3" s="268" t="s">
        <v>174</v>
      </c>
      <c r="D3" s="266" t="s">
        <v>175</v>
      </c>
      <c r="E3" s="266" t="s">
        <v>62</v>
      </c>
      <c r="F3" s="266" t="s">
        <v>177</v>
      </c>
      <c r="G3" s="266" t="s">
        <v>178</v>
      </c>
      <c r="H3" s="266" t="s">
        <v>170</v>
      </c>
      <c r="I3" s="266" t="s">
        <v>253</v>
      </c>
      <c r="J3" s="266" t="s">
        <v>180</v>
      </c>
      <c r="K3" s="266" t="s">
        <v>181</v>
      </c>
      <c r="L3" s="266" t="s">
        <v>182</v>
      </c>
      <c r="M3" s="266" t="s">
        <v>183</v>
      </c>
      <c r="N3" s="266" t="s">
        <v>184</v>
      </c>
      <c r="O3" s="266" t="s">
        <v>177</v>
      </c>
      <c r="P3" s="349" t="s">
        <v>175</v>
      </c>
      <c r="Q3" s="349" t="s">
        <v>62</v>
      </c>
      <c r="R3" s="348" t="s">
        <v>170</v>
      </c>
      <c r="S3" s="348" t="s">
        <v>253</v>
      </c>
      <c r="T3" s="348" t="s">
        <v>180</v>
      </c>
      <c r="U3" s="348" t="s">
        <v>181</v>
      </c>
      <c r="V3" s="348" t="s">
        <v>182</v>
      </c>
      <c r="W3" s="348" t="s">
        <v>183</v>
      </c>
      <c r="X3" s="348" t="s">
        <v>184</v>
      </c>
      <c r="Y3" s="348" t="s">
        <v>177</v>
      </c>
      <c r="Z3" s="348" t="s">
        <v>253</v>
      </c>
      <c r="AA3" s="348" t="s">
        <v>180</v>
      </c>
      <c r="AB3" s="348" t="s">
        <v>181</v>
      </c>
      <c r="AC3" s="348" t="s">
        <v>182</v>
      </c>
      <c r="AD3" s="348" t="s">
        <v>183</v>
      </c>
      <c r="AE3" s="348" t="s">
        <v>184</v>
      </c>
      <c r="AF3" s="348" t="s">
        <v>177</v>
      </c>
      <c r="AH3" s="613" t="s">
        <v>559</v>
      </c>
      <c r="AI3" s="614"/>
      <c r="AJ3" s="295" t="s">
        <v>391</v>
      </c>
      <c r="AK3" s="295" t="s">
        <v>392</v>
      </c>
      <c r="AL3" s="295" t="s">
        <v>404</v>
      </c>
      <c r="AM3" s="295" t="s">
        <v>393</v>
      </c>
      <c r="AN3" s="295" t="s">
        <v>394</v>
      </c>
      <c r="AO3" s="295" t="s">
        <v>395</v>
      </c>
      <c r="AP3" s="295" t="s">
        <v>396</v>
      </c>
      <c r="AQ3" s="295" t="s">
        <v>573</v>
      </c>
      <c r="AR3" s="295" t="s">
        <v>574</v>
      </c>
      <c r="AS3" s="295" t="s">
        <v>448</v>
      </c>
      <c r="AT3" s="295" t="s">
        <v>470</v>
      </c>
      <c r="AV3" s="613" t="s">
        <v>561</v>
      </c>
      <c r="AW3" s="614"/>
      <c r="AX3" s="295" t="s">
        <v>391</v>
      </c>
      <c r="AY3" s="295" t="s">
        <v>392</v>
      </c>
      <c r="AZ3" s="295" t="s">
        <v>404</v>
      </c>
      <c r="BA3" s="295" t="s">
        <v>393</v>
      </c>
      <c r="BB3" s="295" t="s">
        <v>394</v>
      </c>
      <c r="BC3" s="295" t="s">
        <v>395</v>
      </c>
      <c r="BD3" s="295" t="s">
        <v>396</v>
      </c>
      <c r="BE3" s="295" t="s">
        <v>573</v>
      </c>
      <c r="BF3" s="295" t="s">
        <v>574</v>
      </c>
      <c r="BG3" s="295" t="s">
        <v>448</v>
      </c>
      <c r="BH3" s="295" t="s">
        <v>470</v>
      </c>
      <c r="BJ3" s="227" t="s">
        <v>477</v>
      </c>
      <c r="BK3" s="377">
        <v>1</v>
      </c>
      <c r="BL3" s="378">
        <v>1.002</v>
      </c>
      <c r="BM3" s="379">
        <v>0.34</v>
      </c>
      <c r="BN3" s="297">
        <f t="shared" ref="BN3:BN6" si="2">BM3*10</f>
        <v>3.4000000000000004</v>
      </c>
      <c r="BO3" s="297">
        <f t="shared" ref="BO3:BO6" si="3">BM3*15</f>
        <v>5.1000000000000005</v>
      </c>
    </row>
    <row r="4" spans="1:67" s="228" customFormat="1" ht="18.75" x14ac:dyDescent="0.3">
      <c r="A4" s="330" t="str">
        <f>PLANTILLA!A4</f>
        <v>#1</v>
      </c>
      <c r="B4" s="330" t="s">
        <v>1</v>
      </c>
      <c r="C4" s="261" t="str">
        <f>PLANTILLA!D4</f>
        <v>D. Gehmacher</v>
      </c>
      <c r="D4" s="332">
        <f>PLANTILLA!E4</f>
        <v>34</v>
      </c>
      <c r="E4" s="337">
        <f ca="1">PLANTILLA!F4</f>
        <v>108</v>
      </c>
      <c r="F4" s="333"/>
      <c r="G4" s="597">
        <f>PLANTILLA!H4</f>
        <v>6</v>
      </c>
      <c r="H4" s="275">
        <f>PLANTILLA!I4</f>
        <v>23.7</v>
      </c>
      <c r="I4" s="414">
        <f>PLANTILLA!X4</f>
        <v>16.666666666666668</v>
      </c>
      <c r="J4" s="414">
        <f>PLANTILLA!Y4</f>
        <v>11.95</v>
      </c>
      <c r="K4" s="414">
        <f>PLANTILLA!Z4</f>
        <v>2.0699999999999985</v>
      </c>
      <c r="L4" s="414">
        <f>PLANTILLA!AA4</f>
        <v>2.149999999999999</v>
      </c>
      <c r="M4" s="414">
        <f>PLANTILLA!AB4</f>
        <v>0.95</v>
      </c>
      <c r="N4" s="414">
        <f>PLANTILLA!AC4</f>
        <v>0</v>
      </c>
      <c r="O4" s="414">
        <f>PLANTILLA!AD4</f>
        <v>18.2</v>
      </c>
      <c r="P4" s="350">
        <f t="shared" ref="P4:P5" si="4">D4</f>
        <v>34</v>
      </c>
      <c r="Q4" s="351">
        <f t="shared" ref="Q4:Q5" ca="1" si="5">E4+7</f>
        <v>115</v>
      </c>
      <c r="R4" s="263">
        <f t="shared" ref="R4:R28" si="6">H4+$R$2</f>
        <v>23.7</v>
      </c>
      <c r="S4" s="432">
        <f>I4</f>
        <v>16.666666666666668</v>
      </c>
      <c r="T4" s="432">
        <f t="shared" ref="T4:Y13" si="7">J4</f>
        <v>11.95</v>
      </c>
      <c r="U4" s="432">
        <f t="shared" si="7"/>
        <v>2.0699999999999985</v>
      </c>
      <c r="V4" s="432">
        <f t="shared" si="7"/>
        <v>2.149999999999999</v>
      </c>
      <c r="W4" s="432">
        <f t="shared" si="7"/>
        <v>0.95</v>
      </c>
      <c r="X4" s="432">
        <f t="shared" si="7"/>
        <v>0</v>
      </c>
      <c r="Y4" s="432">
        <f t="shared" si="7"/>
        <v>18.2</v>
      </c>
      <c r="Z4" s="360">
        <f t="shared" ref="Z4:Z28" si="8">S4-I4</f>
        <v>0</v>
      </c>
      <c r="AA4" s="360">
        <f t="shared" ref="AA4:AA28" si="9">T4-J4</f>
        <v>0</v>
      </c>
      <c r="AB4" s="360">
        <f t="shared" ref="AB4:AB28" si="10">U4-K4</f>
        <v>0</v>
      </c>
      <c r="AC4" s="360">
        <f t="shared" ref="AC4:AC28" si="11">V4-L4</f>
        <v>0</v>
      </c>
      <c r="AD4" s="360">
        <f t="shared" ref="AD4:AD28" si="12">W4-M4</f>
        <v>0</v>
      </c>
      <c r="AE4" s="360">
        <f t="shared" ref="AE4:AE28" si="13">X4-N4</f>
        <v>0</v>
      </c>
      <c r="AF4" s="360">
        <f t="shared" ref="AF4:AF28" si="14">Y4-O4</f>
        <v>0</v>
      </c>
      <c r="AH4" s="361" t="s">
        <v>1</v>
      </c>
      <c r="AI4" s="271" t="str">
        <f>C4</f>
        <v>D. Gehmacher</v>
      </c>
      <c r="AJ4" s="366">
        <f>(Z4*0.597)+(AA4*0.276)</f>
        <v>0</v>
      </c>
      <c r="AK4" s="366">
        <f>AJ4</f>
        <v>0</v>
      </c>
      <c r="AL4" s="366">
        <f>(Z4*0.866)+(AA4*0.425)</f>
        <v>0</v>
      </c>
      <c r="AM4" s="366">
        <v>0</v>
      </c>
      <c r="AN4" s="366">
        <v>0</v>
      </c>
      <c r="AO4" s="366">
        <v>0</v>
      </c>
      <c r="AP4" s="366">
        <v>0</v>
      </c>
      <c r="AQ4" s="459">
        <v>0</v>
      </c>
      <c r="AR4" s="459">
        <f>0.08*Z4+0.1*AF4</f>
        <v>0</v>
      </c>
      <c r="AS4" s="369">
        <v>0</v>
      </c>
      <c r="AT4" s="369">
        <v>0</v>
      </c>
      <c r="AV4" s="361" t="s">
        <v>1</v>
      </c>
      <c r="AW4" s="271" t="str">
        <f>C4</f>
        <v>D. Gehmacher</v>
      </c>
      <c r="AX4" s="366">
        <f t="shared" ref="AX4:BD4" si="15">AJ4</f>
        <v>0</v>
      </c>
      <c r="AY4" s="366">
        <f t="shared" si="15"/>
        <v>0</v>
      </c>
      <c r="AZ4" s="366">
        <f t="shared" si="15"/>
        <v>0</v>
      </c>
      <c r="BA4" s="366">
        <f t="shared" si="15"/>
        <v>0</v>
      </c>
      <c r="BB4" s="366">
        <f t="shared" si="15"/>
        <v>0</v>
      </c>
      <c r="BC4" s="366">
        <f t="shared" si="15"/>
        <v>0</v>
      </c>
      <c r="BD4" s="366">
        <f t="shared" si="15"/>
        <v>0</v>
      </c>
      <c r="BE4" s="459">
        <f t="shared" ref="BE4" si="16">AQ4</f>
        <v>0</v>
      </c>
      <c r="BF4" s="459">
        <f t="shared" ref="BF4:BH4" si="17">AR4</f>
        <v>0</v>
      </c>
      <c r="BG4" s="369">
        <f t="shared" si="17"/>
        <v>0</v>
      </c>
      <c r="BH4" s="369">
        <f t="shared" si="17"/>
        <v>0</v>
      </c>
      <c r="BJ4" s="227" t="s">
        <v>478</v>
      </c>
      <c r="BK4" s="377">
        <v>1</v>
      </c>
      <c r="BL4" s="378">
        <v>0.46800000000000003</v>
      </c>
      <c r="BM4" s="379">
        <v>0.125</v>
      </c>
      <c r="BN4" s="297">
        <f t="shared" si="2"/>
        <v>1.25</v>
      </c>
      <c r="BO4" s="297">
        <f t="shared" si="3"/>
        <v>1.875</v>
      </c>
    </row>
    <row r="5" spans="1:67" s="225" customFormat="1" ht="18.75" x14ac:dyDescent="0.3">
      <c r="A5" s="330" t="str">
        <f>PLANTILLA!A5</f>
        <v>#25</v>
      </c>
      <c r="B5" s="330" t="s">
        <v>1</v>
      </c>
      <c r="C5" s="261" t="str">
        <f>PLANTILLA!D5</f>
        <v>T. Hammond</v>
      </c>
      <c r="D5" s="332">
        <f>PLANTILLA!E5</f>
        <v>39</v>
      </c>
      <c r="E5" s="337">
        <f ca="1">PLANTILLA!F5</f>
        <v>5</v>
      </c>
      <c r="F5" s="333" t="str">
        <f>PLANTILLA!G5</f>
        <v>CAB</v>
      </c>
      <c r="G5" s="597">
        <f>PLANTILLA!H5</f>
        <v>3</v>
      </c>
      <c r="H5" s="275">
        <f>PLANTILLA!I5</f>
        <v>8.4</v>
      </c>
      <c r="I5" s="414">
        <f>PLANTILLA!X5</f>
        <v>7.95</v>
      </c>
      <c r="J5" s="414">
        <f>PLANTILLA!Y5</f>
        <v>7.95</v>
      </c>
      <c r="K5" s="414">
        <f>PLANTILLA!Z5</f>
        <v>0.95</v>
      </c>
      <c r="L5" s="414">
        <f>PLANTILLA!AA5</f>
        <v>0.95</v>
      </c>
      <c r="M5" s="414">
        <f>PLANTILLA!AB5</f>
        <v>1.95</v>
      </c>
      <c r="N5" s="414">
        <f>PLANTILLA!AC5</f>
        <v>0</v>
      </c>
      <c r="O5" s="414">
        <f>PLANTILLA!AD5</f>
        <v>14.95</v>
      </c>
      <c r="P5" s="350">
        <f t="shared" si="4"/>
        <v>39</v>
      </c>
      <c r="Q5" s="351">
        <f t="shared" ca="1" si="5"/>
        <v>12</v>
      </c>
      <c r="R5" s="263">
        <f t="shared" si="6"/>
        <v>8.4</v>
      </c>
      <c r="S5" s="432">
        <f t="shared" ref="S5:S13" si="18">I5</f>
        <v>7.95</v>
      </c>
      <c r="T5" s="432">
        <f t="shared" si="7"/>
        <v>7.95</v>
      </c>
      <c r="U5" s="432">
        <f t="shared" si="7"/>
        <v>0.95</v>
      </c>
      <c r="V5" s="432">
        <f t="shared" si="7"/>
        <v>0.95</v>
      </c>
      <c r="W5" s="432">
        <f t="shared" si="7"/>
        <v>1.95</v>
      </c>
      <c r="X5" s="432">
        <f t="shared" si="7"/>
        <v>0</v>
      </c>
      <c r="Y5" s="432">
        <f t="shared" si="7"/>
        <v>14.95</v>
      </c>
      <c r="Z5" s="360">
        <f t="shared" si="8"/>
        <v>0</v>
      </c>
      <c r="AA5" s="360">
        <f t="shared" si="9"/>
        <v>0</v>
      </c>
      <c r="AB5" s="360">
        <f t="shared" si="10"/>
        <v>0</v>
      </c>
      <c r="AC5" s="360">
        <f t="shared" si="11"/>
        <v>0</v>
      </c>
      <c r="AD5" s="360">
        <f t="shared" si="12"/>
        <v>0</v>
      </c>
      <c r="AE5" s="360">
        <f t="shared" si="13"/>
        <v>0</v>
      </c>
      <c r="AF5" s="360">
        <f t="shared" si="14"/>
        <v>0</v>
      </c>
      <c r="AH5" s="362" t="s">
        <v>451</v>
      </c>
      <c r="AI5" s="272" t="str">
        <f>C20</f>
        <v>K. Nelson</v>
      </c>
      <c r="AJ5" s="367">
        <f>(AA20*0.919)</f>
        <v>0.22975000000000001</v>
      </c>
      <c r="AK5" s="367">
        <v>0</v>
      </c>
      <c r="AL5" s="367">
        <f>AA20*0.414</f>
        <v>0.10349999999999999</v>
      </c>
      <c r="AM5" s="367">
        <f>AB20*0.167</f>
        <v>4.1750000000000002E-2</v>
      </c>
      <c r="AN5" s="367">
        <f>AC20*0.588</f>
        <v>0</v>
      </c>
      <c r="AO5" s="367">
        <v>0</v>
      </c>
      <c r="AP5" s="367">
        <v>0</v>
      </c>
      <c r="AQ5" s="370">
        <f>(0.5*AE20+0.3*AF20)/10</f>
        <v>3.8333333333333303E-2</v>
      </c>
      <c r="AR5" s="370">
        <f>(0.4*AA20+0.3*AF20)/10</f>
        <v>0.04</v>
      </c>
      <c r="AS5" s="370">
        <f>((T20+1)+(W20+1)*2)/8</f>
        <v>1.78125</v>
      </c>
      <c r="AT5" s="370">
        <f>((AA20)+(AD20)*2)/8</f>
        <v>3.125E-2</v>
      </c>
      <c r="AV5" s="362" t="s">
        <v>451</v>
      </c>
      <c r="AW5" s="272" t="str">
        <f>AI19</f>
        <v>K. Nelson</v>
      </c>
      <c r="AX5" s="368">
        <f>AJ19</f>
        <v>0.22975000000000001</v>
      </c>
      <c r="AY5" s="368">
        <f t="shared" ref="AY5:BH5" si="19">AK19</f>
        <v>0</v>
      </c>
      <c r="AZ5" s="368">
        <f t="shared" si="19"/>
        <v>0.10349999999999999</v>
      </c>
      <c r="BA5" s="368">
        <f t="shared" si="19"/>
        <v>4.1750000000000002E-2</v>
      </c>
      <c r="BB5" s="368">
        <f t="shared" si="19"/>
        <v>0</v>
      </c>
      <c r="BC5" s="368">
        <f t="shared" si="19"/>
        <v>0</v>
      </c>
      <c r="BD5" s="368">
        <f t="shared" si="19"/>
        <v>0</v>
      </c>
      <c r="BE5" s="371">
        <f t="shared" si="19"/>
        <v>3.8333333333333303E-2</v>
      </c>
      <c r="BF5" s="371">
        <f t="shared" si="19"/>
        <v>0.04</v>
      </c>
      <c r="BG5" s="371">
        <f t="shared" si="19"/>
        <v>1.78125</v>
      </c>
      <c r="BH5" s="371">
        <f t="shared" si="19"/>
        <v>3.125E-2</v>
      </c>
      <c r="BJ5" s="227" t="s">
        <v>479</v>
      </c>
      <c r="BK5" s="377">
        <v>1</v>
      </c>
      <c r="BL5" s="378">
        <v>0.877</v>
      </c>
      <c r="BM5" s="379">
        <v>0.25</v>
      </c>
      <c r="BN5" s="297">
        <f t="shared" si="2"/>
        <v>2.5</v>
      </c>
      <c r="BO5" s="297">
        <f t="shared" si="3"/>
        <v>3.75</v>
      </c>
    </row>
    <row r="6" spans="1:67" s="231" customFormat="1" ht="18.75" x14ac:dyDescent="0.3">
      <c r="A6" s="330" t="str">
        <f>PLANTILLA!A6</f>
        <v>#2</v>
      </c>
      <c r="B6" s="330" t="s">
        <v>1</v>
      </c>
      <c r="C6" s="261" t="str">
        <f>PLANTILLA!D6</f>
        <v>E. Toney</v>
      </c>
      <c r="D6" s="332">
        <f>PLANTILLA!E6</f>
        <v>36</v>
      </c>
      <c r="E6" s="337">
        <f ca="1">PLANTILLA!F6</f>
        <v>7</v>
      </c>
      <c r="F6" s="333"/>
      <c r="G6" s="597">
        <f>PLANTILLA!H6</f>
        <v>4</v>
      </c>
      <c r="H6" s="275">
        <f>PLANTILLA!I6</f>
        <v>18</v>
      </c>
      <c r="I6" s="414">
        <f>PLANTILLA!X6</f>
        <v>0</v>
      </c>
      <c r="J6" s="414">
        <f>PLANTILLA!Y6</f>
        <v>11.95</v>
      </c>
      <c r="K6" s="414">
        <f>PLANTILLA!Z6</f>
        <v>12.95</v>
      </c>
      <c r="L6" s="414">
        <f>PLANTILLA!AA6</f>
        <v>8.9499999999999993</v>
      </c>
      <c r="M6" s="414">
        <f>PLANTILLA!AB6</f>
        <v>8.9499999999999993</v>
      </c>
      <c r="N6" s="414">
        <f>PLANTILLA!AC6</f>
        <v>1.95</v>
      </c>
      <c r="O6" s="414">
        <f>PLANTILLA!AD6</f>
        <v>17.177777777777774</v>
      </c>
      <c r="P6" s="350">
        <f t="shared" ref="P6:P28" si="20">D6</f>
        <v>36</v>
      </c>
      <c r="Q6" s="351">
        <f t="shared" ref="Q6:Q28" ca="1" si="21">E6+7</f>
        <v>14</v>
      </c>
      <c r="R6" s="263">
        <f t="shared" si="6"/>
        <v>18</v>
      </c>
      <c r="S6" s="432">
        <f t="shared" si="18"/>
        <v>0</v>
      </c>
      <c r="T6" s="432">
        <f t="shared" si="7"/>
        <v>11.95</v>
      </c>
      <c r="U6" s="432">
        <f t="shared" si="7"/>
        <v>12.95</v>
      </c>
      <c r="V6" s="432">
        <f t="shared" si="7"/>
        <v>8.9499999999999993</v>
      </c>
      <c r="W6" s="432">
        <f t="shared" si="7"/>
        <v>8.9499999999999993</v>
      </c>
      <c r="X6" s="432">
        <f t="shared" si="7"/>
        <v>1.95</v>
      </c>
      <c r="Y6" s="432">
        <f t="shared" si="7"/>
        <v>17.177777777777774</v>
      </c>
      <c r="Z6" s="360">
        <f t="shared" si="8"/>
        <v>0</v>
      </c>
      <c r="AA6" s="360">
        <f t="shared" si="9"/>
        <v>0</v>
      </c>
      <c r="AB6" s="360">
        <f t="shared" si="10"/>
        <v>0</v>
      </c>
      <c r="AC6" s="360">
        <f t="shared" si="11"/>
        <v>0</v>
      </c>
      <c r="AD6" s="360">
        <f t="shared" si="12"/>
        <v>0</v>
      </c>
      <c r="AE6" s="360">
        <f t="shared" si="13"/>
        <v>0</v>
      </c>
      <c r="AF6" s="360">
        <f t="shared" si="14"/>
        <v>0</v>
      </c>
      <c r="AH6" s="363" t="s">
        <v>467</v>
      </c>
      <c r="AI6" s="272" t="str">
        <f>C16</f>
        <v>G. Piscaer</v>
      </c>
      <c r="AJ6" s="368">
        <f>AA16*0.378</f>
        <v>9.4500000000000001E-2</v>
      </c>
      <c r="AK6" s="368">
        <f>AJ6</f>
        <v>9.4500000000000001E-2</v>
      </c>
      <c r="AL6" s="368">
        <f>AA16*1</f>
        <v>0.25</v>
      </c>
      <c r="AM6" s="368">
        <f>AB16*0.236</f>
        <v>4.7199999999999832E-2</v>
      </c>
      <c r="AN6" s="368">
        <v>0</v>
      </c>
      <c r="AO6" s="368">
        <v>0</v>
      </c>
      <c r="AP6" s="368">
        <v>0</v>
      </c>
      <c r="AQ6" s="371">
        <f>(0.5*AE16+0.3*AF16)/10</f>
        <v>3.9999999999999966E-2</v>
      </c>
      <c r="AR6" s="371">
        <f>(0.4*AA16+0.3*AF16)/10</f>
        <v>0.04</v>
      </c>
      <c r="AS6" s="370">
        <f>((T16+1)+(W16+1)*2)/8</f>
        <v>1.40625</v>
      </c>
      <c r="AT6" s="370">
        <f>((AA16)+(AD16)*2)/8</f>
        <v>3.125E-2</v>
      </c>
      <c r="AV6" s="363" t="s">
        <v>495</v>
      </c>
      <c r="AW6" s="229" t="str">
        <f>AW20</f>
        <v>B. Bartolache</v>
      </c>
      <c r="AX6" s="368">
        <f>AX20</f>
        <v>0</v>
      </c>
      <c r="AY6" s="368">
        <f t="shared" ref="AY6:BD6" si="22">AY20</f>
        <v>0</v>
      </c>
      <c r="AZ6" s="368">
        <f t="shared" si="22"/>
        <v>0</v>
      </c>
      <c r="BA6" s="368">
        <f t="shared" si="22"/>
        <v>0</v>
      </c>
      <c r="BB6" s="368">
        <f t="shared" si="22"/>
        <v>0</v>
      </c>
      <c r="BC6" s="368">
        <f t="shared" si="22"/>
        <v>0</v>
      </c>
      <c r="BD6" s="368">
        <f t="shared" si="22"/>
        <v>0</v>
      </c>
      <c r="BE6" s="371">
        <f>(0.5*AE7+0.3*AF7)/10</f>
        <v>0</v>
      </c>
      <c r="BF6" s="371">
        <f>(0.4*AA7+0.3*AF7)/10</f>
        <v>0</v>
      </c>
      <c r="BG6" s="370">
        <f>((T7+1)+(W7+1)*2)/8</f>
        <v>3.8562499999999997</v>
      </c>
      <c r="BH6" s="370">
        <f>((AA7)+(AD7)*2)/8</f>
        <v>0</v>
      </c>
      <c r="BJ6" s="227" t="s">
        <v>480</v>
      </c>
      <c r="BK6" s="377">
        <v>1</v>
      </c>
      <c r="BL6" s="378">
        <v>0.59299999999999997</v>
      </c>
      <c r="BM6" s="379">
        <v>0.19</v>
      </c>
      <c r="BN6" s="297">
        <f t="shared" si="2"/>
        <v>1.9</v>
      </c>
      <c r="BO6" s="297">
        <f t="shared" si="3"/>
        <v>2.85</v>
      </c>
    </row>
    <row r="7" spans="1:67" s="231" customFormat="1" x14ac:dyDescent="0.25">
      <c r="A7" s="330" t="str">
        <f>PLANTILLA!A7</f>
        <v>#24</v>
      </c>
      <c r="B7" s="330" t="s">
        <v>1</v>
      </c>
      <c r="C7" s="261" t="str">
        <f>PLANTILLA!D7</f>
        <v>B. Bartolache</v>
      </c>
      <c r="D7" s="332">
        <f>PLANTILLA!E7</f>
        <v>35</v>
      </c>
      <c r="E7" s="337">
        <f ca="1">PLANTILLA!F7</f>
        <v>104</v>
      </c>
      <c r="F7" s="333">
        <f>PLANTILLA!G7</f>
        <v>0</v>
      </c>
      <c r="G7" s="597">
        <f>PLANTILLA!H7</f>
        <v>3</v>
      </c>
      <c r="H7" s="275">
        <f>PLANTILLA!I7</f>
        <v>11.8</v>
      </c>
      <c r="I7" s="414">
        <f>PLANTILLA!X7</f>
        <v>0</v>
      </c>
      <c r="J7" s="414">
        <f>PLANTILLA!Y7</f>
        <v>11.95</v>
      </c>
      <c r="K7" s="414">
        <f>PLANTILLA!Z7</f>
        <v>5.95</v>
      </c>
      <c r="L7" s="414">
        <f>PLANTILLA!AA7</f>
        <v>6.95</v>
      </c>
      <c r="M7" s="414">
        <f>PLANTILLA!AB7</f>
        <v>7.95</v>
      </c>
      <c r="N7" s="414">
        <f>PLANTILLA!AC7</f>
        <v>2.95</v>
      </c>
      <c r="O7" s="414">
        <f>PLANTILLA!AD7</f>
        <v>16</v>
      </c>
      <c r="P7" s="350">
        <f t="shared" si="20"/>
        <v>35</v>
      </c>
      <c r="Q7" s="351">
        <f t="shared" ca="1" si="21"/>
        <v>111</v>
      </c>
      <c r="R7" s="263">
        <f t="shared" si="6"/>
        <v>11.8</v>
      </c>
      <c r="S7" s="432">
        <f t="shared" si="18"/>
        <v>0</v>
      </c>
      <c r="T7" s="432">
        <f t="shared" si="7"/>
        <v>11.95</v>
      </c>
      <c r="U7" s="432">
        <f t="shared" si="7"/>
        <v>5.95</v>
      </c>
      <c r="V7" s="432">
        <f t="shared" si="7"/>
        <v>6.95</v>
      </c>
      <c r="W7" s="432">
        <f t="shared" si="7"/>
        <v>7.95</v>
      </c>
      <c r="X7" s="432">
        <f t="shared" si="7"/>
        <v>2.95</v>
      </c>
      <c r="Y7" s="432">
        <f t="shared" si="7"/>
        <v>16</v>
      </c>
      <c r="Z7" s="360">
        <f t="shared" si="8"/>
        <v>0</v>
      </c>
      <c r="AA7" s="360">
        <f t="shared" si="9"/>
        <v>0</v>
      </c>
      <c r="AB7" s="360">
        <f t="shared" si="10"/>
        <v>0</v>
      </c>
      <c r="AC7" s="360">
        <f t="shared" si="11"/>
        <v>0</v>
      </c>
      <c r="AD7" s="360">
        <f t="shared" si="12"/>
        <v>0</v>
      </c>
      <c r="AE7" s="360">
        <f t="shared" si="13"/>
        <v>0</v>
      </c>
      <c r="AF7" s="360">
        <f t="shared" si="14"/>
        <v>0</v>
      </c>
      <c r="AH7" s="363" t="s">
        <v>451</v>
      </c>
      <c r="AI7" s="272" t="str">
        <f>C8</f>
        <v>F. Lasprilla</v>
      </c>
      <c r="AJ7" s="368">
        <v>0</v>
      </c>
      <c r="AK7" s="368">
        <f>AA8*0.919</f>
        <v>0</v>
      </c>
      <c r="AL7" s="368">
        <f>AA8*0.414</f>
        <v>0</v>
      </c>
      <c r="AM7" s="368">
        <f>AB8*0.167</f>
        <v>0</v>
      </c>
      <c r="AN7" s="368">
        <v>0</v>
      </c>
      <c r="AO7" s="368">
        <f>AC8*0.588</f>
        <v>0</v>
      </c>
      <c r="AP7" s="368">
        <v>0</v>
      </c>
      <c r="AQ7" s="371">
        <f>(0.5*AE8+0.3*AF8)/10</f>
        <v>0</v>
      </c>
      <c r="AR7" s="371">
        <f>(0.4*AA8+0.3*AF8)/10</f>
        <v>0</v>
      </c>
      <c r="AS7" s="370">
        <f>((T8+1)+(W8+1)*2)/8</f>
        <v>3.7914166666666662</v>
      </c>
      <c r="AT7" s="370">
        <f>((AA8)+(AD8)*2)/8</f>
        <v>0</v>
      </c>
      <c r="AV7" s="363" t="s">
        <v>451</v>
      </c>
      <c r="AW7" s="229" t="str">
        <f>AW23</f>
        <v>C. Rojas</v>
      </c>
      <c r="AX7" s="368">
        <f>AX23</f>
        <v>0</v>
      </c>
      <c r="AY7" s="368">
        <f t="shared" ref="AY7:BD7" si="23">AY23</f>
        <v>0</v>
      </c>
      <c r="AZ7" s="368">
        <f t="shared" si="23"/>
        <v>0</v>
      </c>
      <c r="BA7" s="368">
        <f t="shared" si="23"/>
        <v>0</v>
      </c>
      <c r="BB7" s="368">
        <f t="shared" si="23"/>
        <v>0</v>
      </c>
      <c r="BC7" s="368">
        <f t="shared" si="23"/>
        <v>0</v>
      </c>
      <c r="BD7" s="368">
        <f t="shared" si="23"/>
        <v>0</v>
      </c>
      <c r="BE7" s="371">
        <f>BE23</f>
        <v>0</v>
      </c>
      <c r="BF7" s="371">
        <f t="shared" ref="BF7:BH7" si="24">BF23</f>
        <v>0</v>
      </c>
      <c r="BG7" s="371">
        <f t="shared" si="24"/>
        <v>3.8562499999999997</v>
      </c>
      <c r="BH7" s="371">
        <f t="shared" si="24"/>
        <v>0</v>
      </c>
    </row>
    <row r="8" spans="1:67" s="232" customFormat="1" x14ac:dyDescent="0.25">
      <c r="A8" s="330" t="str">
        <f>PLANTILLA!A8</f>
        <v>#13</v>
      </c>
      <c r="B8" s="330" t="s">
        <v>1</v>
      </c>
      <c r="C8" s="261" t="str">
        <f>PLANTILLA!D8</f>
        <v>F. Lasprilla</v>
      </c>
      <c r="D8" s="332">
        <f>PLANTILLA!E8</f>
        <v>32</v>
      </c>
      <c r="E8" s="337">
        <f ca="1">PLANTILLA!F8</f>
        <v>15</v>
      </c>
      <c r="F8" s="333"/>
      <c r="G8" s="597">
        <f>PLANTILLA!H8</f>
        <v>4</v>
      </c>
      <c r="H8" s="275">
        <f>PLANTILLA!I8</f>
        <v>6.3</v>
      </c>
      <c r="I8" s="414">
        <f>PLANTILLA!X8</f>
        <v>0</v>
      </c>
      <c r="J8" s="414">
        <f>PLANTILLA!Y8</f>
        <v>9.6046666666666667</v>
      </c>
      <c r="K8" s="414">
        <f>PLANTILLA!Z8</f>
        <v>7.7607222222222223</v>
      </c>
      <c r="L8" s="414">
        <f>PLANTILLA!AA8</f>
        <v>6.1599999999999984</v>
      </c>
      <c r="M8" s="414">
        <f>PLANTILLA!AB8</f>
        <v>8.8633333333333315</v>
      </c>
      <c r="N8" s="414">
        <f>PLANTILLA!AC8</f>
        <v>2.95</v>
      </c>
      <c r="O8" s="414">
        <f>PLANTILLA!AD8</f>
        <v>13.33611111111111</v>
      </c>
      <c r="P8" s="350">
        <f t="shared" si="20"/>
        <v>32</v>
      </c>
      <c r="Q8" s="351">
        <f t="shared" ca="1" si="21"/>
        <v>22</v>
      </c>
      <c r="R8" s="263">
        <f t="shared" si="6"/>
        <v>6.3</v>
      </c>
      <c r="S8" s="432">
        <f t="shared" si="18"/>
        <v>0</v>
      </c>
      <c r="T8" s="432">
        <f t="shared" si="7"/>
        <v>9.6046666666666667</v>
      </c>
      <c r="U8" s="432">
        <f t="shared" si="7"/>
        <v>7.7607222222222223</v>
      </c>
      <c r="V8" s="432">
        <f t="shared" si="7"/>
        <v>6.1599999999999984</v>
      </c>
      <c r="W8" s="432">
        <f t="shared" si="7"/>
        <v>8.8633333333333315</v>
      </c>
      <c r="X8" s="432">
        <f t="shared" si="7"/>
        <v>2.95</v>
      </c>
      <c r="Y8" s="432">
        <f t="shared" si="7"/>
        <v>13.33611111111111</v>
      </c>
      <c r="Z8" s="360">
        <f t="shared" si="8"/>
        <v>0</v>
      </c>
      <c r="AA8" s="360">
        <f t="shared" si="9"/>
        <v>0</v>
      </c>
      <c r="AB8" s="360">
        <f t="shared" si="10"/>
        <v>0</v>
      </c>
      <c r="AC8" s="360">
        <f t="shared" si="11"/>
        <v>0</v>
      </c>
      <c r="AD8" s="360">
        <f t="shared" si="12"/>
        <v>0</v>
      </c>
      <c r="AE8" s="360">
        <f t="shared" si="13"/>
        <v>0</v>
      </c>
      <c r="AF8" s="360">
        <f t="shared" si="14"/>
        <v>0</v>
      </c>
      <c r="AH8" s="434" t="s">
        <v>496</v>
      </c>
      <c r="AI8" s="271" t="str">
        <f>C11</f>
        <v>C. Rojas</v>
      </c>
      <c r="AJ8" s="366">
        <f>AA11*0.349</f>
        <v>0</v>
      </c>
      <c r="AK8" s="366">
        <v>0</v>
      </c>
      <c r="AL8" s="366">
        <f>AA11*0.201</f>
        <v>0</v>
      </c>
      <c r="AM8" s="366">
        <f>AB11*0.455</f>
        <v>0</v>
      </c>
      <c r="AN8" s="366">
        <f>(AC11*0.864)+(AD11*0.244)</f>
        <v>0</v>
      </c>
      <c r="AO8" s="366">
        <v>0</v>
      </c>
      <c r="AP8" s="366">
        <f>(AD11*0.121)</f>
        <v>0</v>
      </c>
      <c r="AQ8" s="371">
        <f>(0.5*AE11+0.3*AF11)/10</f>
        <v>0</v>
      </c>
      <c r="AR8" s="371">
        <f>(0.4*AA11+0.3*AF11)/10</f>
        <v>0</v>
      </c>
      <c r="AS8" s="369">
        <v>0</v>
      </c>
      <c r="AT8" s="369">
        <v>0</v>
      </c>
      <c r="AV8" s="434" t="s">
        <v>497</v>
      </c>
      <c r="AW8" s="271" t="str">
        <f>C12</f>
        <v>E. Gross</v>
      </c>
      <c r="AX8" s="368">
        <f>AX24</f>
        <v>0</v>
      </c>
      <c r="AY8" s="368">
        <f t="shared" ref="AY8:BH8" si="25">AY24</f>
        <v>0</v>
      </c>
      <c r="AZ8" s="368">
        <f t="shared" si="25"/>
        <v>0</v>
      </c>
      <c r="BA8" s="368">
        <f t="shared" si="25"/>
        <v>0</v>
      </c>
      <c r="BB8" s="368">
        <f t="shared" si="25"/>
        <v>0</v>
      </c>
      <c r="BC8" s="368">
        <f t="shared" si="25"/>
        <v>0</v>
      </c>
      <c r="BD8" s="368">
        <f t="shared" si="25"/>
        <v>0</v>
      </c>
      <c r="BE8" s="371">
        <f t="shared" si="25"/>
        <v>0</v>
      </c>
      <c r="BF8" s="371">
        <f t="shared" si="25"/>
        <v>0</v>
      </c>
      <c r="BG8" s="371">
        <f t="shared" si="25"/>
        <v>0</v>
      </c>
      <c r="BH8" s="371">
        <f t="shared" si="25"/>
        <v>0</v>
      </c>
    </row>
    <row r="9" spans="1:67" s="231" customFormat="1" x14ac:dyDescent="0.25">
      <c r="A9" s="330" t="str">
        <f>PLANTILLA!A9</f>
        <v>#7</v>
      </c>
      <c r="B9" s="330" t="s">
        <v>1</v>
      </c>
      <c r="C9" s="261" t="str">
        <f>PLANTILLA!D9</f>
        <v>E. Romweber</v>
      </c>
      <c r="D9" s="332">
        <f>PLANTILLA!E9</f>
        <v>35</v>
      </c>
      <c r="E9" s="337">
        <f ca="1">PLANTILLA!F9</f>
        <v>81</v>
      </c>
      <c r="F9" s="333" t="str">
        <f>PLANTILLA!G9</f>
        <v>IMP</v>
      </c>
      <c r="G9" s="597">
        <f>PLANTILLA!H9</f>
        <v>0</v>
      </c>
      <c r="H9" s="275">
        <f>PLANTILLA!I9</f>
        <v>17.100000000000001</v>
      </c>
      <c r="I9" s="414">
        <f>PLANTILLA!X9</f>
        <v>0</v>
      </c>
      <c r="J9" s="414">
        <f>PLANTILLA!Y9</f>
        <v>11.95</v>
      </c>
      <c r="K9" s="414">
        <f>PLANTILLA!Z9</f>
        <v>12.614111111111114</v>
      </c>
      <c r="L9" s="414">
        <f>PLANTILLA!AA9</f>
        <v>12.95</v>
      </c>
      <c r="M9" s="414">
        <f>PLANTILLA!AB9</f>
        <v>10.95</v>
      </c>
      <c r="N9" s="414">
        <f>PLANTILLA!AC9</f>
        <v>5.95</v>
      </c>
      <c r="O9" s="414">
        <f>PLANTILLA!AD9</f>
        <v>17.529999999999998</v>
      </c>
      <c r="P9" s="350">
        <f t="shared" si="20"/>
        <v>35</v>
      </c>
      <c r="Q9" s="351">
        <f t="shared" ca="1" si="21"/>
        <v>88</v>
      </c>
      <c r="R9" s="263">
        <f t="shared" si="6"/>
        <v>17.100000000000001</v>
      </c>
      <c r="S9" s="432">
        <f t="shared" si="18"/>
        <v>0</v>
      </c>
      <c r="T9" s="432">
        <f t="shared" si="7"/>
        <v>11.95</v>
      </c>
      <c r="U9" s="432">
        <f t="shared" si="7"/>
        <v>12.614111111111114</v>
      </c>
      <c r="V9" s="432">
        <f t="shared" si="7"/>
        <v>12.95</v>
      </c>
      <c r="W9" s="432">
        <f t="shared" si="7"/>
        <v>10.95</v>
      </c>
      <c r="X9" s="432">
        <f t="shared" si="7"/>
        <v>5.95</v>
      </c>
      <c r="Y9" s="432">
        <f t="shared" si="7"/>
        <v>17.529999999999998</v>
      </c>
      <c r="Z9" s="360">
        <f t="shared" si="8"/>
        <v>0</v>
      </c>
      <c r="AA9" s="360">
        <f t="shared" si="9"/>
        <v>0</v>
      </c>
      <c r="AB9" s="360">
        <f t="shared" si="10"/>
        <v>0</v>
      </c>
      <c r="AC9" s="360">
        <f t="shared" si="11"/>
        <v>0</v>
      </c>
      <c r="AD9" s="360">
        <f t="shared" si="12"/>
        <v>0</v>
      </c>
      <c r="AE9" s="360">
        <f t="shared" si="13"/>
        <v>0</v>
      </c>
      <c r="AF9" s="360">
        <f t="shared" si="14"/>
        <v>0</v>
      </c>
      <c r="AH9" s="363" t="s">
        <v>411</v>
      </c>
      <c r="AI9" s="229" t="str">
        <f>C14</f>
        <v>I. Vanags</v>
      </c>
      <c r="AJ9" s="368">
        <f>AA14*0.291</f>
        <v>7.2749999999999995E-2</v>
      </c>
      <c r="AK9" s="368">
        <v>0</v>
      </c>
      <c r="AL9" s="368">
        <f>AA14*0.348</f>
        <v>8.6999999999999994E-2</v>
      </c>
      <c r="AM9" s="368">
        <f>AB14*0.881</f>
        <v>0.17620000000000016</v>
      </c>
      <c r="AN9" s="368">
        <f>(AC14*0.574)+(AD14*0.315)</f>
        <v>0</v>
      </c>
      <c r="AO9" s="368">
        <v>0</v>
      </c>
      <c r="AP9" s="368">
        <f>AD14*0.241</f>
        <v>0</v>
      </c>
      <c r="AQ9" s="371">
        <f>(0.5*AE14+0.3*AF14)/10</f>
        <v>4.0000000000000008E-2</v>
      </c>
      <c r="AR9" s="371">
        <f>(0.4*AA14+0.3*AF14)/10</f>
        <v>0.04</v>
      </c>
      <c r="AS9" s="371">
        <v>0</v>
      </c>
      <c r="AT9" s="371">
        <v>0</v>
      </c>
      <c r="AV9" s="363" t="s">
        <v>411</v>
      </c>
      <c r="AW9" s="229" t="str">
        <f>C14</f>
        <v>I. Vanags</v>
      </c>
      <c r="AX9" s="368">
        <f t="shared" ref="AX9:BD9" si="26">AJ9</f>
        <v>7.2749999999999995E-2</v>
      </c>
      <c r="AY9" s="368">
        <f t="shared" si="26"/>
        <v>0</v>
      </c>
      <c r="AZ9" s="368">
        <f t="shared" si="26"/>
        <v>8.6999999999999994E-2</v>
      </c>
      <c r="BA9" s="368">
        <f t="shared" si="26"/>
        <v>0.17620000000000016</v>
      </c>
      <c r="BB9" s="368">
        <f t="shared" si="26"/>
        <v>0</v>
      </c>
      <c r="BC9" s="368">
        <f t="shared" si="26"/>
        <v>0</v>
      </c>
      <c r="BD9" s="368">
        <f t="shared" si="26"/>
        <v>0</v>
      </c>
      <c r="BE9" s="371">
        <f t="shared" ref="BE9" si="27">AQ9</f>
        <v>4.0000000000000008E-2</v>
      </c>
      <c r="BF9" s="371">
        <f>AR9</f>
        <v>0.04</v>
      </c>
      <c r="BG9" s="371">
        <f>AS9</f>
        <v>0</v>
      </c>
      <c r="BH9" s="371">
        <f>AT9</f>
        <v>0</v>
      </c>
    </row>
    <row r="10" spans="1:67" s="4" customFormat="1" x14ac:dyDescent="0.25">
      <c r="A10" s="330" t="str">
        <f>PLANTILLA!A10</f>
        <v>#6</v>
      </c>
      <c r="B10" s="330" t="s">
        <v>1</v>
      </c>
      <c r="C10" s="261" t="str">
        <f>PLANTILLA!D10</f>
        <v>S. Buschelman</v>
      </c>
      <c r="D10" s="332">
        <f>PLANTILLA!E10</f>
        <v>34</v>
      </c>
      <c r="E10" s="337">
        <f ca="1">PLANTILLA!F10</f>
        <v>40</v>
      </c>
      <c r="F10" s="333"/>
      <c r="G10" s="597">
        <f>PLANTILLA!H10</f>
        <v>3</v>
      </c>
      <c r="H10" s="275">
        <f>PLANTILLA!I10</f>
        <v>14.8</v>
      </c>
      <c r="I10" s="414">
        <f>PLANTILLA!X10</f>
        <v>0</v>
      </c>
      <c r="J10" s="414">
        <f>PLANTILLA!Y10</f>
        <v>9.3036666666666648</v>
      </c>
      <c r="K10" s="414">
        <f>PLANTILLA!Z10</f>
        <v>14</v>
      </c>
      <c r="L10" s="414">
        <f>PLANTILLA!AA10</f>
        <v>12.945</v>
      </c>
      <c r="M10" s="414">
        <f>PLANTILLA!AB10</f>
        <v>9.9499999999999993</v>
      </c>
      <c r="N10" s="414">
        <f>PLANTILLA!AC10</f>
        <v>3.95</v>
      </c>
      <c r="O10" s="414">
        <f>PLANTILLA!AD10</f>
        <v>16</v>
      </c>
      <c r="P10" s="350">
        <f t="shared" si="20"/>
        <v>34</v>
      </c>
      <c r="Q10" s="351">
        <f t="shared" ca="1" si="21"/>
        <v>47</v>
      </c>
      <c r="R10" s="263">
        <f t="shared" si="6"/>
        <v>14.8</v>
      </c>
      <c r="S10" s="432">
        <f t="shared" si="18"/>
        <v>0</v>
      </c>
      <c r="T10" s="432">
        <f t="shared" si="7"/>
        <v>9.3036666666666648</v>
      </c>
      <c r="U10" s="432">
        <f t="shared" si="7"/>
        <v>14</v>
      </c>
      <c r="V10" s="432">
        <f t="shared" si="7"/>
        <v>12.945</v>
      </c>
      <c r="W10" s="432">
        <f t="shared" si="7"/>
        <v>9.9499999999999993</v>
      </c>
      <c r="X10" s="432">
        <f t="shared" si="7"/>
        <v>3.95</v>
      </c>
      <c r="Y10" s="432">
        <f t="shared" si="7"/>
        <v>16</v>
      </c>
      <c r="Z10" s="360">
        <f t="shared" si="8"/>
        <v>0</v>
      </c>
      <c r="AA10" s="360">
        <f t="shared" si="9"/>
        <v>0</v>
      </c>
      <c r="AB10" s="360">
        <f t="shared" si="10"/>
        <v>0</v>
      </c>
      <c r="AC10" s="360">
        <f t="shared" si="11"/>
        <v>0</v>
      </c>
      <c r="AD10" s="360">
        <f t="shared" si="12"/>
        <v>0</v>
      </c>
      <c r="AE10" s="360">
        <f t="shared" si="13"/>
        <v>0</v>
      </c>
      <c r="AF10" s="360">
        <f t="shared" si="14"/>
        <v>0</v>
      </c>
      <c r="AH10" s="363" t="s">
        <v>498</v>
      </c>
      <c r="AI10" s="229" t="str">
        <f>C17</f>
        <v>M. Bondarewski</v>
      </c>
      <c r="AJ10" s="368">
        <f>AA17*0.057</f>
        <v>1.900000000000001E-2</v>
      </c>
      <c r="AK10" s="368">
        <f>AJ10</f>
        <v>1.900000000000001E-2</v>
      </c>
      <c r="AL10" s="368">
        <f>AA17*0.162</f>
        <v>5.4000000000000027E-2</v>
      </c>
      <c r="AM10" s="368">
        <f>AB17*0.944</f>
        <v>0.18879999999999933</v>
      </c>
      <c r="AN10" s="368">
        <f>AD17*0.188</f>
        <v>0</v>
      </c>
      <c r="AO10" s="368">
        <f>AN10</f>
        <v>0</v>
      </c>
      <c r="AP10" s="368">
        <f>AD17*0.507+AE17*0.31</f>
        <v>6.1999999999999778E-2</v>
      </c>
      <c r="AQ10" s="371">
        <f>(0.5*AE17+0.3*AF17)/10</f>
        <v>3.9999999999999966E-2</v>
      </c>
      <c r="AR10" s="371">
        <f>(0.4*AA17+0.3*AF17)/10</f>
        <v>4.3333333333333335E-2</v>
      </c>
      <c r="AS10" s="371">
        <v>0</v>
      </c>
      <c r="AT10" s="371">
        <v>0</v>
      </c>
      <c r="AV10" s="363" t="s">
        <v>495</v>
      </c>
      <c r="AW10" s="229" t="str">
        <f>AW22</f>
        <v>E. Romweber</v>
      </c>
      <c r="AX10" s="368">
        <f>AX22</f>
        <v>0</v>
      </c>
      <c r="AY10" s="368">
        <f t="shared" ref="AY10:BD10" si="28">AY22</f>
        <v>0</v>
      </c>
      <c r="AZ10" s="368">
        <f t="shared" si="28"/>
        <v>0</v>
      </c>
      <c r="BA10" s="368">
        <f t="shared" si="28"/>
        <v>0</v>
      </c>
      <c r="BB10" s="368">
        <f t="shared" si="28"/>
        <v>0</v>
      </c>
      <c r="BC10" s="368">
        <f t="shared" si="28"/>
        <v>0</v>
      </c>
      <c r="BD10" s="368">
        <f t="shared" si="28"/>
        <v>0</v>
      </c>
      <c r="BE10" s="371">
        <f>AQ7</f>
        <v>0</v>
      </c>
      <c r="BF10" s="371">
        <f>AR7</f>
        <v>0</v>
      </c>
      <c r="BG10" s="371">
        <f t="shared" ref="BG10:BH10" si="29">BG22</f>
        <v>3.7914166666666662</v>
      </c>
      <c r="BH10" s="371">
        <f t="shared" si="29"/>
        <v>0</v>
      </c>
    </row>
    <row r="11" spans="1:67" x14ac:dyDescent="0.25">
      <c r="A11" s="330" t="str">
        <f>PLANTILLA!A11</f>
        <v>#4</v>
      </c>
      <c r="B11" s="330" t="s">
        <v>1</v>
      </c>
      <c r="C11" s="261" t="str">
        <f>PLANTILLA!D11</f>
        <v>C. Rojas</v>
      </c>
      <c r="D11" s="332">
        <f>PLANTILLA!E11</f>
        <v>36</v>
      </c>
      <c r="E11" s="337">
        <f ca="1">PLANTILLA!F11</f>
        <v>74</v>
      </c>
      <c r="F11" s="333" t="str">
        <f>PLANTILLA!G11</f>
        <v>TEC</v>
      </c>
      <c r="G11" s="597">
        <f>PLANTILLA!H11</f>
        <v>4</v>
      </c>
      <c r="H11" s="275">
        <f>PLANTILLA!I11</f>
        <v>14.4</v>
      </c>
      <c r="I11" s="414">
        <f>PLANTILLA!X11</f>
        <v>0</v>
      </c>
      <c r="J11" s="414">
        <f>PLANTILLA!Y11</f>
        <v>7.95</v>
      </c>
      <c r="K11" s="414">
        <f>PLANTILLA!Z11</f>
        <v>13.95</v>
      </c>
      <c r="L11" s="414">
        <f>PLANTILLA!AA11</f>
        <v>8.9499999999999993</v>
      </c>
      <c r="M11" s="414">
        <f>PLANTILLA!AB11</f>
        <v>9.9499999999999993</v>
      </c>
      <c r="N11" s="414">
        <f>PLANTILLA!AC11</f>
        <v>1.95</v>
      </c>
      <c r="O11" s="414">
        <f>PLANTILLA!AD11</f>
        <v>16.95</v>
      </c>
      <c r="P11" s="350">
        <f t="shared" si="20"/>
        <v>36</v>
      </c>
      <c r="Q11" s="351">
        <f t="shared" ca="1" si="21"/>
        <v>81</v>
      </c>
      <c r="R11" s="263">
        <f t="shared" si="6"/>
        <v>14.4</v>
      </c>
      <c r="S11" s="432">
        <f t="shared" si="18"/>
        <v>0</v>
      </c>
      <c r="T11" s="432">
        <f t="shared" si="7"/>
        <v>7.95</v>
      </c>
      <c r="U11" s="432">
        <f t="shared" si="7"/>
        <v>13.95</v>
      </c>
      <c r="V11" s="432">
        <f t="shared" si="7"/>
        <v>8.9499999999999993</v>
      </c>
      <c r="W11" s="432">
        <f t="shared" si="7"/>
        <v>9.9499999999999993</v>
      </c>
      <c r="X11" s="432">
        <f t="shared" si="7"/>
        <v>1.95</v>
      </c>
      <c r="Y11" s="432">
        <f t="shared" si="7"/>
        <v>16.95</v>
      </c>
      <c r="Z11" s="360">
        <f t="shared" si="8"/>
        <v>0</v>
      </c>
      <c r="AA11" s="360">
        <f t="shared" si="9"/>
        <v>0</v>
      </c>
      <c r="AB11" s="360">
        <f t="shared" si="10"/>
        <v>0</v>
      </c>
      <c r="AC11" s="360">
        <f t="shared" si="11"/>
        <v>0</v>
      </c>
      <c r="AD11" s="360">
        <f t="shared" si="12"/>
        <v>0</v>
      </c>
      <c r="AE11" s="360">
        <f t="shared" si="13"/>
        <v>0</v>
      </c>
      <c r="AF11" s="360">
        <f t="shared" si="14"/>
        <v>0</v>
      </c>
      <c r="AH11" s="363" t="s">
        <v>411</v>
      </c>
      <c r="AI11" s="229" t="str">
        <f>C15</f>
        <v>I. Stone</v>
      </c>
      <c r="AJ11" s="368">
        <v>0</v>
      </c>
      <c r="AK11" s="368">
        <f>AA15*0.291</f>
        <v>9.7000000000000031E-2</v>
      </c>
      <c r="AL11" s="368">
        <f>AA15*0.348</f>
        <v>0.11600000000000005</v>
      </c>
      <c r="AM11" s="368">
        <f>AB15*0.881</f>
        <v>0.22025</v>
      </c>
      <c r="AN11" s="368">
        <v>0</v>
      </c>
      <c r="AO11" s="368">
        <f>(AC15*0.574)+(AD15*0.314)</f>
        <v>0</v>
      </c>
      <c r="AP11" s="368">
        <f>AD15*0.241</f>
        <v>0</v>
      </c>
      <c r="AQ11" s="371">
        <f>(0.5*AE15+0.3*AF15)/10</f>
        <v>3.8333333333333303E-2</v>
      </c>
      <c r="AR11" s="371">
        <f>(0.4*AA15+0.3*AF15)/10</f>
        <v>4.3333333333333335E-2</v>
      </c>
      <c r="AS11" s="371">
        <v>0</v>
      </c>
      <c r="AT11" s="371">
        <v>0</v>
      </c>
      <c r="AV11" s="363" t="s">
        <v>411</v>
      </c>
      <c r="AW11" s="229" t="str">
        <f>C15</f>
        <v>I. Stone</v>
      </c>
      <c r="AX11" s="368">
        <f>AX26</f>
        <v>0</v>
      </c>
      <c r="AY11" s="368">
        <f t="shared" ref="AY11:BD11" si="30">AY26</f>
        <v>9.7000000000000031E-2</v>
      </c>
      <c r="AZ11" s="368">
        <f t="shared" si="30"/>
        <v>0.11600000000000005</v>
      </c>
      <c r="BA11" s="368">
        <f t="shared" si="30"/>
        <v>0.22025</v>
      </c>
      <c r="BB11" s="368">
        <f t="shared" si="30"/>
        <v>0</v>
      </c>
      <c r="BC11" s="368">
        <f t="shared" si="30"/>
        <v>0</v>
      </c>
      <c r="BD11" s="368">
        <f t="shared" si="30"/>
        <v>0</v>
      </c>
      <c r="BE11" s="371">
        <f>BE26</f>
        <v>3.8333333333333303E-2</v>
      </c>
      <c r="BF11" s="371">
        <f t="shared" ref="BF11:BH11" si="31">BF26</f>
        <v>4.3333333333333335E-2</v>
      </c>
      <c r="BG11" s="371">
        <f t="shared" si="31"/>
        <v>0</v>
      </c>
      <c r="BH11" s="371">
        <f t="shared" si="31"/>
        <v>0</v>
      </c>
    </row>
    <row r="12" spans="1:67" s="231" customFormat="1" x14ac:dyDescent="0.25">
      <c r="A12" s="330" t="str">
        <f>PLANTILLA!A12</f>
        <v>#12</v>
      </c>
      <c r="B12" s="330" t="s">
        <v>1</v>
      </c>
      <c r="C12" s="261" t="str">
        <f>PLANTILLA!D12</f>
        <v>E. Gross</v>
      </c>
      <c r="D12" s="332">
        <f>PLANTILLA!E12</f>
        <v>35</v>
      </c>
      <c r="E12" s="337">
        <f ca="1">PLANTILLA!F12</f>
        <v>68</v>
      </c>
      <c r="F12" s="333"/>
      <c r="G12" s="597">
        <f>PLANTILLA!H12</f>
        <v>3</v>
      </c>
      <c r="H12" s="275">
        <f>PLANTILLA!I12</f>
        <v>13.1</v>
      </c>
      <c r="I12" s="414">
        <f>PLANTILLA!X12</f>
        <v>0</v>
      </c>
      <c r="J12" s="414">
        <f>PLANTILLA!Y12</f>
        <v>10.549999999999995</v>
      </c>
      <c r="K12" s="414">
        <f>PLANTILLA!Z12</f>
        <v>12.95</v>
      </c>
      <c r="L12" s="414">
        <f>PLANTILLA!AA12</f>
        <v>4.95</v>
      </c>
      <c r="M12" s="414">
        <f>PLANTILLA!AB12</f>
        <v>8.9499999999999993</v>
      </c>
      <c r="N12" s="414">
        <f>PLANTILLA!AC12</f>
        <v>0.95</v>
      </c>
      <c r="O12" s="414">
        <f>PLANTILLA!AD12</f>
        <v>17.3</v>
      </c>
      <c r="P12" s="350">
        <f t="shared" si="20"/>
        <v>35</v>
      </c>
      <c r="Q12" s="351">
        <f t="shared" ca="1" si="21"/>
        <v>75</v>
      </c>
      <c r="R12" s="263">
        <f t="shared" si="6"/>
        <v>13.1</v>
      </c>
      <c r="S12" s="432">
        <f t="shared" si="18"/>
        <v>0</v>
      </c>
      <c r="T12" s="432">
        <f t="shared" si="7"/>
        <v>10.549999999999995</v>
      </c>
      <c r="U12" s="432">
        <f t="shared" si="7"/>
        <v>12.95</v>
      </c>
      <c r="V12" s="432">
        <f t="shared" si="7"/>
        <v>4.95</v>
      </c>
      <c r="W12" s="432">
        <f t="shared" si="7"/>
        <v>8.9499999999999993</v>
      </c>
      <c r="X12" s="432">
        <f t="shared" si="7"/>
        <v>0.95</v>
      </c>
      <c r="Y12" s="432">
        <f t="shared" si="7"/>
        <v>17.3</v>
      </c>
      <c r="Z12" s="360">
        <f t="shared" si="8"/>
        <v>0</v>
      </c>
      <c r="AA12" s="360">
        <f t="shared" si="9"/>
        <v>0</v>
      </c>
      <c r="AB12" s="360">
        <f t="shared" si="10"/>
        <v>0</v>
      </c>
      <c r="AC12" s="360">
        <f t="shared" si="11"/>
        <v>0</v>
      </c>
      <c r="AD12" s="360">
        <f t="shared" si="12"/>
        <v>0</v>
      </c>
      <c r="AE12" s="360">
        <f t="shared" si="13"/>
        <v>0</v>
      </c>
      <c r="AF12" s="360">
        <f t="shared" si="14"/>
        <v>0</v>
      </c>
      <c r="AH12" s="435" t="s">
        <v>497</v>
      </c>
      <c r="AI12" s="229" t="str">
        <f>C12</f>
        <v>E. Gross</v>
      </c>
      <c r="AJ12" s="368">
        <v>0</v>
      </c>
      <c r="AK12" s="368">
        <f>AA12*0.18</f>
        <v>0</v>
      </c>
      <c r="AL12" s="368">
        <f>AA12*0.068</f>
        <v>0</v>
      </c>
      <c r="AM12" s="368">
        <f>AB12*0.305</f>
        <v>0</v>
      </c>
      <c r="AN12" s="368">
        <v>0</v>
      </c>
      <c r="AO12" s="368">
        <f>(AC12*1)+(AD12*0.286)</f>
        <v>0</v>
      </c>
      <c r="AP12" s="368">
        <f>AD12*0.135</f>
        <v>0</v>
      </c>
      <c r="AQ12" s="371">
        <f>(0.5*AE12+0.3*AF12)/10</f>
        <v>0</v>
      </c>
      <c r="AR12" s="371">
        <f>(0.4*AA12+0.3*AF12)/10</f>
        <v>0</v>
      </c>
      <c r="AS12" s="371">
        <v>0</v>
      </c>
      <c r="AT12" s="371">
        <v>0</v>
      </c>
      <c r="AV12" s="435" t="s">
        <v>497</v>
      </c>
      <c r="AW12" s="229" t="str">
        <f>AW27</f>
        <v>W. Gelifini</v>
      </c>
      <c r="AX12" s="368">
        <f>AX27</f>
        <v>0</v>
      </c>
      <c r="AY12" s="368">
        <f t="shared" ref="AY12:BD12" si="32">AY27</f>
        <v>0</v>
      </c>
      <c r="AZ12" s="368">
        <f t="shared" si="32"/>
        <v>0</v>
      </c>
      <c r="BA12" s="368">
        <f t="shared" si="32"/>
        <v>0</v>
      </c>
      <c r="BB12" s="368">
        <f t="shared" si="32"/>
        <v>0</v>
      </c>
      <c r="BC12" s="368">
        <f t="shared" si="32"/>
        <v>0</v>
      </c>
      <c r="BD12" s="368">
        <f t="shared" si="32"/>
        <v>0</v>
      </c>
      <c r="BE12" s="371">
        <f>BE27</f>
        <v>0</v>
      </c>
      <c r="BF12" s="371">
        <f t="shared" ref="BF12:BH12" si="33">BF27</f>
        <v>0</v>
      </c>
      <c r="BG12" s="371">
        <f t="shared" si="33"/>
        <v>0</v>
      </c>
      <c r="BH12" s="371">
        <f t="shared" si="33"/>
        <v>0</v>
      </c>
    </row>
    <row r="13" spans="1:67" s="232" customFormat="1" x14ac:dyDescent="0.25">
      <c r="A13" s="330" t="str">
        <f>PLANTILLA!A13</f>
        <v>#23</v>
      </c>
      <c r="B13" s="330" t="s">
        <v>1</v>
      </c>
      <c r="C13" s="261" t="str">
        <f>PLANTILLA!D13</f>
        <v>W. Gelifini</v>
      </c>
      <c r="D13" s="332">
        <f>PLANTILLA!E13</f>
        <v>33</v>
      </c>
      <c r="E13" s="337">
        <f ca="1">PLANTILLA!F13</f>
        <v>105</v>
      </c>
      <c r="F13" s="333">
        <f>PLANTILLA!G13</f>
        <v>0</v>
      </c>
      <c r="G13" s="597">
        <f>PLANTILLA!H13</f>
        <v>2</v>
      </c>
      <c r="H13" s="275">
        <f>PLANTILLA!I13</f>
        <v>4.5</v>
      </c>
      <c r="I13" s="414">
        <f>PLANTILLA!X13</f>
        <v>0</v>
      </c>
      <c r="J13" s="414">
        <f>PLANTILLA!Y13</f>
        <v>5.6515555555555519</v>
      </c>
      <c r="K13" s="414">
        <f>PLANTILLA!Z13</f>
        <v>8.9499999999999993</v>
      </c>
      <c r="L13" s="414">
        <f>PLANTILLA!AA13</f>
        <v>6.95</v>
      </c>
      <c r="M13" s="414">
        <f>PLANTILLA!AB13</f>
        <v>9.2666666666666639</v>
      </c>
      <c r="N13" s="414">
        <f>PLANTILLA!AC13</f>
        <v>2.95</v>
      </c>
      <c r="O13" s="414">
        <f>PLANTILLA!AD13</f>
        <v>12.847222222222223</v>
      </c>
      <c r="P13" s="350">
        <f t="shared" si="20"/>
        <v>33</v>
      </c>
      <c r="Q13" s="351">
        <f t="shared" ca="1" si="21"/>
        <v>112</v>
      </c>
      <c r="R13" s="263">
        <f t="shared" si="6"/>
        <v>4.5</v>
      </c>
      <c r="S13" s="432">
        <f t="shared" si="18"/>
        <v>0</v>
      </c>
      <c r="T13" s="432">
        <f t="shared" si="7"/>
        <v>5.6515555555555519</v>
      </c>
      <c r="U13" s="432">
        <f t="shared" si="7"/>
        <v>8.9499999999999993</v>
      </c>
      <c r="V13" s="432">
        <f t="shared" si="7"/>
        <v>6.95</v>
      </c>
      <c r="W13" s="432">
        <f t="shared" si="7"/>
        <v>9.2666666666666639</v>
      </c>
      <c r="X13" s="432">
        <f t="shared" si="7"/>
        <v>2.95</v>
      </c>
      <c r="Y13" s="432">
        <f t="shared" si="7"/>
        <v>12.847222222222223</v>
      </c>
      <c r="Z13" s="360">
        <f t="shared" si="8"/>
        <v>0</v>
      </c>
      <c r="AA13" s="360">
        <f t="shared" si="9"/>
        <v>0</v>
      </c>
      <c r="AB13" s="360">
        <f t="shared" si="10"/>
        <v>0</v>
      </c>
      <c r="AC13" s="360">
        <f t="shared" si="11"/>
        <v>0</v>
      </c>
      <c r="AD13" s="360">
        <f t="shared" si="12"/>
        <v>0</v>
      </c>
      <c r="AE13" s="360">
        <f t="shared" si="13"/>
        <v>0</v>
      </c>
      <c r="AF13" s="360">
        <f t="shared" si="14"/>
        <v>0</v>
      </c>
      <c r="AH13" s="434" t="s">
        <v>66</v>
      </c>
      <c r="AI13" s="271" t="str">
        <f>C21</f>
        <v>N. Janbu</v>
      </c>
      <c r="AJ13" s="366">
        <v>0</v>
      </c>
      <c r="AK13" s="366">
        <v>0</v>
      </c>
      <c r="AL13" s="366">
        <v>0</v>
      </c>
      <c r="AM13" s="366">
        <f>AB21*0.25</f>
        <v>5.0000000000000044E-2</v>
      </c>
      <c r="AN13" s="366">
        <f>(AD21*0.142)+(AC21*0.221)+(AE21*0.26)</f>
        <v>5.1999999999999817E-2</v>
      </c>
      <c r="AO13" s="366">
        <f>AN13</f>
        <v>5.1999999999999817E-2</v>
      </c>
      <c r="AP13" s="366">
        <f>(AD21*0.369)+(AE21*1)</f>
        <v>0.19999999999999929</v>
      </c>
      <c r="AQ13" s="458">
        <f>((0.5*AE21+0.3*AF21)/10)+0.09*AF21</f>
        <v>0.12999999999999995</v>
      </c>
      <c r="AR13" s="458">
        <f>(0.4*AA21+0.3*AF21)/10</f>
        <v>4.3333333333333335E-2</v>
      </c>
      <c r="AS13" s="369">
        <v>0</v>
      </c>
      <c r="AT13" s="369">
        <v>0</v>
      </c>
      <c r="AV13" s="434" t="s">
        <v>494</v>
      </c>
      <c r="AW13" s="271" t="str">
        <f>C21</f>
        <v>N. Janbu</v>
      </c>
      <c r="AX13" s="366">
        <v>0</v>
      </c>
      <c r="AY13" s="366">
        <v>0</v>
      </c>
      <c r="AZ13" s="366">
        <v>0</v>
      </c>
      <c r="BA13" s="366">
        <f>AB21*0.25</f>
        <v>5.0000000000000044E-2</v>
      </c>
      <c r="BB13" s="366">
        <f>(AD21*0.209)+(AC21*0.607)+(AE21*0.524)</f>
        <v>0.10479999999999963</v>
      </c>
      <c r="BC13" s="366">
        <v>0</v>
      </c>
      <c r="BD13" s="366">
        <f>(AD21*0.261)+(AE21*0.607)</f>
        <v>0.12139999999999956</v>
      </c>
      <c r="BE13" s="459">
        <f>AQ13</f>
        <v>0.12999999999999995</v>
      </c>
      <c r="BF13" s="459">
        <f>AR13</f>
        <v>4.3333333333333335E-2</v>
      </c>
      <c r="BG13" s="369">
        <v>0</v>
      </c>
      <c r="BH13" s="369">
        <v>0</v>
      </c>
    </row>
    <row r="14" spans="1:67" s="231" customFormat="1" x14ac:dyDescent="0.25">
      <c r="A14" s="330" t="str">
        <f>PLANTILLA!A14</f>
        <v>#17</v>
      </c>
      <c r="B14" s="330" t="s">
        <v>1</v>
      </c>
      <c r="C14" s="261" t="str">
        <f>PLANTILLA!D14</f>
        <v>I. Vanags</v>
      </c>
      <c r="D14" s="332">
        <f>PLANTILLA!E14</f>
        <v>18</v>
      </c>
      <c r="E14" s="337">
        <f ca="1">PLANTILLA!F14</f>
        <v>63</v>
      </c>
      <c r="F14" s="333"/>
      <c r="G14" s="597">
        <f>PLANTILLA!H14</f>
        <v>4</v>
      </c>
      <c r="H14" s="275">
        <f>PLANTILLA!I14</f>
        <v>0.4</v>
      </c>
      <c r="I14" s="414">
        <f>PLANTILLA!X14</f>
        <v>0</v>
      </c>
      <c r="J14" s="414">
        <f>PLANTILLA!Y14</f>
        <v>4</v>
      </c>
      <c r="K14" s="414">
        <f>PLANTILLA!Z14</f>
        <v>7.2</v>
      </c>
      <c r="L14" s="414">
        <f>PLANTILLA!AA14</f>
        <v>3</v>
      </c>
      <c r="M14" s="414">
        <f>PLANTILLA!AB14</f>
        <v>4</v>
      </c>
      <c r="N14" s="414">
        <f>PLANTILLA!AC14</f>
        <v>7</v>
      </c>
      <c r="O14" s="414">
        <f>PLANTILLA!AD14</f>
        <v>6</v>
      </c>
      <c r="P14" s="350">
        <f t="shared" si="20"/>
        <v>18</v>
      </c>
      <c r="Q14" s="351">
        <f t="shared" ca="1" si="21"/>
        <v>70</v>
      </c>
      <c r="R14" s="263">
        <f t="shared" si="6"/>
        <v>0.4</v>
      </c>
      <c r="S14" s="432">
        <f t="shared" ref="S14:S28" si="34">I14</f>
        <v>0</v>
      </c>
      <c r="T14" s="432">
        <f>J14+T$2/4</f>
        <v>4.25</v>
      </c>
      <c r="U14" s="432">
        <f>K14+U$2/5</f>
        <v>7.4</v>
      </c>
      <c r="V14" s="432">
        <f t="shared" ref="V14:V28" si="35">L14</f>
        <v>3</v>
      </c>
      <c r="W14" s="432">
        <f t="shared" ref="W14:W28" si="36">M14</f>
        <v>4</v>
      </c>
      <c r="X14" s="432">
        <f>N14+X$2/5</f>
        <v>7.2</v>
      </c>
      <c r="Y14" s="432">
        <f>O14+Y$2/1</f>
        <v>7</v>
      </c>
      <c r="Z14" s="360">
        <f t="shared" si="8"/>
        <v>0</v>
      </c>
      <c r="AA14" s="360">
        <f t="shared" si="9"/>
        <v>0.25</v>
      </c>
      <c r="AB14" s="360">
        <f t="shared" si="10"/>
        <v>0.20000000000000018</v>
      </c>
      <c r="AC14" s="360">
        <f t="shared" si="11"/>
        <v>0</v>
      </c>
      <c r="AD14" s="360">
        <f t="shared" si="12"/>
        <v>0</v>
      </c>
      <c r="AE14" s="360">
        <f t="shared" si="13"/>
        <v>0.20000000000000018</v>
      </c>
      <c r="AF14" s="360">
        <f t="shared" si="14"/>
        <v>1</v>
      </c>
      <c r="AH14" s="435" t="s">
        <v>66</v>
      </c>
      <c r="AI14" s="229" t="str">
        <f>C13</f>
        <v>W. Gelifini</v>
      </c>
      <c r="AJ14" s="368">
        <v>0</v>
      </c>
      <c r="AK14" s="368">
        <v>0</v>
      </c>
      <c r="AL14" s="368">
        <v>0</v>
      </c>
      <c r="AM14" s="366">
        <f>AB13*0.25</f>
        <v>0</v>
      </c>
      <c r="AN14" s="366">
        <f>(AD13*0.142)+(AC13*0.221)+(AE13*0.26)</f>
        <v>0</v>
      </c>
      <c r="AO14" s="366">
        <f>AN14</f>
        <v>0</v>
      </c>
      <c r="AP14" s="366">
        <f>(AD13*0.369)+(AE13*1)</f>
        <v>0</v>
      </c>
      <c r="AQ14" s="371">
        <f>(0.5*AE13+0.3*AF13)/10</f>
        <v>0</v>
      </c>
      <c r="AR14" s="371">
        <f>(0.4*AA13+0.3*AF13)/10</f>
        <v>0</v>
      </c>
      <c r="AS14" s="369">
        <v>0</v>
      </c>
      <c r="AT14" s="369">
        <v>0</v>
      </c>
      <c r="AV14" s="435" t="s">
        <v>494</v>
      </c>
      <c r="AW14" s="229" t="s">
        <v>562</v>
      </c>
      <c r="AX14" s="368">
        <v>0</v>
      </c>
      <c r="AY14" s="368">
        <v>0</v>
      </c>
      <c r="AZ14" s="368">
        <v>0</v>
      </c>
      <c r="BA14" s="366">
        <f>AB23*0.25</f>
        <v>6.25E-2</v>
      </c>
      <c r="BB14" s="366">
        <v>0</v>
      </c>
      <c r="BC14" s="366">
        <f>(AD23*0.209)+(AC23*0.607)+(AE23*0.524)</f>
        <v>8.7333333333333027E-2</v>
      </c>
      <c r="BD14" s="366">
        <f>(AD23*0.261)+(AE23*0.607)</f>
        <v>0.10116666666666631</v>
      </c>
      <c r="BE14" s="369">
        <f>AQ20</f>
        <v>3.8333333333333303E-2</v>
      </c>
      <c r="BF14" s="369">
        <f>AR20</f>
        <v>0.04</v>
      </c>
      <c r="BG14" s="369">
        <v>0</v>
      </c>
      <c r="BH14" s="369">
        <v>0</v>
      </c>
    </row>
    <row r="15" spans="1:67" s="225" customFormat="1" x14ac:dyDescent="0.25">
      <c r="A15" s="330" t="str">
        <f>PLANTILLA!A15</f>
        <v>#8</v>
      </c>
      <c r="B15" s="330" t="s">
        <v>1</v>
      </c>
      <c r="C15" s="261" t="str">
        <f>PLANTILLA!D15</f>
        <v>I. Stone</v>
      </c>
      <c r="D15" s="332">
        <f>PLANTILLA!E15</f>
        <v>18</v>
      </c>
      <c r="E15" s="337">
        <f ca="1">PLANTILLA!F15</f>
        <v>6</v>
      </c>
      <c r="F15" s="333" t="str">
        <f>PLANTILLA!G15</f>
        <v>RAP</v>
      </c>
      <c r="G15" s="597">
        <f>PLANTILLA!H15</f>
        <v>6</v>
      </c>
      <c r="H15" s="275">
        <f>PLANTILLA!I15</f>
        <v>1.2</v>
      </c>
      <c r="I15" s="414">
        <f>PLANTILLA!X15</f>
        <v>0</v>
      </c>
      <c r="J15" s="414">
        <f>PLANTILLA!Y15</f>
        <v>3</v>
      </c>
      <c r="K15" s="414">
        <f>PLANTILLA!Z15</f>
        <v>5</v>
      </c>
      <c r="L15" s="414">
        <f>PLANTILLA!AA15</f>
        <v>2</v>
      </c>
      <c r="M15" s="414">
        <f>PLANTILLA!AB15</f>
        <v>6</v>
      </c>
      <c r="N15" s="414">
        <f>PLANTILLA!AC15</f>
        <v>9</v>
      </c>
      <c r="O15" s="414">
        <f>PLANTILLA!AD15</f>
        <v>2</v>
      </c>
      <c r="P15" s="350">
        <f t="shared" si="20"/>
        <v>18</v>
      </c>
      <c r="Q15" s="351">
        <f t="shared" ca="1" si="21"/>
        <v>13</v>
      </c>
      <c r="R15" s="263">
        <f t="shared" si="6"/>
        <v>1.2</v>
      </c>
      <c r="S15" s="432">
        <f t="shared" si="34"/>
        <v>0</v>
      </c>
      <c r="T15" s="432">
        <f>J15+T$2/3</f>
        <v>3.3333333333333335</v>
      </c>
      <c r="U15" s="432">
        <f t="shared" ref="U15" si="37">K15+U$2/4</f>
        <v>5.25</v>
      </c>
      <c r="V15" s="432">
        <f t="shared" si="35"/>
        <v>2</v>
      </c>
      <c r="W15" s="432">
        <f t="shared" si="36"/>
        <v>6</v>
      </c>
      <c r="X15" s="432">
        <f>N15+X$2/6</f>
        <v>9.1666666666666661</v>
      </c>
      <c r="Y15" s="432">
        <f t="shared" ref="Y15:Y23" si="38">O15+Y$2/1</f>
        <v>3</v>
      </c>
      <c r="Z15" s="360">
        <f t="shared" si="8"/>
        <v>0</v>
      </c>
      <c r="AA15" s="360">
        <f t="shared" si="9"/>
        <v>0.33333333333333348</v>
      </c>
      <c r="AB15" s="360">
        <f t="shared" si="10"/>
        <v>0.25</v>
      </c>
      <c r="AC15" s="360">
        <f t="shared" si="11"/>
        <v>0</v>
      </c>
      <c r="AD15" s="360">
        <f t="shared" si="12"/>
        <v>0</v>
      </c>
      <c r="AE15" s="360">
        <f t="shared" si="13"/>
        <v>0.16666666666666607</v>
      </c>
      <c r="AF15" s="360">
        <f t="shared" si="14"/>
        <v>1</v>
      </c>
      <c r="AH15" s="364"/>
      <c r="AI15" s="365"/>
      <c r="AJ15" s="365"/>
      <c r="AK15" s="365"/>
      <c r="AL15" s="365"/>
      <c r="AM15" s="365"/>
      <c r="AN15" s="365"/>
      <c r="AO15" s="365"/>
      <c r="AP15" s="365"/>
      <c r="AQ15" s="365"/>
      <c r="AR15" s="365"/>
      <c r="AS15" s="365"/>
      <c r="AT15" s="365"/>
      <c r="AV15"/>
      <c r="AW15"/>
      <c r="AX15"/>
      <c r="AY15"/>
      <c r="AZ15"/>
      <c r="BA15"/>
      <c r="BB15"/>
      <c r="BC15"/>
      <c r="BD15"/>
      <c r="BE15"/>
      <c r="BF15"/>
      <c r="BG15"/>
      <c r="BH15"/>
    </row>
    <row r="16" spans="1:67" s="232" customFormat="1" x14ac:dyDescent="0.25">
      <c r="A16" s="330" t="str">
        <f>PLANTILLA!A16</f>
        <v>#14</v>
      </c>
      <c r="B16" s="330" t="s">
        <v>1</v>
      </c>
      <c r="C16" s="261" t="str">
        <f>PLANTILLA!D16</f>
        <v>G. Piscaer</v>
      </c>
      <c r="D16" s="332">
        <f>PLANTILLA!E16</f>
        <v>18</v>
      </c>
      <c r="E16" s="337">
        <f ca="1">PLANTILLA!F16</f>
        <v>79</v>
      </c>
      <c r="F16" s="333"/>
      <c r="G16" s="597">
        <f>PLANTILLA!H16</f>
        <v>1</v>
      </c>
      <c r="H16" s="275">
        <f>PLANTILLA!I16</f>
        <v>1.8</v>
      </c>
      <c r="I16" s="414">
        <f>PLANTILLA!X16</f>
        <v>0</v>
      </c>
      <c r="J16" s="414">
        <f>PLANTILLA!Y16</f>
        <v>4</v>
      </c>
      <c r="K16" s="414">
        <f>PLANTILLA!Z16</f>
        <v>8</v>
      </c>
      <c r="L16" s="414">
        <f>PLANTILLA!AA16</f>
        <v>3</v>
      </c>
      <c r="M16" s="414">
        <f>PLANTILLA!AB16</f>
        <v>2</v>
      </c>
      <c r="N16" s="414">
        <f>PLANTILLA!AC16</f>
        <v>8</v>
      </c>
      <c r="O16" s="414">
        <f>PLANTILLA!AD16</f>
        <v>0</v>
      </c>
      <c r="P16" s="350">
        <f t="shared" si="20"/>
        <v>18</v>
      </c>
      <c r="Q16" s="351">
        <f t="shared" ca="1" si="21"/>
        <v>86</v>
      </c>
      <c r="R16" s="263">
        <f t="shared" si="6"/>
        <v>1.8</v>
      </c>
      <c r="S16" s="432">
        <f t="shared" si="34"/>
        <v>0</v>
      </c>
      <c r="T16" s="432">
        <f>J16+T$2/4</f>
        <v>4.25</v>
      </c>
      <c r="U16" s="432">
        <f>K16+U$2/5</f>
        <v>8.1999999999999993</v>
      </c>
      <c r="V16" s="432">
        <f t="shared" si="35"/>
        <v>3</v>
      </c>
      <c r="W16" s="432">
        <f t="shared" si="36"/>
        <v>2</v>
      </c>
      <c r="X16" s="432">
        <f t="shared" ref="X16:X21" si="39">N16+X$2/5</f>
        <v>8.1999999999999993</v>
      </c>
      <c r="Y16" s="432">
        <f t="shared" si="38"/>
        <v>1</v>
      </c>
      <c r="Z16" s="360">
        <f t="shared" si="8"/>
        <v>0</v>
      </c>
      <c r="AA16" s="360">
        <f t="shared" si="9"/>
        <v>0.25</v>
      </c>
      <c r="AB16" s="360">
        <f t="shared" si="10"/>
        <v>0.19999999999999929</v>
      </c>
      <c r="AC16" s="360">
        <f t="shared" si="11"/>
        <v>0</v>
      </c>
      <c r="AD16" s="360">
        <f t="shared" si="12"/>
        <v>0</v>
      </c>
      <c r="AE16" s="360">
        <f t="shared" si="13"/>
        <v>0.19999999999999929</v>
      </c>
      <c r="AF16" s="360">
        <f t="shared" si="14"/>
        <v>1</v>
      </c>
      <c r="AH16" s="222"/>
      <c r="AI16" s="222"/>
      <c r="AJ16" s="372">
        <f>SUM(AJ18:AJ28)*$BM$3</f>
        <v>0.10931</v>
      </c>
      <c r="AK16" s="372">
        <f>SUM(AK18:AK28)*$BM$3</f>
        <v>0.14359333333333341</v>
      </c>
      <c r="AL16" s="372">
        <f>SUM(AL18:AL28)*$BM$2</f>
        <v>8.8322500000000012E-2</v>
      </c>
      <c r="AM16" s="372">
        <f>SUM(AM18:AM28)*$BM$4</f>
        <v>9.243749999999995E-2</v>
      </c>
      <c r="AN16" s="372">
        <f>SUM(AN18:AN28)*$BM$5</f>
        <v>2.3833333333333248E-2</v>
      </c>
      <c r="AO16" s="372">
        <f>SUM(AO18:AO28)*$BM$5</f>
        <v>2.3833333333333248E-2</v>
      </c>
      <c r="AP16" s="372">
        <f>SUM(AP18:AP28)*$BM$6</f>
        <v>8.1446666666666376E-2</v>
      </c>
      <c r="AQ16" s="373">
        <f>SUM(AQ18:AQ28)</f>
        <v>0.36333333333333317</v>
      </c>
      <c r="AR16" s="373">
        <f>SUM(AR18:AR28)</f>
        <v>0.29000000000000004</v>
      </c>
      <c r="AS16" s="373">
        <f t="shared" ref="AS16:AT16" si="40">SUM(AS18:AS28)</f>
        <v>5.46875</v>
      </c>
      <c r="AT16" s="373">
        <f t="shared" si="40"/>
        <v>9.375E-2</v>
      </c>
      <c r="AV16" s="222"/>
      <c r="AW16" s="222"/>
      <c r="AX16" s="372">
        <f>SUM(AX18:AX28)*$BM$3</f>
        <v>0.13498000000000002</v>
      </c>
      <c r="AY16" s="372">
        <f>SUM(AY18:AY28)*$BM$3</f>
        <v>6.5110000000000015E-2</v>
      </c>
      <c r="AZ16" s="372">
        <f>SUM(AZ18:AZ28)*$BM$2</f>
        <v>0.13634250000000001</v>
      </c>
      <c r="BA16" s="372">
        <f>SUM(BA18:BA28)*$BM$4</f>
        <v>6.6925000000000012E-2</v>
      </c>
      <c r="BB16" s="372">
        <f>SUM(BB18:BB28)*$BM$5</f>
        <v>1.2999999999999954E-2</v>
      </c>
      <c r="BC16" s="372">
        <f>SUM(BC18:BC28)*$BM$5</f>
        <v>1.2999999999999954E-2</v>
      </c>
      <c r="BD16" s="372">
        <f>SUM(BD18:BD28)*$BM$6</f>
        <v>3.7999999999999867E-2</v>
      </c>
      <c r="BE16" s="373">
        <f>SUM(BE18:BE28)</f>
        <v>0.28666666666666651</v>
      </c>
      <c r="BF16" s="373">
        <f>SUM(BF18:BF28)</f>
        <v>0.20666666666666667</v>
      </c>
      <c r="BG16" s="373">
        <f t="shared" ref="BG16:BH16" si="41">SUM(BG18:BG28)</f>
        <v>14.691416666666665</v>
      </c>
      <c r="BH16" s="373">
        <f t="shared" si="41"/>
        <v>6.25E-2</v>
      </c>
    </row>
    <row r="17" spans="1:60" s="225" customFormat="1" x14ac:dyDescent="0.25">
      <c r="A17" s="330" t="str">
        <f>PLANTILLA!A17</f>
        <v>#3</v>
      </c>
      <c r="B17" s="330" t="s">
        <v>1</v>
      </c>
      <c r="C17" s="261" t="str">
        <f>PLANTILLA!D17</f>
        <v>M. Bondarewski</v>
      </c>
      <c r="D17" s="332">
        <f>PLANTILLA!E17</f>
        <v>18</v>
      </c>
      <c r="E17" s="337">
        <f ca="1">PLANTILLA!F17</f>
        <v>79</v>
      </c>
      <c r="F17" s="333" t="str">
        <f>PLANTILLA!G17</f>
        <v>RAP</v>
      </c>
      <c r="G17" s="597">
        <f>PLANTILLA!H17</f>
        <v>1</v>
      </c>
      <c r="H17" s="275">
        <f>PLANTILLA!I17</f>
        <v>1.6</v>
      </c>
      <c r="I17" s="414">
        <f>PLANTILLA!X17</f>
        <v>0</v>
      </c>
      <c r="J17" s="414">
        <f>PLANTILLA!Y17</f>
        <v>2</v>
      </c>
      <c r="K17" s="414">
        <f>PLANTILLA!Z17</f>
        <v>8.1999999999999993</v>
      </c>
      <c r="L17" s="414">
        <f>PLANTILLA!AA17</f>
        <v>5</v>
      </c>
      <c r="M17" s="414">
        <f>PLANTILLA!AB17</f>
        <v>4</v>
      </c>
      <c r="N17" s="414">
        <f>PLANTILLA!AC17</f>
        <v>8</v>
      </c>
      <c r="O17" s="414">
        <f>PLANTILLA!AD17</f>
        <v>6</v>
      </c>
      <c r="P17" s="350">
        <f t="shared" si="20"/>
        <v>18</v>
      </c>
      <c r="Q17" s="351">
        <f t="shared" ca="1" si="21"/>
        <v>86</v>
      </c>
      <c r="R17" s="263">
        <f t="shared" si="6"/>
        <v>1.6</v>
      </c>
      <c r="S17" s="432">
        <f t="shared" si="34"/>
        <v>0</v>
      </c>
      <c r="T17" s="432">
        <f>J17+T$2/3</f>
        <v>2.3333333333333335</v>
      </c>
      <c r="U17" s="432">
        <f>K17+U$2/5</f>
        <v>8.3999999999999986</v>
      </c>
      <c r="V17" s="432">
        <f t="shared" si="35"/>
        <v>5</v>
      </c>
      <c r="W17" s="432">
        <f t="shared" si="36"/>
        <v>4</v>
      </c>
      <c r="X17" s="432">
        <f t="shared" si="39"/>
        <v>8.1999999999999993</v>
      </c>
      <c r="Y17" s="432">
        <f t="shared" si="38"/>
        <v>7</v>
      </c>
      <c r="Z17" s="360">
        <f t="shared" si="8"/>
        <v>0</v>
      </c>
      <c r="AA17" s="360">
        <f t="shared" si="9"/>
        <v>0.33333333333333348</v>
      </c>
      <c r="AB17" s="360">
        <f t="shared" si="10"/>
        <v>0.19999999999999929</v>
      </c>
      <c r="AC17" s="360">
        <f t="shared" si="11"/>
        <v>0</v>
      </c>
      <c r="AD17" s="360">
        <f t="shared" si="12"/>
        <v>0</v>
      </c>
      <c r="AE17" s="360">
        <f t="shared" si="13"/>
        <v>0.19999999999999929</v>
      </c>
      <c r="AF17" s="360">
        <f t="shared" si="14"/>
        <v>1</v>
      </c>
      <c r="AH17" s="613" t="s">
        <v>560</v>
      </c>
      <c r="AI17" s="614"/>
      <c r="AJ17" s="295" t="s">
        <v>391</v>
      </c>
      <c r="AK17" s="295" t="s">
        <v>392</v>
      </c>
      <c r="AL17" s="295" t="s">
        <v>404</v>
      </c>
      <c r="AM17" s="295" t="s">
        <v>393</v>
      </c>
      <c r="AN17" s="295" t="s">
        <v>394</v>
      </c>
      <c r="AO17" s="295" t="s">
        <v>395</v>
      </c>
      <c r="AP17" s="295" t="s">
        <v>396</v>
      </c>
      <c r="AQ17" s="295" t="s">
        <v>573</v>
      </c>
      <c r="AR17" s="295" t="s">
        <v>574</v>
      </c>
      <c r="AS17" s="295" t="s">
        <v>448</v>
      </c>
      <c r="AT17" s="295" t="s">
        <v>470</v>
      </c>
      <c r="AV17" s="613" t="s">
        <v>493</v>
      </c>
      <c r="AW17" s="614"/>
      <c r="AX17" s="295" t="s">
        <v>391</v>
      </c>
      <c r="AY17" s="295" t="s">
        <v>392</v>
      </c>
      <c r="AZ17" s="295" t="s">
        <v>404</v>
      </c>
      <c r="BA17" s="295" t="s">
        <v>393</v>
      </c>
      <c r="BB17" s="295" t="s">
        <v>394</v>
      </c>
      <c r="BC17" s="295" t="s">
        <v>395</v>
      </c>
      <c r="BD17" s="295" t="s">
        <v>396</v>
      </c>
      <c r="BE17" s="295" t="s">
        <v>573</v>
      </c>
      <c r="BF17" s="295" t="s">
        <v>574</v>
      </c>
      <c r="BG17" s="295" t="s">
        <v>448</v>
      </c>
      <c r="BH17" s="295" t="s">
        <v>470</v>
      </c>
    </row>
    <row r="18" spans="1:60" s="220" customFormat="1" x14ac:dyDescent="0.25">
      <c r="A18" s="330" t="str">
        <f>PLANTILLA!A18</f>
        <v>#18</v>
      </c>
      <c r="B18" s="330" t="s">
        <v>1</v>
      </c>
      <c r="C18" s="261" t="str">
        <f>PLANTILLA!D18</f>
        <v>J. Vartiainen</v>
      </c>
      <c r="D18" s="332">
        <f>PLANTILLA!E18</f>
        <v>19</v>
      </c>
      <c r="E18" s="337">
        <f ca="1">PLANTILLA!F18</f>
        <v>13</v>
      </c>
      <c r="F18" s="333"/>
      <c r="G18" s="597">
        <f>PLANTILLA!H18</f>
        <v>4</v>
      </c>
      <c r="H18" s="275">
        <f>PLANTILLA!I18</f>
        <v>0.3</v>
      </c>
      <c r="I18" s="414">
        <f>PLANTILLA!X18</f>
        <v>0</v>
      </c>
      <c r="J18" s="414">
        <f>PLANTILLA!Y18</f>
        <v>7</v>
      </c>
      <c r="K18" s="414">
        <f>PLANTILLA!Z18</f>
        <v>7.1111111111111107</v>
      </c>
      <c r="L18" s="414">
        <f>PLANTILLA!AA18</f>
        <v>1</v>
      </c>
      <c r="M18" s="414">
        <f>PLANTILLA!AB18</f>
        <v>1</v>
      </c>
      <c r="N18" s="414">
        <f>PLANTILLA!AC18</f>
        <v>6</v>
      </c>
      <c r="O18" s="414">
        <f>PLANTILLA!AD18</f>
        <v>1</v>
      </c>
      <c r="P18" s="350">
        <f t="shared" si="20"/>
        <v>19</v>
      </c>
      <c r="Q18" s="351">
        <f t="shared" ca="1" si="21"/>
        <v>20</v>
      </c>
      <c r="R18" s="263">
        <f t="shared" si="6"/>
        <v>0.3</v>
      </c>
      <c r="S18" s="432">
        <f t="shared" si="34"/>
        <v>0</v>
      </c>
      <c r="T18" s="432">
        <f>J18+T$2/5</f>
        <v>7.2</v>
      </c>
      <c r="U18" s="432">
        <f>K18+U$2/5</f>
        <v>7.3111111111111109</v>
      </c>
      <c r="V18" s="432">
        <f t="shared" si="35"/>
        <v>1</v>
      </c>
      <c r="W18" s="432">
        <f t="shared" si="36"/>
        <v>1</v>
      </c>
      <c r="X18" s="432">
        <f>N18+X$2/4</f>
        <v>6.25</v>
      </c>
      <c r="Y18" s="432">
        <f t="shared" si="38"/>
        <v>2</v>
      </c>
      <c r="Z18" s="360">
        <f t="shared" si="8"/>
        <v>0</v>
      </c>
      <c r="AA18" s="360">
        <f t="shared" si="9"/>
        <v>0.20000000000000018</v>
      </c>
      <c r="AB18" s="360">
        <f t="shared" si="10"/>
        <v>0.20000000000000018</v>
      </c>
      <c r="AC18" s="360">
        <f t="shared" si="11"/>
        <v>0</v>
      </c>
      <c r="AD18" s="360">
        <f t="shared" si="12"/>
        <v>0</v>
      </c>
      <c r="AE18" s="360">
        <f t="shared" si="13"/>
        <v>0.25</v>
      </c>
      <c r="AF18" s="360">
        <f t="shared" si="14"/>
        <v>1</v>
      </c>
      <c r="AH18" s="361" t="s">
        <v>1</v>
      </c>
      <c r="AI18" s="271" t="str">
        <f>C4</f>
        <v>D. Gehmacher</v>
      </c>
      <c r="AJ18" s="366">
        <f>AJ4</f>
        <v>0</v>
      </c>
      <c r="AK18" s="366">
        <f t="shared" ref="AK18:AT18" si="42">AK4</f>
        <v>0</v>
      </c>
      <c r="AL18" s="366">
        <f t="shared" si="42"/>
        <v>0</v>
      </c>
      <c r="AM18" s="366">
        <f t="shared" si="42"/>
        <v>0</v>
      </c>
      <c r="AN18" s="366">
        <f t="shared" si="42"/>
        <v>0</v>
      </c>
      <c r="AO18" s="366">
        <f t="shared" si="42"/>
        <v>0</v>
      </c>
      <c r="AP18" s="366">
        <f t="shared" si="42"/>
        <v>0</v>
      </c>
      <c r="AQ18" s="459">
        <f t="shared" si="42"/>
        <v>0</v>
      </c>
      <c r="AR18" s="459">
        <f t="shared" si="42"/>
        <v>0</v>
      </c>
      <c r="AS18" s="369">
        <f t="shared" si="42"/>
        <v>0</v>
      </c>
      <c r="AT18" s="369">
        <f t="shared" si="42"/>
        <v>0</v>
      </c>
      <c r="AV18" s="361" t="s">
        <v>1</v>
      </c>
      <c r="AW18" s="271" t="str">
        <f>C4</f>
        <v>D. Gehmacher</v>
      </c>
      <c r="AX18" s="366">
        <f>AX4</f>
        <v>0</v>
      </c>
      <c r="AY18" s="366">
        <f t="shared" ref="AY18:BH18" si="43">AY4</f>
        <v>0</v>
      </c>
      <c r="AZ18" s="366">
        <f t="shared" si="43"/>
        <v>0</v>
      </c>
      <c r="BA18" s="366">
        <f t="shared" si="43"/>
        <v>0</v>
      </c>
      <c r="BB18" s="366">
        <f t="shared" si="43"/>
        <v>0</v>
      </c>
      <c r="BC18" s="366">
        <f t="shared" si="43"/>
        <v>0</v>
      </c>
      <c r="BD18" s="366">
        <f t="shared" si="43"/>
        <v>0</v>
      </c>
      <c r="BE18" s="459">
        <f t="shared" si="43"/>
        <v>0</v>
      </c>
      <c r="BF18" s="459">
        <f t="shared" si="43"/>
        <v>0</v>
      </c>
      <c r="BG18" s="369">
        <f t="shared" si="43"/>
        <v>0</v>
      </c>
      <c r="BH18" s="369">
        <f t="shared" si="43"/>
        <v>0</v>
      </c>
    </row>
    <row r="19" spans="1:60" s="220" customFormat="1" x14ac:dyDescent="0.25">
      <c r="A19" s="330" t="str">
        <f>PLANTILLA!A19</f>
        <v>#16</v>
      </c>
      <c r="B19" s="330" t="s">
        <v>1</v>
      </c>
      <c r="C19" s="261" t="str">
        <f>PLANTILLA!D19</f>
        <v>R. Forsyth</v>
      </c>
      <c r="D19" s="332">
        <f>PLANTILLA!E19</f>
        <v>19</v>
      </c>
      <c r="E19" s="337">
        <f ca="1">PLANTILLA!F19</f>
        <v>8</v>
      </c>
      <c r="F19" s="333" t="str">
        <f>PLANTILLA!G19</f>
        <v>POT</v>
      </c>
      <c r="G19" s="597">
        <f>PLANTILLA!H19</f>
        <v>4</v>
      </c>
      <c r="H19" s="275">
        <f>PLANTILLA!I19</f>
        <v>1.8</v>
      </c>
      <c r="I19" s="414">
        <f>PLANTILLA!X19</f>
        <v>0</v>
      </c>
      <c r="J19" s="414">
        <f>PLANTILLA!Y19</f>
        <v>7</v>
      </c>
      <c r="K19" s="414">
        <f>PLANTILLA!Z19</f>
        <v>7.2</v>
      </c>
      <c r="L19" s="414">
        <f>PLANTILLA!AA19</f>
        <v>2</v>
      </c>
      <c r="M19" s="414">
        <f>PLANTILLA!AB19</f>
        <v>4</v>
      </c>
      <c r="N19" s="414">
        <f>PLANTILLA!AC19</f>
        <v>6</v>
      </c>
      <c r="O19" s="414">
        <f>PLANTILLA!AD19</f>
        <v>2</v>
      </c>
      <c r="P19" s="350">
        <f t="shared" si="20"/>
        <v>19</v>
      </c>
      <c r="Q19" s="351">
        <f t="shared" ca="1" si="21"/>
        <v>15</v>
      </c>
      <c r="R19" s="263">
        <f t="shared" si="6"/>
        <v>1.8</v>
      </c>
      <c r="S19" s="432">
        <f t="shared" si="34"/>
        <v>0</v>
      </c>
      <c r="T19" s="432">
        <f>J19+T$2/5</f>
        <v>7.2</v>
      </c>
      <c r="U19" s="432">
        <f>K19+U$2/5</f>
        <v>7.4</v>
      </c>
      <c r="V19" s="432">
        <f t="shared" si="35"/>
        <v>2</v>
      </c>
      <c r="W19" s="432">
        <f t="shared" si="36"/>
        <v>4</v>
      </c>
      <c r="X19" s="432">
        <f>N19+X$2/4</f>
        <v>6.25</v>
      </c>
      <c r="Y19" s="432">
        <f t="shared" si="38"/>
        <v>3</v>
      </c>
      <c r="Z19" s="360">
        <f t="shared" si="8"/>
        <v>0</v>
      </c>
      <c r="AA19" s="360">
        <f t="shared" si="9"/>
        <v>0.20000000000000018</v>
      </c>
      <c r="AB19" s="360">
        <f t="shared" si="10"/>
        <v>0.20000000000000018</v>
      </c>
      <c r="AC19" s="360">
        <f t="shared" si="11"/>
        <v>0</v>
      </c>
      <c r="AD19" s="360">
        <f t="shared" si="12"/>
        <v>0</v>
      </c>
      <c r="AE19" s="360">
        <f t="shared" si="13"/>
        <v>0.25</v>
      </c>
      <c r="AF19" s="360">
        <f t="shared" si="14"/>
        <v>1</v>
      </c>
      <c r="AH19" s="362" t="s">
        <v>451</v>
      </c>
      <c r="AI19" s="272" t="str">
        <f>C20</f>
        <v>K. Nelson</v>
      </c>
      <c r="AJ19" s="367">
        <f>(AA20*0.919)</f>
        <v>0.22975000000000001</v>
      </c>
      <c r="AK19" s="367">
        <v>0</v>
      </c>
      <c r="AL19" s="367">
        <f>AA20*0.414</f>
        <v>0.10349999999999999</v>
      </c>
      <c r="AM19" s="367">
        <f>AB20*0.167</f>
        <v>4.1750000000000002E-2</v>
      </c>
      <c r="AN19" s="367">
        <f>AC20*0.588</f>
        <v>0</v>
      </c>
      <c r="AO19" s="367">
        <v>0</v>
      </c>
      <c r="AP19" s="367">
        <v>0</v>
      </c>
      <c r="AQ19" s="370">
        <f>AQ5</f>
        <v>3.8333333333333303E-2</v>
      </c>
      <c r="AR19" s="370">
        <f>AR5</f>
        <v>0.04</v>
      </c>
      <c r="AS19" s="370">
        <f>((T20+1)+(W20+1)*2)/8</f>
        <v>1.78125</v>
      </c>
      <c r="AT19" s="370">
        <f>((AA20)+(AD20)*2)/8</f>
        <v>3.125E-2</v>
      </c>
      <c r="AV19" s="362" t="s">
        <v>451</v>
      </c>
      <c r="AW19" s="272" t="str">
        <f>C8</f>
        <v>F. Lasprilla</v>
      </c>
      <c r="AX19" s="367">
        <f t="shared" ref="AX19:BD19" si="44">AJ5</f>
        <v>0.22975000000000001</v>
      </c>
      <c r="AY19" s="367">
        <f t="shared" si="44"/>
        <v>0</v>
      </c>
      <c r="AZ19" s="367">
        <f t="shared" si="44"/>
        <v>0.10349999999999999</v>
      </c>
      <c r="BA19" s="367">
        <f t="shared" si="44"/>
        <v>4.1750000000000002E-2</v>
      </c>
      <c r="BB19" s="367">
        <f t="shared" si="44"/>
        <v>0</v>
      </c>
      <c r="BC19" s="367">
        <f t="shared" si="44"/>
        <v>0</v>
      </c>
      <c r="BD19" s="367">
        <f t="shared" si="44"/>
        <v>0</v>
      </c>
      <c r="BE19" s="370">
        <f t="shared" ref="BE19" si="45">AQ5</f>
        <v>3.8333333333333303E-2</v>
      </c>
      <c r="BF19" s="370">
        <f>AR5</f>
        <v>0.04</v>
      </c>
      <c r="BG19" s="370">
        <f>AS5</f>
        <v>1.78125</v>
      </c>
      <c r="BH19" s="370">
        <f>AT5</f>
        <v>3.125E-2</v>
      </c>
    </row>
    <row r="20" spans="1:60" s="219" customFormat="1" x14ac:dyDescent="0.25">
      <c r="A20" s="330" t="str">
        <f>PLANTILLA!A20</f>
        <v>#21</v>
      </c>
      <c r="B20" s="330" t="s">
        <v>1</v>
      </c>
      <c r="C20" s="261" t="str">
        <f>PLANTILLA!D20</f>
        <v>K. Nelson</v>
      </c>
      <c r="D20" s="332">
        <f>PLANTILLA!E20</f>
        <v>19</v>
      </c>
      <c r="E20" s="337">
        <f ca="1">PLANTILLA!F20</f>
        <v>0</v>
      </c>
      <c r="F20" s="333"/>
      <c r="G20" s="597">
        <f>PLANTILLA!H20</f>
        <v>4</v>
      </c>
      <c r="H20" s="275">
        <f>PLANTILLA!I20</f>
        <v>1.8</v>
      </c>
      <c r="I20" s="414">
        <f>PLANTILLA!X20</f>
        <v>0</v>
      </c>
      <c r="J20" s="414">
        <f>PLANTILLA!Y20</f>
        <v>5</v>
      </c>
      <c r="K20" s="414">
        <f>PLANTILLA!Z20</f>
        <v>6.0333333333333332</v>
      </c>
      <c r="L20" s="414">
        <f>PLANTILLA!AA20</f>
        <v>2</v>
      </c>
      <c r="M20" s="414">
        <f>PLANTILLA!AB20</f>
        <v>3</v>
      </c>
      <c r="N20" s="414">
        <f>PLANTILLA!AC20</f>
        <v>9</v>
      </c>
      <c r="O20" s="414">
        <f>PLANTILLA!AD20</f>
        <v>1</v>
      </c>
      <c r="P20" s="350">
        <f t="shared" si="20"/>
        <v>19</v>
      </c>
      <c r="Q20" s="351">
        <f t="shared" ca="1" si="21"/>
        <v>7</v>
      </c>
      <c r="R20" s="263">
        <f t="shared" si="6"/>
        <v>1.8</v>
      </c>
      <c r="S20" s="432">
        <f t="shared" si="34"/>
        <v>0</v>
      </c>
      <c r="T20" s="432">
        <f>J20+T$2/4</f>
        <v>5.25</v>
      </c>
      <c r="U20" s="432">
        <f>K20+U$2/4</f>
        <v>6.2833333333333332</v>
      </c>
      <c r="V20" s="432">
        <f t="shared" si="35"/>
        <v>2</v>
      </c>
      <c r="W20" s="432">
        <f t="shared" si="36"/>
        <v>3</v>
      </c>
      <c r="X20" s="432">
        <f>N20+X$2/6</f>
        <v>9.1666666666666661</v>
      </c>
      <c r="Y20" s="432">
        <f t="shared" si="38"/>
        <v>2</v>
      </c>
      <c r="Z20" s="360">
        <f t="shared" si="8"/>
        <v>0</v>
      </c>
      <c r="AA20" s="360">
        <f t="shared" si="9"/>
        <v>0.25</v>
      </c>
      <c r="AB20" s="360">
        <f t="shared" si="10"/>
        <v>0.25</v>
      </c>
      <c r="AC20" s="360">
        <f t="shared" si="11"/>
        <v>0</v>
      </c>
      <c r="AD20" s="360">
        <f t="shared" si="12"/>
        <v>0</v>
      </c>
      <c r="AE20" s="360">
        <f t="shared" si="13"/>
        <v>0.16666666666666607</v>
      </c>
      <c r="AF20" s="360">
        <f t="shared" si="14"/>
        <v>1</v>
      </c>
      <c r="AH20" s="435" t="s">
        <v>66</v>
      </c>
      <c r="AI20" s="229" t="str">
        <f>C23</f>
        <v>R. Scheidecker</v>
      </c>
      <c r="AJ20" s="366">
        <v>0</v>
      </c>
      <c r="AK20" s="366">
        <v>0</v>
      </c>
      <c r="AL20" s="366">
        <v>0</v>
      </c>
      <c r="AM20" s="368">
        <f>AB23*0.25</f>
        <v>6.25E-2</v>
      </c>
      <c r="AN20" s="368">
        <f>(AD23*0.142)+(AC23*0.221)+(AE23*0.26)</f>
        <v>4.3333333333333182E-2</v>
      </c>
      <c r="AO20" s="366">
        <f>AN20</f>
        <v>4.3333333333333182E-2</v>
      </c>
      <c r="AP20" s="368">
        <f>(AD23*0.369)+(AE23*1)</f>
        <v>0.16666666666666607</v>
      </c>
      <c r="AQ20" s="371">
        <f>(0.5*AE23+0.3*AF23)/10</f>
        <v>3.8333333333333303E-2</v>
      </c>
      <c r="AR20" s="371">
        <f>(0.4*AA23+0.3*AF23)/10</f>
        <v>0.04</v>
      </c>
      <c r="AS20" s="370">
        <f>((T23+1)+(W23+1)*2)/8</f>
        <v>1.90625</v>
      </c>
      <c r="AT20" s="370">
        <f>((AA23)+(AD23)*2)/8</f>
        <v>3.125E-2</v>
      </c>
      <c r="AV20" s="363" t="s">
        <v>495</v>
      </c>
      <c r="AW20" s="229" t="str">
        <f>C7</f>
        <v>B. Bartolache</v>
      </c>
      <c r="AX20" s="368">
        <f>AA7*0.754</f>
        <v>0</v>
      </c>
      <c r="AY20" s="368">
        <v>0</v>
      </c>
      <c r="AZ20" s="368">
        <f>AA7*0.708</f>
        <v>0</v>
      </c>
      <c r="BA20" s="368">
        <f>AB7*0.165</f>
        <v>0</v>
      </c>
      <c r="BB20" s="368">
        <f>AC7*0.286</f>
        <v>0</v>
      </c>
      <c r="BC20" s="368">
        <v>0</v>
      </c>
      <c r="BD20" s="368">
        <v>0</v>
      </c>
      <c r="BE20" s="371">
        <f>BE6</f>
        <v>0</v>
      </c>
      <c r="BF20" s="371">
        <f>BF6</f>
        <v>0</v>
      </c>
      <c r="BG20" s="370">
        <f>((T7+1)+(W7+1)*2)/8</f>
        <v>3.8562499999999997</v>
      </c>
      <c r="BH20" s="370">
        <f>((AA7)+(AD7)*2)/8</f>
        <v>0</v>
      </c>
    </row>
    <row r="21" spans="1:60" s="228" customFormat="1" x14ac:dyDescent="0.25">
      <c r="A21" s="330" t="str">
        <f>PLANTILLA!A21</f>
        <v>#19</v>
      </c>
      <c r="B21" s="330" t="s">
        <v>1</v>
      </c>
      <c r="C21" s="261" t="str">
        <f>PLANTILLA!D21</f>
        <v>N. Janbu</v>
      </c>
      <c r="D21" s="332">
        <f>PLANTILLA!E21</f>
        <v>18</v>
      </c>
      <c r="E21" s="337">
        <f ca="1">PLANTILLA!F21</f>
        <v>64</v>
      </c>
      <c r="F21" s="333" t="str">
        <f>PLANTILLA!G21</f>
        <v>RAP</v>
      </c>
      <c r="G21" s="597">
        <f>PLANTILLA!H21</f>
        <v>5</v>
      </c>
      <c r="H21" s="275">
        <f>PLANTILLA!I21</f>
        <v>0.5</v>
      </c>
      <c r="I21" s="414">
        <f>PLANTILLA!X21</f>
        <v>0</v>
      </c>
      <c r="J21" s="414">
        <f>PLANTILLA!Y21</f>
        <v>3</v>
      </c>
      <c r="K21" s="414">
        <f>PLANTILLA!Z21</f>
        <v>7.0285714285714285</v>
      </c>
      <c r="L21" s="414">
        <f>PLANTILLA!AA21</f>
        <v>1</v>
      </c>
      <c r="M21" s="414">
        <f>PLANTILLA!AB21</f>
        <v>1</v>
      </c>
      <c r="N21" s="414">
        <f>PLANTILLA!AC21</f>
        <v>8</v>
      </c>
      <c r="O21" s="414">
        <f>PLANTILLA!AD21</f>
        <v>3</v>
      </c>
      <c r="P21" s="350">
        <f t="shared" si="20"/>
        <v>18</v>
      </c>
      <c r="Q21" s="351">
        <f t="shared" ca="1" si="21"/>
        <v>71</v>
      </c>
      <c r="R21" s="263">
        <f t="shared" si="6"/>
        <v>0.5</v>
      </c>
      <c r="S21" s="432">
        <f t="shared" si="34"/>
        <v>0</v>
      </c>
      <c r="T21" s="432">
        <f>J21+T$2/3</f>
        <v>3.3333333333333335</v>
      </c>
      <c r="U21" s="432">
        <f>K21+U$2/5</f>
        <v>7.2285714285714286</v>
      </c>
      <c r="V21" s="432">
        <f t="shared" si="35"/>
        <v>1</v>
      </c>
      <c r="W21" s="432">
        <f t="shared" si="36"/>
        <v>1</v>
      </c>
      <c r="X21" s="432">
        <f t="shared" si="39"/>
        <v>8.1999999999999993</v>
      </c>
      <c r="Y21" s="432">
        <f t="shared" si="38"/>
        <v>4</v>
      </c>
      <c r="Z21" s="360">
        <f t="shared" si="8"/>
        <v>0</v>
      </c>
      <c r="AA21" s="360">
        <f t="shared" si="9"/>
        <v>0.33333333333333348</v>
      </c>
      <c r="AB21" s="360">
        <f t="shared" si="10"/>
        <v>0.20000000000000018</v>
      </c>
      <c r="AC21" s="360">
        <f t="shared" si="11"/>
        <v>0</v>
      </c>
      <c r="AD21" s="360">
        <f t="shared" si="12"/>
        <v>0</v>
      </c>
      <c r="AE21" s="360">
        <f t="shared" si="13"/>
        <v>0.19999999999999929</v>
      </c>
      <c r="AF21" s="360">
        <f t="shared" si="14"/>
        <v>1</v>
      </c>
      <c r="AH21" s="363" t="s">
        <v>451</v>
      </c>
      <c r="AI21" s="229" t="str">
        <f>C8</f>
        <v>F. Lasprilla</v>
      </c>
      <c r="AJ21" s="368">
        <v>0</v>
      </c>
      <c r="AK21" s="368">
        <f>AA17*0.919</f>
        <v>0.30633333333333346</v>
      </c>
      <c r="AL21" s="368">
        <f>AA8*0.414</f>
        <v>0</v>
      </c>
      <c r="AM21" s="368">
        <f>AB8*0.167</f>
        <v>0</v>
      </c>
      <c r="AN21" s="368">
        <v>0</v>
      </c>
      <c r="AO21" s="368">
        <f>AC8*0.588</f>
        <v>0</v>
      </c>
      <c r="AP21" s="368">
        <v>0</v>
      </c>
      <c r="AQ21" s="371">
        <f>AQ5</f>
        <v>3.8333333333333303E-2</v>
      </c>
      <c r="AR21" s="371">
        <f>AR5</f>
        <v>0.04</v>
      </c>
      <c r="AS21" s="371">
        <f>AS5</f>
        <v>1.78125</v>
      </c>
      <c r="AT21" s="371">
        <f>AT5</f>
        <v>3.125E-2</v>
      </c>
      <c r="AV21" s="363" t="s">
        <v>467</v>
      </c>
      <c r="AW21" s="229" t="str">
        <f>C16</f>
        <v>G. Piscaer</v>
      </c>
      <c r="AX21" s="368">
        <f t="shared" ref="AX21:BD21" si="46">AJ6</f>
        <v>9.4500000000000001E-2</v>
      </c>
      <c r="AY21" s="368">
        <f t="shared" si="46"/>
        <v>9.4500000000000001E-2</v>
      </c>
      <c r="AZ21" s="368">
        <f t="shared" si="46"/>
        <v>0.25</v>
      </c>
      <c r="BA21" s="368">
        <f t="shared" si="46"/>
        <v>4.7199999999999832E-2</v>
      </c>
      <c r="BB21" s="368">
        <f t="shared" si="46"/>
        <v>0</v>
      </c>
      <c r="BC21" s="368">
        <f t="shared" si="46"/>
        <v>0</v>
      </c>
      <c r="BD21" s="368">
        <f t="shared" si="46"/>
        <v>0</v>
      </c>
      <c r="BE21" s="371">
        <f t="shared" ref="BE21" si="47">AQ6</f>
        <v>3.9999999999999966E-2</v>
      </c>
      <c r="BF21" s="371">
        <f t="shared" ref="BF21:BH22" si="48">AR6</f>
        <v>0.04</v>
      </c>
      <c r="BG21" s="370">
        <f t="shared" si="48"/>
        <v>1.40625</v>
      </c>
      <c r="BH21" s="370">
        <f t="shared" si="48"/>
        <v>3.125E-2</v>
      </c>
    </row>
    <row r="22" spans="1:60" s="225" customFormat="1" x14ac:dyDescent="0.25">
      <c r="A22" s="330" t="str">
        <f>PLANTILLA!A22</f>
        <v>#20</v>
      </c>
      <c r="B22" s="330" t="s">
        <v>1</v>
      </c>
      <c r="C22" s="261" t="str">
        <f>PLANTILLA!D22</f>
        <v>P. Tuderek</v>
      </c>
      <c r="D22" s="332">
        <f>PLANTILLA!E22</f>
        <v>18</v>
      </c>
      <c r="E22" s="337">
        <f ca="1">PLANTILLA!F22</f>
        <v>65</v>
      </c>
      <c r="F22" s="333"/>
      <c r="G22" s="597">
        <f>PLANTILLA!H22</f>
        <v>4</v>
      </c>
      <c r="H22" s="275">
        <f>PLANTILLA!I22</f>
        <v>0.6</v>
      </c>
      <c r="I22" s="414">
        <f>PLANTILLA!X22</f>
        <v>0</v>
      </c>
      <c r="J22" s="414">
        <f>PLANTILLA!Y22</f>
        <v>6</v>
      </c>
      <c r="K22" s="414">
        <f>PLANTILLA!Z22</f>
        <v>6.0333333333333332</v>
      </c>
      <c r="L22" s="414">
        <f>PLANTILLA!AA22</f>
        <v>2</v>
      </c>
      <c r="M22" s="414">
        <f>PLANTILLA!AB22</f>
        <v>3</v>
      </c>
      <c r="N22" s="414">
        <f>PLANTILLA!AC22</f>
        <v>6</v>
      </c>
      <c r="O22" s="414">
        <f>PLANTILLA!AD22</f>
        <v>8</v>
      </c>
      <c r="P22" s="350">
        <f t="shared" si="20"/>
        <v>18</v>
      </c>
      <c r="Q22" s="351">
        <f t="shared" ca="1" si="21"/>
        <v>72</v>
      </c>
      <c r="R22" s="263">
        <f t="shared" si="6"/>
        <v>0.6</v>
      </c>
      <c r="S22" s="432">
        <f t="shared" si="34"/>
        <v>0</v>
      </c>
      <c r="T22" s="432">
        <f>J22+T$2/5</f>
        <v>6.2</v>
      </c>
      <c r="U22" s="432">
        <f>K22+U$2/4</f>
        <v>6.2833333333333332</v>
      </c>
      <c r="V22" s="432">
        <f t="shared" si="35"/>
        <v>2</v>
      </c>
      <c r="W22" s="432">
        <f t="shared" si="36"/>
        <v>3</v>
      </c>
      <c r="X22" s="432">
        <f>N22+X$2/4</f>
        <v>6.25</v>
      </c>
      <c r="Y22" s="432">
        <f t="shared" si="38"/>
        <v>9</v>
      </c>
      <c r="Z22" s="360">
        <f t="shared" si="8"/>
        <v>0</v>
      </c>
      <c r="AA22" s="360">
        <f t="shared" si="9"/>
        <v>0.20000000000000018</v>
      </c>
      <c r="AB22" s="360">
        <f t="shared" si="10"/>
        <v>0.25</v>
      </c>
      <c r="AC22" s="360">
        <f t="shared" si="11"/>
        <v>0</v>
      </c>
      <c r="AD22" s="360">
        <f t="shared" si="12"/>
        <v>0</v>
      </c>
      <c r="AE22" s="360">
        <f t="shared" si="13"/>
        <v>0.25</v>
      </c>
      <c r="AF22" s="360">
        <f t="shared" si="14"/>
        <v>1</v>
      </c>
      <c r="AH22" s="434" t="s">
        <v>496</v>
      </c>
      <c r="AI22" s="271" t="str">
        <f>AI8</f>
        <v>C. Rojas</v>
      </c>
      <c r="AJ22" s="366">
        <f>AJ8</f>
        <v>0</v>
      </c>
      <c r="AK22" s="366">
        <f t="shared" ref="AK22:AP22" si="49">AK8</f>
        <v>0</v>
      </c>
      <c r="AL22" s="366">
        <f t="shared" si="49"/>
        <v>0</v>
      </c>
      <c r="AM22" s="366">
        <f t="shared" si="49"/>
        <v>0</v>
      </c>
      <c r="AN22" s="366">
        <f>AN8</f>
        <v>0</v>
      </c>
      <c r="AO22" s="366">
        <f t="shared" si="49"/>
        <v>0</v>
      </c>
      <c r="AP22" s="366">
        <f t="shared" si="49"/>
        <v>0</v>
      </c>
      <c r="AQ22" s="369">
        <f>AQ8</f>
        <v>0</v>
      </c>
      <c r="AR22" s="369">
        <f t="shared" ref="AR22:AT22" si="50">AR8</f>
        <v>0</v>
      </c>
      <c r="AS22" s="369">
        <f t="shared" si="50"/>
        <v>0</v>
      </c>
      <c r="AT22" s="369">
        <f t="shared" si="50"/>
        <v>0</v>
      </c>
      <c r="AV22" s="363" t="s">
        <v>495</v>
      </c>
      <c r="AW22" s="271" t="str">
        <f>C9</f>
        <v>E. Romweber</v>
      </c>
      <c r="AX22" s="366">
        <v>0</v>
      </c>
      <c r="AY22" s="366">
        <f>AA9*0.754</f>
        <v>0</v>
      </c>
      <c r="AZ22" s="366">
        <f>AA9*0.708</f>
        <v>0</v>
      </c>
      <c r="BA22" s="366">
        <f>AB9*0.165</f>
        <v>0</v>
      </c>
      <c r="BB22" s="366">
        <v>0</v>
      </c>
      <c r="BC22" s="366">
        <f>AC9*0.286</f>
        <v>0</v>
      </c>
      <c r="BD22" s="366">
        <v>0</v>
      </c>
      <c r="BE22" s="369">
        <f>AQ7</f>
        <v>0</v>
      </c>
      <c r="BF22" s="369">
        <f t="shared" si="48"/>
        <v>0</v>
      </c>
      <c r="BG22" s="369">
        <f t="shared" si="48"/>
        <v>3.7914166666666662</v>
      </c>
      <c r="BH22" s="369">
        <f t="shared" si="48"/>
        <v>0</v>
      </c>
    </row>
    <row r="23" spans="1:60" s="232" customFormat="1" x14ac:dyDescent="0.25">
      <c r="A23" s="330" t="str">
        <f>PLANTILLA!A23</f>
        <v>#22</v>
      </c>
      <c r="B23" s="330" t="s">
        <v>1</v>
      </c>
      <c r="C23" s="261" t="str">
        <f>PLANTILLA!D23</f>
        <v>R. Scheidecker</v>
      </c>
      <c r="D23" s="332">
        <f>PLANTILLA!E23</f>
        <v>18</v>
      </c>
      <c r="E23" s="337">
        <f ca="1">PLANTILLA!F23</f>
        <v>97</v>
      </c>
      <c r="F23" s="333" t="str">
        <f>PLANTILLA!G23</f>
        <v>RAP</v>
      </c>
      <c r="G23" s="597">
        <f>PLANTILLA!H23</f>
        <v>4</v>
      </c>
      <c r="H23" s="275">
        <f>PLANTILLA!I23</f>
        <v>0.5</v>
      </c>
      <c r="I23" s="414">
        <f>PLANTILLA!X23</f>
        <v>0</v>
      </c>
      <c r="J23" s="414">
        <f>PLANTILLA!Y23</f>
        <v>4</v>
      </c>
      <c r="K23" s="414">
        <f>PLANTILLA!Z23</f>
        <v>5.1428571428571432</v>
      </c>
      <c r="L23" s="414">
        <f>PLANTILLA!AA23</f>
        <v>3</v>
      </c>
      <c r="M23" s="414">
        <f>PLANTILLA!AB23</f>
        <v>4</v>
      </c>
      <c r="N23" s="414">
        <f>PLANTILLA!AC23</f>
        <v>9</v>
      </c>
      <c r="O23" s="414">
        <f>PLANTILLA!AD23</f>
        <v>8</v>
      </c>
      <c r="P23" s="350">
        <f t="shared" si="20"/>
        <v>18</v>
      </c>
      <c r="Q23" s="351">
        <f t="shared" ca="1" si="21"/>
        <v>104</v>
      </c>
      <c r="R23" s="263">
        <f t="shared" si="6"/>
        <v>0.5</v>
      </c>
      <c r="S23" s="432">
        <f t="shared" si="34"/>
        <v>0</v>
      </c>
      <c r="T23" s="432">
        <f>J23+T$2/4</f>
        <v>4.25</v>
      </c>
      <c r="U23" s="432">
        <f>K23+U$2/4</f>
        <v>5.3928571428571432</v>
      </c>
      <c r="V23" s="432">
        <f t="shared" si="35"/>
        <v>3</v>
      </c>
      <c r="W23" s="432">
        <f t="shared" si="36"/>
        <v>4</v>
      </c>
      <c r="X23" s="432">
        <f>N23+X$2/6</f>
        <v>9.1666666666666661</v>
      </c>
      <c r="Y23" s="432">
        <f t="shared" si="38"/>
        <v>9</v>
      </c>
      <c r="Z23" s="360">
        <f t="shared" si="8"/>
        <v>0</v>
      </c>
      <c r="AA23" s="360">
        <f t="shared" si="9"/>
        <v>0.25</v>
      </c>
      <c r="AB23" s="360">
        <f t="shared" si="10"/>
        <v>0.25</v>
      </c>
      <c r="AC23" s="360">
        <f t="shared" si="11"/>
        <v>0</v>
      </c>
      <c r="AD23" s="360">
        <f t="shared" si="12"/>
        <v>0</v>
      </c>
      <c r="AE23" s="360">
        <f t="shared" si="13"/>
        <v>0.16666666666666607</v>
      </c>
      <c r="AF23" s="360">
        <f t="shared" si="14"/>
        <v>1</v>
      </c>
      <c r="AH23" s="363" t="s">
        <v>411</v>
      </c>
      <c r="AI23" s="229" t="str">
        <f>C14</f>
        <v>I. Vanags</v>
      </c>
      <c r="AJ23" s="368">
        <f t="shared" ref="AJ23:AJ28" si="51">AJ9</f>
        <v>7.2749999999999995E-2</v>
      </c>
      <c r="AK23" s="368">
        <f t="shared" ref="AK23:AT23" si="52">AK9</f>
        <v>0</v>
      </c>
      <c r="AL23" s="368">
        <f t="shared" si="52"/>
        <v>8.6999999999999994E-2</v>
      </c>
      <c r="AM23" s="368">
        <f t="shared" si="52"/>
        <v>0.17620000000000016</v>
      </c>
      <c r="AN23" s="368">
        <f t="shared" si="52"/>
        <v>0</v>
      </c>
      <c r="AO23" s="368">
        <f t="shared" si="52"/>
        <v>0</v>
      </c>
      <c r="AP23" s="368">
        <f t="shared" si="52"/>
        <v>0</v>
      </c>
      <c r="AQ23" s="371">
        <f t="shared" si="52"/>
        <v>4.0000000000000008E-2</v>
      </c>
      <c r="AR23" s="371">
        <f t="shared" si="52"/>
        <v>0.04</v>
      </c>
      <c r="AS23" s="371">
        <f t="shared" si="52"/>
        <v>0</v>
      </c>
      <c r="AT23" s="371">
        <f t="shared" si="52"/>
        <v>0</v>
      </c>
      <c r="AV23" s="363" t="s">
        <v>451</v>
      </c>
      <c r="AW23" s="229" t="str">
        <f>C11</f>
        <v>C. Rojas</v>
      </c>
      <c r="AX23" s="368">
        <v>0</v>
      </c>
      <c r="AY23" s="368">
        <f>AA11*0.919</f>
        <v>0</v>
      </c>
      <c r="AZ23" s="368">
        <f>AA11*0.414</f>
        <v>0</v>
      </c>
      <c r="BA23" s="368">
        <f>AB11*0.167</f>
        <v>0</v>
      </c>
      <c r="BB23" s="368">
        <v>0</v>
      </c>
      <c r="BC23" s="368">
        <f>AC11*0.588</f>
        <v>0</v>
      </c>
      <c r="BD23" s="368">
        <v>0</v>
      </c>
      <c r="BE23" s="371">
        <f>AQ8</f>
        <v>0</v>
      </c>
      <c r="BF23" s="371">
        <f>AR8</f>
        <v>0</v>
      </c>
      <c r="BG23" s="371">
        <f>((T11+1)+(W11+1)*2)/8</f>
        <v>3.8562499999999997</v>
      </c>
      <c r="BH23" s="371">
        <f>((AA11)+(AD11)*2)/8</f>
        <v>0</v>
      </c>
    </row>
    <row r="24" spans="1:60" s="221" customFormat="1" x14ac:dyDescent="0.25">
      <c r="A24" s="330" t="str">
        <f>PLANTILLA!A24</f>
        <v>#11</v>
      </c>
      <c r="B24" s="330" t="s">
        <v>1</v>
      </c>
      <c r="C24" s="261" t="str">
        <f>PLANTILLA!D24</f>
        <v>K. Helms</v>
      </c>
      <c r="D24" s="332">
        <f>PLANTILLA!E24</f>
        <v>35</v>
      </c>
      <c r="E24" s="337">
        <f ca="1">PLANTILLA!F24</f>
        <v>28</v>
      </c>
      <c r="F24" s="333"/>
      <c r="G24" s="597">
        <f>PLANTILLA!H24</f>
        <v>2</v>
      </c>
      <c r="H24" s="275">
        <f>PLANTILLA!I24</f>
        <v>13.5</v>
      </c>
      <c r="I24" s="414">
        <f>PLANTILLA!X24</f>
        <v>0</v>
      </c>
      <c r="J24" s="414">
        <f>PLANTILLA!Y24</f>
        <v>7.2503030303030309</v>
      </c>
      <c r="K24" s="414">
        <f>PLANTILLA!Z24</f>
        <v>10.600000000000005</v>
      </c>
      <c r="L24" s="414">
        <f>PLANTILLA!AA24</f>
        <v>12.95</v>
      </c>
      <c r="M24" s="414">
        <f>PLANTILLA!AB24</f>
        <v>9.9499999999999993</v>
      </c>
      <c r="N24" s="414">
        <f>PLANTILLA!AC24</f>
        <v>3.95</v>
      </c>
      <c r="O24" s="414">
        <f>PLANTILLA!AD24</f>
        <v>18</v>
      </c>
      <c r="P24" s="350">
        <f t="shared" si="20"/>
        <v>35</v>
      </c>
      <c r="Q24" s="351">
        <f t="shared" ca="1" si="21"/>
        <v>35</v>
      </c>
      <c r="R24" s="263">
        <f t="shared" si="6"/>
        <v>13.5</v>
      </c>
      <c r="S24" s="432">
        <f t="shared" si="34"/>
        <v>0</v>
      </c>
      <c r="T24" s="432">
        <f t="shared" ref="T24:T28" si="53">J24</f>
        <v>7.2503030303030309</v>
      </c>
      <c r="U24" s="432">
        <f t="shared" ref="U24:U28" si="54">K24</f>
        <v>10.600000000000005</v>
      </c>
      <c r="V24" s="432">
        <f t="shared" si="35"/>
        <v>12.95</v>
      </c>
      <c r="W24" s="432">
        <f t="shared" si="36"/>
        <v>9.9499999999999993</v>
      </c>
      <c r="X24" s="432">
        <f t="shared" ref="X24:X28" si="55">N24</f>
        <v>3.95</v>
      </c>
      <c r="Y24" s="432">
        <f t="shared" ref="Y24:Y28" si="56">O24</f>
        <v>18</v>
      </c>
      <c r="Z24" s="360">
        <f t="shared" si="8"/>
        <v>0</v>
      </c>
      <c r="AA24" s="360">
        <f t="shared" si="9"/>
        <v>0</v>
      </c>
      <c r="AB24" s="360">
        <f t="shared" si="10"/>
        <v>0</v>
      </c>
      <c r="AC24" s="360">
        <f t="shared" si="11"/>
        <v>0</v>
      </c>
      <c r="AD24" s="360">
        <f t="shared" si="12"/>
        <v>0</v>
      </c>
      <c r="AE24" s="360">
        <f t="shared" si="13"/>
        <v>0</v>
      </c>
      <c r="AF24" s="360">
        <f t="shared" si="14"/>
        <v>0</v>
      </c>
      <c r="AH24" s="363" t="s">
        <v>498</v>
      </c>
      <c r="AI24" s="229" t="str">
        <f>AI10</f>
        <v>M. Bondarewski</v>
      </c>
      <c r="AJ24" s="368">
        <f t="shared" si="51"/>
        <v>1.900000000000001E-2</v>
      </c>
      <c r="AK24" s="368">
        <f t="shared" ref="AK24:AP24" si="57">AK10</f>
        <v>1.900000000000001E-2</v>
      </c>
      <c r="AL24" s="368">
        <f t="shared" si="57"/>
        <v>5.4000000000000027E-2</v>
      </c>
      <c r="AM24" s="368">
        <f t="shared" si="57"/>
        <v>0.18879999999999933</v>
      </c>
      <c r="AN24" s="368">
        <f t="shared" si="57"/>
        <v>0</v>
      </c>
      <c r="AO24" s="368">
        <f t="shared" si="57"/>
        <v>0</v>
      </c>
      <c r="AP24" s="368">
        <f t="shared" si="57"/>
        <v>6.1999999999999778E-2</v>
      </c>
      <c r="AQ24" s="371">
        <f>AQ10</f>
        <v>3.9999999999999966E-2</v>
      </c>
      <c r="AR24" s="371">
        <f t="shared" ref="AR24:AT24" si="58">AR10</f>
        <v>4.3333333333333335E-2</v>
      </c>
      <c r="AS24" s="371">
        <f t="shared" si="58"/>
        <v>0</v>
      </c>
      <c r="AT24" s="371">
        <f t="shared" si="58"/>
        <v>0</v>
      </c>
      <c r="AV24" s="435" t="s">
        <v>497</v>
      </c>
      <c r="AW24" s="229" t="str">
        <f>C12</f>
        <v>E. Gross</v>
      </c>
      <c r="AX24" s="366">
        <f>AK12</f>
        <v>0</v>
      </c>
      <c r="AY24" s="366">
        <f>AJ12</f>
        <v>0</v>
      </c>
      <c r="AZ24" s="366">
        <f>AL12</f>
        <v>0</v>
      </c>
      <c r="BA24" s="366">
        <f>AM12</f>
        <v>0</v>
      </c>
      <c r="BB24" s="366">
        <f>AO12</f>
        <v>0</v>
      </c>
      <c r="BC24" s="366">
        <v>0</v>
      </c>
      <c r="BD24" s="366">
        <f>AP12</f>
        <v>0</v>
      </c>
      <c r="BE24" s="369">
        <f>AQ12</f>
        <v>0</v>
      </c>
      <c r="BF24" s="369">
        <f t="shared" ref="BF24:BH24" si="59">AR12</f>
        <v>0</v>
      </c>
      <c r="BG24" s="369">
        <f t="shared" si="59"/>
        <v>0</v>
      </c>
      <c r="BH24" s="369">
        <f t="shared" si="59"/>
        <v>0</v>
      </c>
    </row>
    <row r="25" spans="1:60" s="219" customFormat="1" x14ac:dyDescent="0.25">
      <c r="A25" s="330" t="str">
        <f>PLANTILLA!A25</f>
        <v>#10</v>
      </c>
      <c r="B25" s="330" t="s">
        <v>1</v>
      </c>
      <c r="C25" s="261" t="str">
        <f>PLANTILLA!D25</f>
        <v>S. Zobbe</v>
      </c>
      <c r="D25" s="332">
        <f>PLANTILLA!E25</f>
        <v>32</v>
      </c>
      <c r="E25" s="337">
        <f ca="1">PLANTILLA!F25</f>
        <v>43</v>
      </c>
      <c r="F25" s="333" t="str">
        <f>PLANTILLA!G25</f>
        <v>CAB</v>
      </c>
      <c r="G25" s="597">
        <f>PLANTILLA!H25</f>
        <v>2</v>
      </c>
      <c r="H25" s="275">
        <f>PLANTILLA!I25</f>
        <v>13</v>
      </c>
      <c r="I25" s="414">
        <f>PLANTILLA!X25</f>
        <v>0</v>
      </c>
      <c r="J25" s="414">
        <f>PLANTILLA!Y25</f>
        <v>8.3599999999999977</v>
      </c>
      <c r="K25" s="414">
        <f>PLANTILLA!Z25</f>
        <v>12.253412698412699</v>
      </c>
      <c r="L25" s="414">
        <f>PLANTILLA!AA25</f>
        <v>12.95</v>
      </c>
      <c r="M25" s="414">
        <f>PLANTILLA!AB25</f>
        <v>10.24</v>
      </c>
      <c r="N25" s="414">
        <f>PLANTILLA!AC25</f>
        <v>6.95</v>
      </c>
      <c r="O25" s="414">
        <f>PLANTILLA!AD25</f>
        <v>16</v>
      </c>
      <c r="P25" s="350">
        <f t="shared" si="20"/>
        <v>32</v>
      </c>
      <c r="Q25" s="351">
        <f t="shared" ca="1" si="21"/>
        <v>50</v>
      </c>
      <c r="R25" s="263">
        <f t="shared" si="6"/>
        <v>13</v>
      </c>
      <c r="S25" s="432">
        <f t="shared" si="34"/>
        <v>0</v>
      </c>
      <c r="T25" s="432">
        <f t="shared" si="53"/>
        <v>8.3599999999999977</v>
      </c>
      <c r="U25" s="432">
        <f t="shared" si="54"/>
        <v>12.253412698412699</v>
      </c>
      <c r="V25" s="432">
        <f t="shared" si="35"/>
        <v>12.95</v>
      </c>
      <c r="W25" s="432">
        <f t="shared" si="36"/>
        <v>10.24</v>
      </c>
      <c r="X25" s="432">
        <f t="shared" si="55"/>
        <v>6.95</v>
      </c>
      <c r="Y25" s="432">
        <f t="shared" si="56"/>
        <v>16</v>
      </c>
      <c r="Z25" s="360">
        <f t="shared" si="8"/>
        <v>0</v>
      </c>
      <c r="AA25" s="360">
        <f t="shared" si="9"/>
        <v>0</v>
      </c>
      <c r="AB25" s="360">
        <f t="shared" si="10"/>
        <v>0</v>
      </c>
      <c r="AC25" s="360">
        <f t="shared" si="11"/>
        <v>0</v>
      </c>
      <c r="AD25" s="360">
        <f t="shared" si="12"/>
        <v>0</v>
      </c>
      <c r="AE25" s="360">
        <f t="shared" si="13"/>
        <v>0</v>
      </c>
      <c r="AF25" s="360">
        <f t="shared" si="14"/>
        <v>0</v>
      </c>
      <c r="AH25" s="363" t="s">
        <v>411</v>
      </c>
      <c r="AI25" s="229" t="str">
        <f>C15</f>
        <v>I. Stone</v>
      </c>
      <c r="AJ25" s="368">
        <f t="shared" si="51"/>
        <v>0</v>
      </c>
      <c r="AK25" s="368">
        <f t="shared" ref="AK25:AT25" si="60">AK11</f>
        <v>9.7000000000000031E-2</v>
      </c>
      <c r="AL25" s="368">
        <f t="shared" si="60"/>
        <v>0.11600000000000005</v>
      </c>
      <c r="AM25" s="368">
        <f t="shared" si="60"/>
        <v>0.22025</v>
      </c>
      <c r="AN25" s="368">
        <f t="shared" si="60"/>
        <v>0</v>
      </c>
      <c r="AO25" s="368">
        <f t="shared" si="60"/>
        <v>0</v>
      </c>
      <c r="AP25" s="368">
        <f t="shared" si="60"/>
        <v>0</v>
      </c>
      <c r="AQ25" s="371">
        <f t="shared" si="60"/>
        <v>3.8333333333333303E-2</v>
      </c>
      <c r="AR25" s="371">
        <f t="shared" si="60"/>
        <v>4.3333333333333335E-2</v>
      </c>
      <c r="AS25" s="371">
        <f t="shared" si="60"/>
        <v>0</v>
      </c>
      <c r="AT25" s="371">
        <f t="shared" si="60"/>
        <v>0</v>
      </c>
      <c r="AV25" s="363" t="s">
        <v>411</v>
      </c>
      <c r="AW25" s="229" t="str">
        <f>C14</f>
        <v>I. Vanags</v>
      </c>
      <c r="AX25" s="368">
        <f t="shared" ref="AX25:BD25" si="61">AJ9</f>
        <v>7.2749999999999995E-2</v>
      </c>
      <c r="AY25" s="368">
        <f t="shared" si="61"/>
        <v>0</v>
      </c>
      <c r="AZ25" s="368">
        <f t="shared" si="61"/>
        <v>8.6999999999999994E-2</v>
      </c>
      <c r="BA25" s="368">
        <f t="shared" si="61"/>
        <v>0.17620000000000016</v>
      </c>
      <c r="BB25" s="368">
        <f t="shared" si="61"/>
        <v>0</v>
      </c>
      <c r="BC25" s="368">
        <f t="shared" si="61"/>
        <v>0</v>
      </c>
      <c r="BD25" s="368">
        <f t="shared" si="61"/>
        <v>0</v>
      </c>
      <c r="BE25" s="371">
        <f t="shared" ref="BE25" si="62">AQ9</f>
        <v>4.0000000000000008E-2</v>
      </c>
      <c r="BF25" s="371">
        <f>AR9</f>
        <v>0.04</v>
      </c>
      <c r="BG25" s="371">
        <f>AS9</f>
        <v>0</v>
      </c>
      <c r="BH25" s="371">
        <f>AT9</f>
        <v>0</v>
      </c>
    </row>
    <row r="26" spans="1:60" s="232" customFormat="1" ht="14.25" customHeight="1" x14ac:dyDescent="0.25">
      <c r="A26" s="330" t="str">
        <f>PLANTILLA!A26</f>
        <v>#5</v>
      </c>
      <c r="B26" s="330" t="s">
        <v>1</v>
      </c>
      <c r="C26" s="261" t="str">
        <f>PLANTILLA!D26</f>
        <v>L. Bauman</v>
      </c>
      <c r="D26" s="332">
        <f>PLANTILLA!E26</f>
        <v>35</v>
      </c>
      <c r="E26" s="337">
        <f ca="1">PLANTILLA!F26</f>
        <v>43</v>
      </c>
      <c r="F26" s="333"/>
      <c r="G26" s="597">
        <f>PLANTILLA!H26</f>
        <v>0</v>
      </c>
      <c r="H26" s="275">
        <f>PLANTILLA!I26</f>
        <v>12</v>
      </c>
      <c r="I26" s="414">
        <f>PLANTILLA!X26</f>
        <v>0</v>
      </c>
      <c r="J26" s="414">
        <f>PLANTILLA!Y26</f>
        <v>5.95</v>
      </c>
      <c r="K26" s="414">
        <f>PLANTILLA!Z26</f>
        <v>14.1</v>
      </c>
      <c r="L26" s="414">
        <f>PLANTILLA!AA26</f>
        <v>2.95</v>
      </c>
      <c r="M26" s="414">
        <f>PLANTILLA!AB26</f>
        <v>8.9499999999999993</v>
      </c>
      <c r="N26" s="414">
        <f>PLANTILLA!AC26</f>
        <v>5.95</v>
      </c>
      <c r="O26" s="414">
        <f>PLANTILLA!AD26</f>
        <v>16.95</v>
      </c>
      <c r="P26" s="350">
        <f t="shared" si="20"/>
        <v>35</v>
      </c>
      <c r="Q26" s="351">
        <f t="shared" ca="1" si="21"/>
        <v>50</v>
      </c>
      <c r="R26" s="263">
        <f t="shared" si="6"/>
        <v>12</v>
      </c>
      <c r="S26" s="432">
        <f t="shared" si="34"/>
        <v>0</v>
      </c>
      <c r="T26" s="432">
        <f t="shared" si="53"/>
        <v>5.95</v>
      </c>
      <c r="U26" s="432">
        <f t="shared" si="54"/>
        <v>14.1</v>
      </c>
      <c r="V26" s="432">
        <f t="shared" si="35"/>
        <v>2.95</v>
      </c>
      <c r="W26" s="432">
        <f t="shared" si="36"/>
        <v>8.9499999999999993</v>
      </c>
      <c r="X26" s="432">
        <f t="shared" si="55"/>
        <v>5.95</v>
      </c>
      <c r="Y26" s="432">
        <f t="shared" si="56"/>
        <v>16.95</v>
      </c>
      <c r="Z26" s="360">
        <f t="shared" si="8"/>
        <v>0</v>
      </c>
      <c r="AA26" s="360">
        <f t="shared" si="9"/>
        <v>0</v>
      </c>
      <c r="AB26" s="360">
        <f t="shared" si="10"/>
        <v>0</v>
      </c>
      <c r="AC26" s="360">
        <f t="shared" si="11"/>
        <v>0</v>
      </c>
      <c r="AD26" s="360">
        <f t="shared" si="12"/>
        <v>0</v>
      </c>
      <c r="AE26" s="360">
        <f t="shared" si="13"/>
        <v>0</v>
      </c>
      <c r="AF26" s="360">
        <f t="shared" si="14"/>
        <v>0</v>
      </c>
      <c r="AH26" s="435" t="s">
        <v>497</v>
      </c>
      <c r="AI26" s="229" t="str">
        <f>AI12</f>
        <v>E. Gross</v>
      </c>
      <c r="AJ26" s="368">
        <f t="shared" si="51"/>
        <v>0</v>
      </c>
      <c r="AK26" s="368">
        <f t="shared" ref="AK26:AP26" si="63">AK12</f>
        <v>0</v>
      </c>
      <c r="AL26" s="368">
        <f t="shared" si="63"/>
        <v>0</v>
      </c>
      <c r="AM26" s="368">
        <f t="shared" si="63"/>
        <v>0</v>
      </c>
      <c r="AN26" s="368">
        <f t="shared" si="63"/>
        <v>0</v>
      </c>
      <c r="AO26" s="368">
        <f t="shared" si="63"/>
        <v>0</v>
      </c>
      <c r="AP26" s="368">
        <f t="shared" si="63"/>
        <v>0</v>
      </c>
      <c r="AQ26" s="371">
        <f>AQ12</f>
        <v>0</v>
      </c>
      <c r="AR26" s="371">
        <f t="shared" ref="AR26:AT26" si="64">AR12</f>
        <v>0</v>
      </c>
      <c r="AS26" s="371">
        <f t="shared" si="64"/>
        <v>0</v>
      </c>
      <c r="AT26" s="371">
        <f t="shared" si="64"/>
        <v>0</v>
      </c>
      <c r="AV26" s="363" t="s">
        <v>411</v>
      </c>
      <c r="AW26" s="229" t="str">
        <f>C15</f>
        <v>I. Stone</v>
      </c>
      <c r="AX26" s="368">
        <f t="shared" ref="AX26:BD26" si="65">AJ11</f>
        <v>0</v>
      </c>
      <c r="AY26" s="368">
        <f t="shared" si="65"/>
        <v>9.7000000000000031E-2</v>
      </c>
      <c r="AZ26" s="368">
        <f t="shared" si="65"/>
        <v>0.11600000000000005</v>
      </c>
      <c r="BA26" s="368">
        <f t="shared" si="65"/>
        <v>0.22025</v>
      </c>
      <c r="BB26" s="368">
        <f t="shared" si="65"/>
        <v>0</v>
      </c>
      <c r="BC26" s="368">
        <f t="shared" si="65"/>
        <v>0</v>
      </c>
      <c r="BD26" s="368">
        <f t="shared" si="65"/>
        <v>0</v>
      </c>
      <c r="BE26" s="371">
        <f t="shared" ref="BE26" si="66">AQ11</f>
        <v>3.8333333333333303E-2</v>
      </c>
      <c r="BF26" s="371">
        <f>AR11</f>
        <v>4.3333333333333335E-2</v>
      </c>
      <c r="BG26" s="371">
        <f>AS11</f>
        <v>0</v>
      </c>
      <c r="BH26" s="371">
        <f>AT11</f>
        <v>0</v>
      </c>
    </row>
    <row r="27" spans="1:60" x14ac:dyDescent="0.25">
      <c r="A27" s="330" t="str">
        <f>PLANTILLA!A27</f>
        <v>#9</v>
      </c>
      <c r="B27" s="330" t="s">
        <v>1</v>
      </c>
      <c r="C27" s="261" t="str">
        <f>PLANTILLA!D27</f>
        <v>J. Limon</v>
      </c>
      <c r="D27" s="332">
        <f>PLANTILLA!E27</f>
        <v>34</v>
      </c>
      <c r="E27" s="337">
        <f ca="1">PLANTILLA!F27</f>
        <v>80</v>
      </c>
      <c r="F27" s="333" t="str">
        <f>PLANTILLA!G27</f>
        <v>RAP</v>
      </c>
      <c r="G27" s="597">
        <f>PLANTILLA!H27</f>
        <v>3</v>
      </c>
      <c r="H27" s="275">
        <f>PLANTILLA!I27</f>
        <v>14.3</v>
      </c>
      <c r="I27" s="414">
        <f>PLANTILLA!X27</f>
        <v>0</v>
      </c>
      <c r="J27" s="414">
        <f>PLANTILLA!Y27</f>
        <v>6.8376190476190493</v>
      </c>
      <c r="K27" s="414">
        <f>PLANTILLA!Z27</f>
        <v>8.9499999999999993</v>
      </c>
      <c r="L27" s="414">
        <f>PLANTILLA!AA27</f>
        <v>8.7399999999999967</v>
      </c>
      <c r="M27" s="414">
        <f>PLANTILLA!AB27</f>
        <v>9.9499999999999993</v>
      </c>
      <c r="N27" s="414">
        <f>PLANTILLA!AC27</f>
        <v>7.95</v>
      </c>
      <c r="O27" s="414">
        <f>PLANTILLA!AD27</f>
        <v>18.999999999999993</v>
      </c>
      <c r="P27" s="350">
        <f t="shared" si="20"/>
        <v>34</v>
      </c>
      <c r="Q27" s="351">
        <f t="shared" ca="1" si="21"/>
        <v>87</v>
      </c>
      <c r="R27" s="263">
        <f t="shared" si="6"/>
        <v>14.3</v>
      </c>
      <c r="S27" s="432">
        <f t="shared" si="34"/>
        <v>0</v>
      </c>
      <c r="T27" s="432">
        <f t="shared" si="53"/>
        <v>6.8376190476190493</v>
      </c>
      <c r="U27" s="432">
        <f t="shared" si="54"/>
        <v>8.9499999999999993</v>
      </c>
      <c r="V27" s="432">
        <f t="shared" si="35"/>
        <v>8.7399999999999967</v>
      </c>
      <c r="W27" s="432">
        <f t="shared" si="36"/>
        <v>9.9499999999999993</v>
      </c>
      <c r="X27" s="432">
        <f t="shared" si="55"/>
        <v>7.95</v>
      </c>
      <c r="Y27" s="432">
        <f t="shared" si="56"/>
        <v>18.999999999999993</v>
      </c>
      <c r="Z27" s="360">
        <f t="shared" si="8"/>
        <v>0</v>
      </c>
      <c r="AA27" s="360">
        <f t="shared" si="9"/>
        <v>0</v>
      </c>
      <c r="AB27" s="360">
        <f t="shared" si="10"/>
        <v>0</v>
      </c>
      <c r="AC27" s="360">
        <f t="shared" si="11"/>
        <v>0</v>
      </c>
      <c r="AD27" s="360">
        <f t="shared" si="12"/>
        <v>0</v>
      </c>
      <c r="AE27" s="360">
        <f t="shared" si="13"/>
        <v>0</v>
      </c>
      <c r="AF27" s="360">
        <f t="shared" si="14"/>
        <v>0</v>
      </c>
      <c r="AH27" s="434" t="s">
        <v>66</v>
      </c>
      <c r="AI27" s="271" t="str">
        <f>C21</f>
        <v>N. Janbu</v>
      </c>
      <c r="AJ27" s="366">
        <f t="shared" si="51"/>
        <v>0</v>
      </c>
      <c r="AK27" s="366">
        <f t="shared" ref="AK27:AT27" si="67">AK13</f>
        <v>0</v>
      </c>
      <c r="AL27" s="366">
        <f t="shared" si="67"/>
        <v>0</v>
      </c>
      <c r="AM27" s="366">
        <f t="shared" si="67"/>
        <v>5.0000000000000044E-2</v>
      </c>
      <c r="AN27" s="366">
        <f t="shared" si="67"/>
        <v>5.1999999999999817E-2</v>
      </c>
      <c r="AO27" s="366">
        <f t="shared" si="67"/>
        <v>5.1999999999999817E-2</v>
      </c>
      <c r="AP27" s="366">
        <f t="shared" si="67"/>
        <v>0.19999999999999929</v>
      </c>
      <c r="AQ27" s="459">
        <f t="shared" si="67"/>
        <v>0.12999999999999995</v>
      </c>
      <c r="AR27" s="459">
        <f t="shared" si="67"/>
        <v>4.3333333333333335E-2</v>
      </c>
      <c r="AS27" s="369">
        <f t="shared" si="67"/>
        <v>0</v>
      </c>
      <c r="AT27" s="369">
        <f t="shared" si="67"/>
        <v>0</v>
      </c>
      <c r="AV27" s="434" t="s">
        <v>497</v>
      </c>
      <c r="AW27" s="271" t="str">
        <f>C13</f>
        <v>W. Gelifini</v>
      </c>
      <c r="AX27" s="368">
        <v>0</v>
      </c>
      <c r="AY27" s="368">
        <f>AA13*0.18</f>
        <v>0</v>
      </c>
      <c r="AZ27" s="368">
        <f>AA13*0.068</f>
        <v>0</v>
      </c>
      <c r="BA27" s="368">
        <f>AB13*0.305</f>
        <v>0</v>
      </c>
      <c r="BB27" s="368">
        <v>0</v>
      </c>
      <c r="BC27" s="368">
        <f>(AC13*1)+(AD13*0.286)</f>
        <v>0</v>
      </c>
      <c r="BD27" s="368">
        <f>AD13*0.135</f>
        <v>0</v>
      </c>
      <c r="BE27" s="371">
        <f>AQ14</f>
        <v>0</v>
      </c>
      <c r="BF27" s="371">
        <f t="shared" ref="BF27:BH27" si="68">AR14</f>
        <v>0</v>
      </c>
      <c r="BG27" s="371">
        <f t="shared" si="68"/>
        <v>0</v>
      </c>
      <c r="BH27" s="371">
        <f t="shared" si="68"/>
        <v>0</v>
      </c>
    </row>
    <row r="28" spans="1:60" x14ac:dyDescent="0.25">
      <c r="A28" s="330" t="str">
        <f>PLANTILLA!A28</f>
        <v>#15</v>
      </c>
      <c r="B28" s="330" t="s">
        <v>1</v>
      </c>
      <c r="C28" s="261" t="str">
        <f>PLANTILLA!D28</f>
        <v>P .Trivadi</v>
      </c>
      <c r="D28" s="332">
        <f>PLANTILLA!E28</f>
        <v>31</v>
      </c>
      <c r="E28" s="337">
        <f ca="1">PLANTILLA!F28</f>
        <v>111</v>
      </c>
      <c r="F28" s="333"/>
      <c r="G28" s="597">
        <f>PLANTILLA!H28</f>
        <v>5</v>
      </c>
      <c r="H28" s="275">
        <f>PLANTILLA!I28</f>
        <v>6.2</v>
      </c>
      <c r="I28" s="414">
        <f>PLANTILLA!X28</f>
        <v>0</v>
      </c>
      <c r="J28" s="414">
        <f>PLANTILLA!Y28</f>
        <v>4.0199999999999996</v>
      </c>
      <c r="K28" s="414">
        <f>PLANTILLA!Z28</f>
        <v>5.95</v>
      </c>
      <c r="L28" s="414">
        <f>PLANTILLA!AA28</f>
        <v>5.5099999999999989</v>
      </c>
      <c r="M28" s="414">
        <f>PLANTILLA!AB28</f>
        <v>10.95</v>
      </c>
      <c r="N28" s="414">
        <f>PLANTILLA!AC28</f>
        <v>7.95</v>
      </c>
      <c r="O28" s="414">
        <f>PLANTILLA!AD28</f>
        <v>14</v>
      </c>
      <c r="P28" s="350">
        <f t="shared" si="20"/>
        <v>31</v>
      </c>
      <c r="Q28" s="351">
        <f t="shared" ca="1" si="21"/>
        <v>118</v>
      </c>
      <c r="R28" s="263">
        <f t="shared" si="6"/>
        <v>6.2</v>
      </c>
      <c r="S28" s="432">
        <f t="shared" si="34"/>
        <v>0</v>
      </c>
      <c r="T28" s="432">
        <f t="shared" si="53"/>
        <v>4.0199999999999996</v>
      </c>
      <c r="U28" s="432">
        <f t="shared" si="54"/>
        <v>5.95</v>
      </c>
      <c r="V28" s="432">
        <f t="shared" si="35"/>
        <v>5.5099999999999989</v>
      </c>
      <c r="W28" s="432">
        <f t="shared" si="36"/>
        <v>10.95</v>
      </c>
      <c r="X28" s="432">
        <f t="shared" si="55"/>
        <v>7.95</v>
      </c>
      <c r="Y28" s="432">
        <f t="shared" si="56"/>
        <v>14</v>
      </c>
      <c r="Z28" s="360">
        <f t="shared" si="8"/>
        <v>0</v>
      </c>
      <c r="AA28" s="360">
        <f t="shared" si="9"/>
        <v>0</v>
      </c>
      <c r="AB28" s="360">
        <f t="shared" si="10"/>
        <v>0</v>
      </c>
      <c r="AC28" s="360">
        <f t="shared" si="11"/>
        <v>0</v>
      </c>
      <c r="AD28" s="360">
        <f t="shared" si="12"/>
        <v>0</v>
      </c>
      <c r="AE28" s="360">
        <f t="shared" si="13"/>
        <v>0</v>
      </c>
      <c r="AF28" s="360">
        <f t="shared" si="14"/>
        <v>0</v>
      </c>
      <c r="AH28" s="435" t="s">
        <v>66</v>
      </c>
      <c r="AI28" s="229" t="str">
        <f>AI14</f>
        <v>W. Gelifini</v>
      </c>
      <c r="AJ28" s="368">
        <f t="shared" si="51"/>
        <v>0</v>
      </c>
      <c r="AK28" s="368">
        <f t="shared" ref="AK28:AP28" si="69">AK14</f>
        <v>0</v>
      </c>
      <c r="AL28" s="368">
        <f t="shared" si="69"/>
        <v>0</v>
      </c>
      <c r="AM28" s="368">
        <f t="shared" si="69"/>
        <v>0</v>
      </c>
      <c r="AN28" s="368">
        <f t="shared" si="69"/>
        <v>0</v>
      </c>
      <c r="AO28" s="368">
        <f t="shared" si="69"/>
        <v>0</v>
      </c>
      <c r="AP28" s="368">
        <f t="shared" si="69"/>
        <v>0</v>
      </c>
      <c r="AQ28" s="369">
        <f>AQ14</f>
        <v>0</v>
      </c>
      <c r="AR28" s="369">
        <f t="shared" ref="AR28:AT28" si="70">AR14</f>
        <v>0</v>
      </c>
      <c r="AS28" s="369">
        <f t="shared" si="70"/>
        <v>0</v>
      </c>
      <c r="AT28" s="369">
        <f t="shared" si="70"/>
        <v>0</v>
      </c>
      <c r="AV28" s="435" t="s">
        <v>66</v>
      </c>
      <c r="AW28" s="229" t="str">
        <f>C21</f>
        <v>N. Janbu</v>
      </c>
      <c r="AX28" s="366">
        <f t="shared" ref="AX28:BD28" si="71">AJ13</f>
        <v>0</v>
      </c>
      <c r="AY28" s="366">
        <f t="shared" si="71"/>
        <v>0</v>
      </c>
      <c r="AZ28" s="366">
        <f t="shared" si="71"/>
        <v>0</v>
      </c>
      <c r="BA28" s="366">
        <f t="shared" si="71"/>
        <v>5.0000000000000044E-2</v>
      </c>
      <c r="BB28" s="366">
        <f t="shared" si="71"/>
        <v>5.1999999999999817E-2</v>
      </c>
      <c r="BC28" s="366">
        <f t="shared" si="71"/>
        <v>5.1999999999999817E-2</v>
      </c>
      <c r="BD28" s="366">
        <f t="shared" si="71"/>
        <v>0.19999999999999929</v>
      </c>
      <c r="BE28" s="459">
        <f t="shared" ref="BE28" si="72">AQ13</f>
        <v>0.12999999999999995</v>
      </c>
      <c r="BF28" s="459">
        <f>AR13</f>
        <v>4.3333333333333335E-2</v>
      </c>
      <c r="BG28" s="369">
        <f>AS13</f>
        <v>0</v>
      </c>
      <c r="BH28" s="369">
        <f>AT13</f>
        <v>0</v>
      </c>
    </row>
    <row r="29" spans="1:60" x14ac:dyDescent="0.25">
      <c r="A29" s="330"/>
      <c r="B29" s="330"/>
      <c r="C29" s="261"/>
      <c r="D29" s="332"/>
      <c r="E29" s="337"/>
      <c r="F29" s="333"/>
      <c r="G29" s="597"/>
      <c r="H29" s="275"/>
      <c r="I29" s="414"/>
      <c r="J29" s="414"/>
      <c r="K29" s="414"/>
      <c r="L29" s="414"/>
      <c r="M29" s="414"/>
      <c r="N29" s="414"/>
      <c r="O29" s="414"/>
      <c r="P29" s="350"/>
      <c r="Q29" s="351"/>
      <c r="R29" s="263"/>
      <c r="S29" s="432"/>
      <c r="T29" s="432"/>
      <c r="U29" s="432"/>
      <c r="V29" s="432"/>
      <c r="W29" s="432"/>
      <c r="X29" s="432"/>
      <c r="Y29" s="432"/>
      <c r="Z29" s="360"/>
      <c r="AA29" s="360"/>
      <c r="AB29" s="360"/>
      <c r="AC29" s="360"/>
      <c r="AD29" s="360"/>
      <c r="AE29" s="360"/>
      <c r="AF29" s="360"/>
      <c r="AH29" s="364"/>
      <c r="AI29" s="365"/>
      <c r="AJ29" s="365"/>
      <c r="AK29" s="365"/>
      <c r="AL29" s="365"/>
      <c r="AM29" s="365"/>
      <c r="AN29" s="365"/>
      <c r="AO29" s="365"/>
      <c r="AP29" s="365"/>
      <c r="AQ29" s="365"/>
      <c r="AR29" s="365"/>
      <c r="AS29" s="365"/>
      <c r="AT29" s="365"/>
    </row>
    <row r="30" spans="1:60" x14ac:dyDescent="0.25">
      <c r="A30" s="330"/>
      <c r="B30" s="330"/>
      <c r="C30" s="261"/>
      <c r="D30" s="332"/>
      <c r="E30" s="337"/>
      <c r="F30" s="333"/>
      <c r="G30" s="597"/>
      <c r="H30" s="275"/>
      <c r="I30" s="414"/>
      <c r="J30" s="414"/>
      <c r="K30" s="414"/>
      <c r="L30" s="414"/>
      <c r="M30" s="414"/>
      <c r="N30" s="414"/>
      <c r="O30" s="414"/>
      <c r="P30" s="350"/>
      <c r="Q30" s="351"/>
      <c r="R30" s="263"/>
      <c r="S30" s="432"/>
      <c r="T30" s="432"/>
      <c r="U30" s="432"/>
      <c r="V30" s="432"/>
      <c r="W30" s="432"/>
      <c r="X30" s="432"/>
      <c r="Y30" s="432"/>
      <c r="Z30" s="360"/>
      <c r="AA30" s="360"/>
      <c r="AB30" s="360"/>
      <c r="AC30" s="360"/>
      <c r="AD30" s="360"/>
      <c r="AE30" s="360"/>
      <c r="AF30" s="360"/>
    </row>
    <row r="31" spans="1:60" x14ac:dyDescent="0.25">
      <c r="F31" s="589"/>
      <c r="S31" s="152"/>
      <c r="T31" s="152"/>
      <c r="U31" s="152"/>
      <c r="V31" s="152"/>
      <c r="W31" s="152"/>
      <c r="X31" s="152"/>
      <c r="Y31" s="152"/>
    </row>
    <row r="32" spans="1:60" x14ac:dyDescent="0.25">
      <c r="S32" s="152"/>
      <c r="T32" s="152"/>
      <c r="U32" s="152"/>
      <c r="V32" s="152"/>
      <c r="W32" s="152"/>
      <c r="X32" s="152"/>
      <c r="Y32" s="152"/>
    </row>
    <row r="33" spans="19:25" x14ac:dyDescent="0.25">
      <c r="S33" s="152"/>
      <c r="T33" s="152"/>
      <c r="U33" s="152"/>
      <c r="V33" s="152"/>
      <c r="W33" s="152"/>
      <c r="X33" s="152"/>
      <c r="Y33" s="152"/>
    </row>
    <row r="34" spans="19:25" x14ac:dyDescent="0.25">
      <c r="S34" s="152"/>
      <c r="T34" s="152"/>
      <c r="U34" s="152"/>
      <c r="V34" s="152"/>
      <c r="W34" s="152"/>
      <c r="X34" s="152"/>
      <c r="Y34" s="152"/>
    </row>
  </sheetData>
  <mergeCells count="6">
    <mergeCell ref="D2:F2"/>
    <mergeCell ref="AH1:AT1"/>
    <mergeCell ref="AH3:AI3"/>
    <mergeCell ref="AH17:AI17"/>
    <mergeCell ref="AV3:AW3"/>
    <mergeCell ref="AV17:AW17"/>
  </mergeCells>
  <conditionalFormatting sqref="Z4:AF30">
    <cfRule type="cellIs" dxfId="116" priority="92" operator="greaterThan">
      <formula>0</formula>
    </cfRule>
  </conditionalFormatting>
  <conditionalFormatting sqref="AJ4:AP13 AJ14:AL14">
    <cfRule type="cellIs" dxfId="115" priority="91" operator="greaterThan">
      <formula>0</formula>
    </cfRule>
  </conditionalFormatting>
  <conditionalFormatting sqref="AX16:BD16">
    <cfRule type="cellIs" dxfId="114" priority="43" operator="greaterThan">
      <formula>0</formula>
    </cfRule>
  </conditionalFormatting>
  <conditionalFormatting sqref="AJ19:AP19 AJ24:AP24 AJ21:AP22 AM20:AN20 AP20">
    <cfRule type="cellIs" dxfId="113" priority="48" operator="greaterThan">
      <formula>0</formula>
    </cfRule>
  </conditionalFormatting>
  <conditionalFormatting sqref="AX6:BD7 AX12:BD13">
    <cfRule type="cellIs" dxfId="112" priority="46" operator="greaterThan">
      <formula>0</formula>
    </cfRule>
  </conditionalFormatting>
  <conditionalFormatting sqref="AJ18:AP18">
    <cfRule type="cellIs" dxfId="111" priority="42" operator="greaterThan">
      <formula>0</formula>
    </cfRule>
  </conditionalFormatting>
  <conditionalFormatting sqref="AX20:BD20 AX22:BD22">
    <cfRule type="cellIs" dxfId="110" priority="44" operator="greaterThan">
      <formula>0</formula>
    </cfRule>
  </conditionalFormatting>
  <conditionalFormatting sqref="AX4:BD4">
    <cfRule type="cellIs" dxfId="109" priority="41" operator="greaterThan">
      <formula>0</formula>
    </cfRule>
  </conditionalFormatting>
  <conditionalFormatting sqref="AX18:BD18">
    <cfRule type="cellIs" dxfId="108" priority="40" operator="greaterThan">
      <formula>0</formula>
    </cfRule>
  </conditionalFormatting>
  <conditionalFormatting sqref="AX21:BD21">
    <cfRule type="cellIs" dxfId="107" priority="37" operator="greaterThan">
      <formula>0</formula>
    </cfRule>
  </conditionalFormatting>
  <conditionalFormatting sqref="AX19:BD19">
    <cfRule type="cellIs" dxfId="106" priority="38" operator="greaterThan">
      <formula>0</formula>
    </cfRule>
  </conditionalFormatting>
  <conditionalFormatting sqref="AJ23:AP23">
    <cfRule type="cellIs" dxfId="105" priority="35" operator="greaterThan">
      <formula>0</formula>
    </cfRule>
  </conditionalFormatting>
  <conditionalFormatting sqref="AX9:BD9">
    <cfRule type="cellIs" dxfId="104" priority="34" operator="greaterThan">
      <formula>0</formula>
    </cfRule>
  </conditionalFormatting>
  <conditionalFormatting sqref="AX23:BD23">
    <cfRule type="cellIs" dxfId="103" priority="33" operator="greaterThan">
      <formula>0</formula>
    </cfRule>
  </conditionalFormatting>
  <conditionalFormatting sqref="AX10:BD10">
    <cfRule type="cellIs" dxfId="102" priority="32" operator="greaterThan">
      <formula>0</formula>
    </cfRule>
  </conditionalFormatting>
  <conditionalFormatting sqref="AX24:BD24">
    <cfRule type="cellIs" dxfId="101" priority="31" operator="greaterThan">
      <formula>0</formula>
    </cfRule>
  </conditionalFormatting>
  <conditionalFormatting sqref="AJ25:AP25">
    <cfRule type="cellIs" dxfId="100" priority="30" operator="greaterThan">
      <formula>0</formula>
    </cfRule>
  </conditionalFormatting>
  <conditionalFormatting sqref="AX11:BD11">
    <cfRule type="cellIs" dxfId="99" priority="29" operator="greaterThan">
      <formula>0</formula>
    </cfRule>
  </conditionalFormatting>
  <conditionalFormatting sqref="AJ26:AP26">
    <cfRule type="cellIs" dxfId="98" priority="27" operator="greaterThan">
      <formula>0</formula>
    </cfRule>
  </conditionalFormatting>
  <conditionalFormatting sqref="AX26:BD26">
    <cfRule type="cellIs" dxfId="97" priority="26" operator="greaterThan">
      <formula>0</formula>
    </cfRule>
  </conditionalFormatting>
  <conditionalFormatting sqref="AJ27:AP27">
    <cfRule type="cellIs" dxfId="96" priority="25" operator="greaterThan">
      <formula>0</formula>
    </cfRule>
  </conditionalFormatting>
  <conditionalFormatting sqref="AX27:BD27">
    <cfRule type="cellIs" dxfId="95" priority="24" operator="greaterThan">
      <formula>0</formula>
    </cfRule>
  </conditionalFormatting>
  <conditionalFormatting sqref="AM14:AP14">
    <cfRule type="cellIs" dxfId="94" priority="23" operator="greaterThan">
      <formula>0</formula>
    </cfRule>
  </conditionalFormatting>
  <conditionalFormatting sqref="AJ28:AP28">
    <cfRule type="cellIs" dxfId="93" priority="22" operator="greaterThan">
      <formula>0</formula>
    </cfRule>
  </conditionalFormatting>
  <conditionalFormatting sqref="AX14:AZ14">
    <cfRule type="cellIs" dxfId="92" priority="20" operator="greaterThan">
      <formula>0</formula>
    </cfRule>
  </conditionalFormatting>
  <conditionalFormatting sqref="AX28:BD28">
    <cfRule type="cellIs" dxfId="91" priority="18" operator="greaterThan">
      <formula>0</formula>
    </cfRule>
  </conditionalFormatting>
  <conditionalFormatting sqref="AX25:BD25">
    <cfRule type="cellIs" dxfId="90" priority="17" operator="greaterThan">
      <formula>0</formula>
    </cfRule>
  </conditionalFormatting>
  <conditionalFormatting sqref="AJ20:AL20">
    <cfRule type="cellIs" dxfId="89" priority="9" operator="greaterThan">
      <formula>0</formula>
    </cfRule>
  </conditionalFormatting>
  <conditionalFormatting sqref="AO20">
    <cfRule type="cellIs" dxfId="88" priority="8" operator="greaterThan">
      <formula>0</formula>
    </cfRule>
  </conditionalFormatting>
  <conditionalFormatting sqref="BA14:BD14">
    <cfRule type="cellIs" dxfId="87" priority="7" operator="greaterThan">
      <formula>0</formula>
    </cfRule>
  </conditionalFormatting>
  <conditionalFormatting sqref="AX2:BD2">
    <cfRule type="cellIs" dxfId="86" priority="6" operator="greaterThan">
      <formula>0</formula>
    </cfRule>
  </conditionalFormatting>
  <conditionalFormatting sqref="AJ2:AP2">
    <cfRule type="cellIs" dxfId="85" priority="5" operator="greaterThan">
      <formula>0</formula>
    </cfRule>
  </conditionalFormatting>
  <conditionalFormatting sqref="AJ16:AP16">
    <cfRule type="cellIs" dxfId="84" priority="4" operator="greaterThan">
      <formula>0</formula>
    </cfRule>
  </conditionalFormatting>
  <conditionalFormatting sqref="I4:O30">
    <cfRule type="cellIs" dxfId="83" priority="1276" operator="greaterThan">
      <formula>8</formula>
    </cfRule>
    <cfRule type="colorScale" priority="1277">
      <colorScale>
        <cfvo type="min"/>
        <cfvo type="max"/>
        <color rgb="FFFFEF9C"/>
        <color rgb="FFFF7128"/>
      </colorScale>
    </cfRule>
  </conditionalFormatting>
  <conditionalFormatting sqref="S4:Y30">
    <cfRule type="colorScale" priority="1280">
      <colorScale>
        <cfvo type="min"/>
        <cfvo type="max"/>
        <color rgb="FFFFEF9C"/>
        <color rgb="FF63BE7B"/>
      </colorScale>
    </cfRule>
  </conditionalFormatting>
  <conditionalFormatting sqref="AX8:BD8">
    <cfRule type="cellIs" dxfId="82" priority="2" operator="greaterThan">
      <formula>0</formula>
    </cfRule>
  </conditionalFormatting>
  <conditionalFormatting sqref="AX5:BD5">
    <cfRule type="cellIs" dxfId="81" priority="3" operator="greaterThan">
      <formula>0</formula>
    </cfRule>
  </conditionalFormatting>
  <conditionalFormatting sqref="H4:H30">
    <cfRule type="colorScale" priority="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433" customWidth="1"/>
    <col min="2" max="2" width="14.28515625" style="433" bestFit="1" customWidth="1"/>
    <col min="3" max="9" width="8.28515625" style="433" bestFit="1" customWidth="1"/>
    <col min="10" max="10" width="8.28515625" style="456" bestFit="1" customWidth="1"/>
    <col min="11" max="11" width="9.28515625" style="456" bestFit="1" customWidth="1"/>
    <col min="12" max="12" width="8.28515625" style="43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399"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572</v>
      </c>
      <c r="C1" s="479">
        <f t="shared" ref="C1:L1" si="0">MAX(C3:C27)</f>
        <v>7.6541020779221203E-2</v>
      </c>
      <c r="D1" s="479">
        <f t="shared" si="0"/>
        <v>9.516709370629349E-2</v>
      </c>
      <c r="E1" s="479">
        <f t="shared" si="0"/>
        <v>0.10114897692307692</v>
      </c>
      <c r="F1" s="479">
        <f t="shared" si="0"/>
        <v>5.254696863959811E-2</v>
      </c>
      <c r="G1" s="479">
        <f t="shared" si="0"/>
        <v>5.2239892473118138E-2</v>
      </c>
      <c r="H1" s="479">
        <f t="shared" si="0"/>
        <v>8.0176190476190248E-2</v>
      </c>
      <c r="I1" s="479">
        <f t="shared" si="0"/>
        <v>5.7961761904761842E-2</v>
      </c>
      <c r="J1" s="479">
        <f t="shared" si="0"/>
        <v>0</v>
      </c>
      <c r="K1" s="479">
        <f t="shared" si="0"/>
        <v>3.6222627372627408E-2</v>
      </c>
      <c r="L1" s="479">
        <f t="shared" si="0"/>
        <v>0.16964285714285698</v>
      </c>
      <c r="N1" s="433"/>
      <c r="O1" s="433"/>
      <c r="P1" s="436"/>
      <c r="Q1" s="436"/>
      <c r="R1" s="436"/>
      <c r="S1" s="436"/>
      <c r="T1" s="436"/>
      <c r="U1" s="436"/>
      <c r="V1" s="436"/>
      <c r="W1" s="436"/>
      <c r="X1" s="436"/>
      <c r="Y1" s="536"/>
      <c r="Z1" s="436"/>
      <c r="AA1" s="436"/>
      <c r="AB1" s="436"/>
      <c r="AC1" s="436"/>
      <c r="AD1" s="436"/>
      <c r="AE1" s="436"/>
      <c r="AF1" s="436"/>
      <c r="AG1" s="436"/>
    </row>
    <row r="2" spans="1:33" x14ac:dyDescent="0.25">
      <c r="A2" s="531" t="s">
        <v>564</v>
      </c>
      <c r="B2" s="532" t="s">
        <v>563</v>
      </c>
      <c r="C2" s="295" t="s">
        <v>391</v>
      </c>
      <c r="D2" s="439" t="s">
        <v>392</v>
      </c>
      <c r="E2" s="439" t="s">
        <v>404</v>
      </c>
      <c r="F2" s="439" t="s">
        <v>393</v>
      </c>
      <c r="G2" s="439" t="s">
        <v>394</v>
      </c>
      <c r="H2" s="439" t="s">
        <v>395</v>
      </c>
      <c r="I2" s="439" t="s">
        <v>396</v>
      </c>
      <c r="J2" s="439" t="s">
        <v>573</v>
      </c>
      <c r="K2" s="439" t="s">
        <v>574</v>
      </c>
      <c r="L2" s="439" t="s">
        <v>454</v>
      </c>
      <c r="N2" s="531" t="s">
        <v>564</v>
      </c>
      <c r="O2" s="532" t="s">
        <v>563</v>
      </c>
      <c r="P2" s="295" t="s">
        <v>391</v>
      </c>
      <c r="Q2" s="439" t="s">
        <v>685</v>
      </c>
      <c r="R2" s="439" t="s">
        <v>392</v>
      </c>
      <c r="S2" s="439" t="s">
        <v>685</v>
      </c>
      <c r="T2" s="439" t="s">
        <v>404</v>
      </c>
      <c r="U2" s="439" t="s">
        <v>685</v>
      </c>
      <c r="V2" s="439" t="s">
        <v>393</v>
      </c>
      <c r="W2" s="439" t="s">
        <v>685</v>
      </c>
      <c r="X2" s="439" t="s">
        <v>394</v>
      </c>
      <c r="Y2" s="439" t="s">
        <v>685</v>
      </c>
      <c r="Z2" s="439" t="s">
        <v>395</v>
      </c>
      <c r="AA2" s="439" t="s">
        <v>685</v>
      </c>
      <c r="AB2" s="439" t="s">
        <v>396</v>
      </c>
      <c r="AC2" s="439" t="s">
        <v>685</v>
      </c>
      <c r="AD2" s="476" t="s">
        <v>573</v>
      </c>
      <c r="AE2" s="476" t="s">
        <v>685</v>
      </c>
      <c r="AF2" s="476" t="s">
        <v>574</v>
      </c>
      <c r="AG2" s="476" t="s">
        <v>685</v>
      </c>
    </row>
    <row r="3" spans="1:33" x14ac:dyDescent="0.25">
      <c r="A3" s="438" t="s">
        <v>565</v>
      </c>
      <c r="B3" s="437" t="s">
        <v>173</v>
      </c>
      <c r="C3" s="447"/>
      <c r="D3" s="448"/>
      <c r="E3" s="448"/>
      <c r="F3" s="448"/>
      <c r="G3" s="448"/>
      <c r="H3" s="448"/>
      <c r="I3" s="448"/>
      <c r="J3" s="448"/>
      <c r="K3" s="448"/>
      <c r="L3" s="448"/>
      <c r="M3" s="9"/>
      <c r="N3" s="480" t="s">
        <v>565</v>
      </c>
      <c r="O3" s="481" t="s">
        <v>173</v>
      </c>
      <c r="P3" s="450">
        <f>C3/$C$4</f>
        <v>0</v>
      </c>
      <c r="Q3" s="544" t="e">
        <f>1/C3</f>
        <v>#DIV/0!</v>
      </c>
      <c r="R3" s="450">
        <f>D3/D1</f>
        <v>0</v>
      </c>
      <c r="S3" s="544" t="e">
        <f>1/D3</f>
        <v>#DIV/0!</v>
      </c>
      <c r="T3" s="450">
        <f>E3/E1</f>
        <v>0</v>
      </c>
      <c r="U3" s="544" t="e">
        <f>1/E3</f>
        <v>#DIV/0!</v>
      </c>
      <c r="V3" s="451"/>
      <c r="W3" s="451"/>
      <c r="X3" s="451"/>
      <c r="Y3" s="537"/>
      <c r="Z3" s="451"/>
      <c r="AA3" s="451"/>
      <c r="AB3" s="451"/>
      <c r="AC3" s="451"/>
      <c r="AD3" s="451"/>
      <c r="AE3" s="451"/>
      <c r="AF3" s="451">
        <f>K3/K1</f>
        <v>0</v>
      </c>
      <c r="AG3" s="537"/>
    </row>
    <row r="4" spans="1:33" x14ac:dyDescent="0.25">
      <c r="A4" s="615" t="s">
        <v>566</v>
      </c>
      <c r="B4" s="445" t="s">
        <v>526</v>
      </c>
      <c r="C4" s="482">
        <v>5.9340247552447711E-2</v>
      </c>
      <c r="D4" s="462">
        <v>6.8999559240759498E-2</v>
      </c>
      <c r="E4" s="462">
        <v>7.5579372027972075E-2</v>
      </c>
      <c r="F4" s="462"/>
      <c r="G4" s="462"/>
      <c r="H4" s="462"/>
      <c r="I4" s="462"/>
      <c r="J4" s="462">
        <v>0</v>
      </c>
      <c r="K4" s="462">
        <v>3.6222627372627408E-2</v>
      </c>
      <c r="L4" s="462"/>
      <c r="M4" s="9"/>
      <c r="N4" s="617" t="s">
        <v>566</v>
      </c>
      <c r="O4" s="483" t="s">
        <v>526</v>
      </c>
      <c r="P4" s="452">
        <f>C4/$C$1</f>
        <v>0.77527379369046734</v>
      </c>
      <c r="Q4" s="538">
        <f>1/C4</f>
        <v>16.851968794301925</v>
      </c>
      <c r="R4" s="453">
        <f>D4/$D$1</f>
        <v>0.72503589795131562</v>
      </c>
      <c r="S4" s="538">
        <f>1/D4</f>
        <v>14.492846200809916</v>
      </c>
      <c r="T4" s="453">
        <f>E4/$E$1</f>
        <v>0.74720846742176794</v>
      </c>
      <c r="U4" s="538">
        <f>1/E4</f>
        <v>13.231123429153367</v>
      </c>
      <c r="V4" s="453"/>
      <c r="W4" s="453"/>
      <c r="X4" s="452"/>
      <c r="Y4" s="538"/>
      <c r="Z4" s="453"/>
      <c r="AA4" s="453"/>
      <c r="AB4" s="453"/>
      <c r="AC4" s="453"/>
      <c r="AD4" s="452"/>
      <c r="AE4" s="452"/>
      <c r="AF4" s="452">
        <f>K4/K1</f>
        <v>1</v>
      </c>
      <c r="AG4" s="542"/>
    </row>
    <row r="5" spans="1:33" x14ac:dyDescent="0.25">
      <c r="A5" s="615"/>
      <c r="B5" s="445" t="s">
        <v>525</v>
      </c>
      <c r="C5" s="477"/>
      <c r="D5" s="449"/>
      <c r="E5" s="449"/>
      <c r="F5" s="449">
        <v>5.254696863959811E-2</v>
      </c>
      <c r="G5" s="449"/>
      <c r="H5" s="449"/>
      <c r="I5" s="449"/>
      <c r="J5" s="449"/>
      <c r="K5" s="449"/>
      <c r="L5" s="449"/>
      <c r="M5" s="9"/>
      <c r="N5" s="617"/>
      <c r="O5" s="483" t="s">
        <v>525</v>
      </c>
      <c r="P5" s="454"/>
      <c r="Q5" s="539"/>
      <c r="R5" s="441"/>
      <c r="S5" s="539"/>
      <c r="T5" s="441"/>
      <c r="U5" s="539"/>
      <c r="V5" s="441">
        <f>F5/F1</f>
        <v>1</v>
      </c>
      <c r="W5" s="539">
        <f>1/F5</f>
        <v>19.03059350309362</v>
      </c>
      <c r="X5" s="454"/>
      <c r="Y5" s="539"/>
      <c r="Z5" s="441"/>
      <c r="AA5" s="441"/>
      <c r="AB5" s="441"/>
      <c r="AC5" s="441"/>
      <c r="AD5" s="454"/>
      <c r="AE5" s="454"/>
      <c r="AF5" s="454"/>
      <c r="AG5" s="541"/>
    </row>
    <row r="6" spans="1:33" x14ac:dyDescent="0.25">
      <c r="A6" s="615"/>
      <c r="B6" s="445" t="s">
        <v>570</v>
      </c>
      <c r="C6" s="477"/>
      <c r="D6" s="449"/>
      <c r="E6" s="449"/>
      <c r="F6" s="449"/>
      <c r="G6" s="449">
        <v>3.9584999999999822E-2</v>
      </c>
      <c r="H6" s="449">
        <v>6.3542692307692147E-2</v>
      </c>
      <c r="I6" s="449">
        <v>0</v>
      </c>
      <c r="J6" s="449"/>
      <c r="K6" s="449"/>
      <c r="L6" s="449"/>
      <c r="M6" s="9"/>
      <c r="N6" s="617"/>
      <c r="O6" s="483" t="s">
        <v>570</v>
      </c>
      <c r="P6" s="454"/>
      <c r="Q6" s="539"/>
      <c r="R6" s="441"/>
      <c r="S6" s="539"/>
      <c r="T6" s="441"/>
      <c r="U6" s="539"/>
      <c r="V6" s="441"/>
      <c r="W6" s="539"/>
      <c r="X6" s="454">
        <f>G6/$G$1</f>
        <v>0.75775423964300204</v>
      </c>
      <c r="Y6" s="539">
        <f>1/G6</f>
        <v>25.262094227611584</v>
      </c>
      <c r="Z6" s="441">
        <f>H6/$H$1</f>
        <v>0.79253818284821453</v>
      </c>
      <c r="AA6" s="539">
        <f>1/H6</f>
        <v>15.737450896126811</v>
      </c>
      <c r="AB6" s="441">
        <f>I6/$I$1</f>
        <v>0</v>
      </c>
      <c r="AC6" s="441"/>
      <c r="AD6" s="454"/>
      <c r="AE6" s="454"/>
      <c r="AF6" s="454"/>
      <c r="AG6" s="541"/>
    </row>
    <row r="7" spans="1:33" x14ac:dyDescent="0.25">
      <c r="A7" s="615"/>
      <c r="B7" s="445" t="s">
        <v>571</v>
      </c>
      <c r="C7" s="477"/>
      <c r="D7" s="449"/>
      <c r="E7" s="449"/>
      <c r="F7" s="449"/>
      <c r="G7" s="449">
        <v>3.3714285714285648E-2</v>
      </c>
      <c r="H7" s="449">
        <v>3.433928571428569E-2</v>
      </c>
      <c r="I7" s="449">
        <v>4.9198011904761828E-2</v>
      </c>
      <c r="J7" s="449"/>
      <c r="K7" s="449"/>
      <c r="L7" s="449"/>
      <c r="M7" s="9"/>
      <c r="N7" s="617"/>
      <c r="O7" s="483" t="s">
        <v>571</v>
      </c>
      <c r="P7" s="454"/>
      <c r="Q7" s="539"/>
      <c r="R7" s="441"/>
      <c r="S7" s="539"/>
      <c r="T7" s="441"/>
      <c r="U7" s="539"/>
      <c r="V7" s="441"/>
      <c r="W7" s="539"/>
      <c r="X7" s="454">
        <f t="shared" ref="X7" si="1">G7/$G$1</f>
        <v>0.64537433210902018</v>
      </c>
      <c r="Y7" s="539">
        <f t="shared" ref="Y7" si="2">1/G7</f>
        <v>29.6610169491526</v>
      </c>
      <c r="Z7" s="441">
        <f t="shared" ref="Z7" si="3">H7/$H$1</f>
        <v>0.42829779651957089</v>
      </c>
      <c r="AA7" s="539">
        <f t="shared" ref="AA7" si="4">1/H7</f>
        <v>29.121164846593885</v>
      </c>
      <c r="AB7" s="441">
        <f t="shared" ref="AB7" si="5">I7/$I$1</f>
        <v>0.84880118008835015</v>
      </c>
      <c r="AC7" s="539">
        <f t="shared" ref="AC7" si="6">1/I7</f>
        <v>20.326024594973745</v>
      </c>
      <c r="AD7" s="454"/>
      <c r="AE7" s="454"/>
      <c r="AF7" s="454"/>
      <c r="AG7" s="541"/>
    </row>
    <row r="8" spans="1:33" x14ac:dyDescent="0.25">
      <c r="A8" s="615"/>
      <c r="B8" s="445" t="s">
        <v>544</v>
      </c>
      <c r="C8" s="477"/>
      <c r="D8" s="449"/>
      <c r="E8" s="449"/>
      <c r="F8" s="449"/>
      <c r="G8" s="449"/>
      <c r="H8" s="449"/>
      <c r="I8" s="449"/>
      <c r="J8" s="449"/>
      <c r="K8" s="449"/>
      <c r="L8" s="449"/>
      <c r="M8" s="9"/>
      <c r="N8" s="617"/>
      <c r="O8" s="483" t="s">
        <v>544</v>
      </c>
      <c r="P8" s="454"/>
      <c r="Q8" s="539"/>
      <c r="R8" s="441"/>
      <c r="S8" s="539"/>
      <c r="T8" s="441"/>
      <c r="U8" s="539"/>
      <c r="V8" s="441"/>
      <c r="W8" s="539"/>
      <c r="X8" s="454"/>
      <c r="Y8" s="539"/>
      <c r="Z8" s="441"/>
      <c r="AA8" s="539"/>
      <c r="AB8" s="441"/>
      <c r="AC8" s="539"/>
      <c r="AD8" s="454"/>
      <c r="AE8" s="541"/>
      <c r="AF8" s="454"/>
      <c r="AG8" s="541"/>
    </row>
    <row r="9" spans="1:33" x14ac:dyDescent="0.25">
      <c r="A9" s="615"/>
      <c r="B9" s="457" t="s">
        <v>0</v>
      </c>
      <c r="C9" s="478"/>
      <c r="D9" s="440"/>
      <c r="E9" s="440"/>
      <c r="F9" s="440"/>
      <c r="G9" s="440"/>
      <c r="H9" s="440"/>
      <c r="I9" s="440"/>
      <c r="J9" s="440"/>
      <c r="K9" s="440"/>
      <c r="L9" s="440"/>
      <c r="M9" s="9"/>
      <c r="N9" s="617"/>
      <c r="O9" s="483" t="s">
        <v>0</v>
      </c>
      <c r="P9" s="455"/>
      <c r="Q9" s="540"/>
      <c r="R9" s="442"/>
      <c r="S9" s="540"/>
      <c r="T9" s="442"/>
      <c r="U9" s="540"/>
      <c r="V9" s="442"/>
      <c r="W9" s="540"/>
      <c r="X9" s="455"/>
      <c r="Y9" s="540"/>
      <c r="Z9" s="442"/>
      <c r="AA9" s="442"/>
      <c r="AB9" s="442"/>
      <c r="AC9" s="442"/>
      <c r="AD9" s="455" t="e">
        <f>J9/$J$1</f>
        <v>#DIV/0!</v>
      </c>
      <c r="AE9" s="543" t="e">
        <f>1/J9</f>
        <v>#DIV/0!</v>
      </c>
      <c r="AF9" s="455">
        <f>K9/$K$1</f>
        <v>0</v>
      </c>
      <c r="AG9" s="543" t="e">
        <f>1/K9</f>
        <v>#DIV/0!</v>
      </c>
    </row>
    <row r="10" spans="1:33" x14ac:dyDescent="0.25">
      <c r="A10" s="616" t="s">
        <v>567</v>
      </c>
      <c r="B10" s="446" t="s">
        <v>526</v>
      </c>
      <c r="C10" s="482">
        <v>4.0980247552447779E-2</v>
      </c>
      <c r="D10" s="462">
        <v>7.0304873926074096E-2</v>
      </c>
      <c r="E10" s="462">
        <v>4.0579372027972196E-2</v>
      </c>
      <c r="F10" s="462"/>
      <c r="G10" s="462"/>
      <c r="H10" s="462"/>
      <c r="I10" s="462"/>
      <c r="J10" s="462">
        <v>0</v>
      </c>
      <c r="K10" s="462">
        <v>3.0871978021978067E-2</v>
      </c>
      <c r="L10" s="462"/>
      <c r="M10" s="9"/>
      <c r="N10" s="618" t="s">
        <v>567</v>
      </c>
      <c r="O10" s="484" t="s">
        <v>526</v>
      </c>
      <c r="P10" s="454">
        <f>C10/$C$1</f>
        <v>0.53540241736066307</v>
      </c>
      <c r="Q10" s="538">
        <f>1/C10</f>
        <v>24.40199998109258</v>
      </c>
      <c r="R10" s="453">
        <f>D10/$D$1</f>
        <v>0.73875192766788012</v>
      </c>
      <c r="S10" s="538">
        <f>1/D10</f>
        <v>14.223764927755999</v>
      </c>
      <c r="T10" s="453">
        <f>E10/$E$1</f>
        <v>0.40118420632996138</v>
      </c>
      <c r="U10" s="538">
        <f>1/E10</f>
        <v>24.643062472989463</v>
      </c>
      <c r="V10" s="441"/>
      <c r="W10" s="539"/>
      <c r="X10" s="454"/>
      <c r="Y10" s="539"/>
      <c r="Z10" s="441"/>
      <c r="AA10" s="441"/>
      <c r="AB10" s="441"/>
      <c r="AC10" s="441"/>
      <c r="AD10" s="454"/>
      <c r="AE10" s="441"/>
      <c r="AF10" s="441">
        <f>K10/K1</f>
        <v>0.85228433885796195</v>
      </c>
      <c r="AG10" s="539"/>
    </row>
    <row r="11" spans="1:33" x14ac:dyDescent="0.25">
      <c r="A11" s="615"/>
      <c r="B11" s="445" t="s">
        <v>525</v>
      </c>
      <c r="C11" s="477"/>
      <c r="D11" s="449"/>
      <c r="E11" s="449"/>
      <c r="F11" s="449">
        <v>5.1022557865187314E-2</v>
      </c>
      <c r="G11" s="449"/>
      <c r="H11" s="449"/>
      <c r="I11" s="449"/>
      <c r="J11" s="449"/>
      <c r="K11" s="449"/>
      <c r="L11" s="449"/>
      <c r="M11" s="9"/>
      <c r="N11" s="617"/>
      <c r="O11" s="483" t="s">
        <v>525</v>
      </c>
      <c r="P11" s="454"/>
      <c r="Q11" s="539"/>
      <c r="R11" s="441"/>
      <c r="S11" s="539"/>
      <c r="T11" s="441"/>
      <c r="U11" s="539"/>
      <c r="V11" s="441">
        <f>F11/F1</f>
        <v>0.97098955822045196</v>
      </c>
      <c r="W11" s="539">
        <f>1/F11</f>
        <v>19.599174205303804</v>
      </c>
      <c r="X11" s="454"/>
      <c r="Y11" s="539"/>
      <c r="Z11" s="441"/>
      <c r="AA11" s="441"/>
      <c r="AB11" s="441"/>
      <c r="AC11" s="441"/>
      <c r="AD11" s="454"/>
      <c r="AE11" s="441"/>
      <c r="AF11" s="441"/>
      <c r="AG11" s="539"/>
    </row>
    <row r="12" spans="1:33" x14ac:dyDescent="0.25">
      <c r="A12" s="615"/>
      <c r="B12" s="445" t="s">
        <v>570</v>
      </c>
      <c r="C12" s="477"/>
      <c r="D12" s="449"/>
      <c r="E12" s="449"/>
      <c r="F12" s="449"/>
      <c r="G12" s="449">
        <v>4.2215952380952187E-2</v>
      </c>
      <c r="H12" s="449">
        <v>6.617364468864452E-2</v>
      </c>
      <c r="I12" s="449">
        <v>0</v>
      </c>
      <c r="J12" s="449"/>
      <c r="K12" s="449"/>
      <c r="L12" s="449"/>
      <c r="M12" s="9"/>
      <c r="N12" s="617"/>
      <c r="O12" s="483" t="s">
        <v>570</v>
      </c>
      <c r="P12" s="454"/>
      <c r="Q12" s="539"/>
      <c r="R12" s="441"/>
      <c r="S12" s="539"/>
      <c r="T12" s="441"/>
      <c r="U12" s="539"/>
      <c r="V12" s="441"/>
      <c r="W12" s="539"/>
      <c r="X12" s="454">
        <f t="shared" ref="X12:X13" si="7">G12/$G$1</f>
        <v>0.80811713773484284</v>
      </c>
      <c r="Y12" s="539">
        <f t="shared" ref="Y12:Y13" si="8">1/G12</f>
        <v>23.687728064881924</v>
      </c>
      <c r="Z12" s="441">
        <f t="shared" ref="Z12:Z13" si="9">H12/$H$1</f>
        <v>0.82535281728427801</v>
      </c>
      <c r="AA12" s="539">
        <f t="shared" ref="AA12:AA13" si="10">1/H12</f>
        <v>15.111756420628305</v>
      </c>
      <c r="AB12" s="441">
        <f t="shared" ref="AB12:AB13" si="11">I12/$I$1</f>
        <v>0</v>
      </c>
      <c r="AC12" s="539"/>
      <c r="AD12" s="454"/>
      <c r="AE12" s="441"/>
      <c r="AF12" s="441"/>
      <c r="AG12" s="539"/>
    </row>
    <row r="13" spans="1:33" x14ac:dyDescent="0.25">
      <c r="A13" s="615"/>
      <c r="B13" s="445" t="s">
        <v>571</v>
      </c>
      <c r="C13" s="477"/>
      <c r="D13" s="449"/>
      <c r="E13" s="449"/>
      <c r="F13" s="449"/>
      <c r="G13" s="449">
        <v>3.8151785714285652E-2</v>
      </c>
      <c r="H13" s="449">
        <v>3.8776785714285687E-2</v>
      </c>
      <c r="I13" s="449">
        <v>5.7961761904761842E-2</v>
      </c>
      <c r="J13" s="449"/>
      <c r="K13" s="449"/>
      <c r="L13" s="449"/>
      <c r="M13" s="9"/>
      <c r="N13" s="617"/>
      <c r="O13" s="483" t="s">
        <v>571</v>
      </c>
      <c r="P13" s="454"/>
      <c r="Q13" s="539"/>
      <c r="R13" s="441"/>
      <c r="S13" s="539"/>
      <c r="T13" s="441"/>
      <c r="U13" s="539"/>
      <c r="V13" s="441"/>
      <c r="W13" s="539"/>
      <c r="X13" s="454">
        <f t="shared" si="7"/>
        <v>0.73031899393586974</v>
      </c>
      <c r="Y13" s="539">
        <f t="shared" si="8"/>
        <v>26.211092908963302</v>
      </c>
      <c r="Z13" s="441">
        <f t="shared" si="9"/>
        <v>0.48364465166003551</v>
      </c>
      <c r="AA13" s="539">
        <f t="shared" si="10"/>
        <v>25.788625374165342</v>
      </c>
      <c r="AB13" s="441">
        <f t="shared" si="11"/>
        <v>1</v>
      </c>
      <c r="AC13" s="539">
        <f t="shared" ref="AC13" si="12">1/I13</f>
        <v>17.252753662718543</v>
      </c>
      <c r="AD13" s="454"/>
      <c r="AE13" s="441"/>
      <c r="AF13" s="441"/>
      <c r="AG13" s="539"/>
    </row>
    <row r="14" spans="1:33" x14ac:dyDescent="0.25">
      <c r="A14" s="615"/>
      <c r="B14" s="445" t="s">
        <v>544</v>
      </c>
      <c r="C14" s="477"/>
      <c r="D14" s="449"/>
      <c r="E14" s="449"/>
      <c r="F14" s="449"/>
      <c r="G14" s="449"/>
      <c r="H14" s="449"/>
      <c r="I14" s="449"/>
      <c r="J14" s="449"/>
      <c r="K14" s="449"/>
      <c r="L14" s="449"/>
      <c r="M14" s="9"/>
      <c r="N14" s="617"/>
      <c r="O14" s="483" t="s">
        <v>544</v>
      </c>
      <c r="P14" s="454"/>
      <c r="Q14" s="539"/>
      <c r="R14" s="441"/>
      <c r="S14" s="539"/>
      <c r="T14" s="441"/>
      <c r="U14" s="539"/>
      <c r="V14" s="441"/>
      <c r="W14" s="539"/>
      <c r="X14" s="454"/>
      <c r="Y14" s="539"/>
      <c r="Z14" s="441"/>
      <c r="AA14" s="539"/>
      <c r="AB14" s="441"/>
      <c r="AC14" s="539"/>
      <c r="AD14" s="454"/>
      <c r="AE14" s="541"/>
      <c r="AF14" s="454"/>
      <c r="AG14" s="541"/>
    </row>
    <row r="15" spans="1:33" x14ac:dyDescent="0.25">
      <c r="A15" s="615"/>
      <c r="B15" s="457" t="s">
        <v>0</v>
      </c>
      <c r="C15" s="478"/>
      <c r="D15" s="440"/>
      <c r="E15" s="440"/>
      <c r="F15" s="440"/>
      <c r="G15" s="440"/>
      <c r="H15" s="440"/>
      <c r="I15" s="440"/>
      <c r="J15" s="440"/>
      <c r="K15" s="440"/>
      <c r="L15" s="440"/>
      <c r="M15" s="9"/>
      <c r="N15" s="617"/>
      <c r="O15" s="483" t="s">
        <v>0</v>
      </c>
      <c r="P15" s="455"/>
      <c r="Q15" s="540"/>
      <c r="R15" s="442"/>
      <c r="S15" s="540"/>
      <c r="T15" s="442"/>
      <c r="U15" s="540"/>
      <c r="V15" s="442"/>
      <c r="W15" s="540"/>
      <c r="X15" s="455"/>
      <c r="Y15" s="540"/>
      <c r="Z15" s="442"/>
      <c r="AA15" s="442"/>
      <c r="AB15" s="442"/>
      <c r="AC15" s="442"/>
      <c r="AD15" s="455" t="e">
        <f>J15/$J$1</f>
        <v>#DIV/0!</v>
      </c>
      <c r="AE15" s="543" t="e">
        <f>1/J15</f>
        <v>#DIV/0!</v>
      </c>
      <c r="AF15" s="455">
        <f>K15/$K$1</f>
        <v>0</v>
      </c>
      <c r="AG15" s="543" t="e">
        <f>1/K15</f>
        <v>#DIV/0!</v>
      </c>
    </row>
    <row r="16" spans="1:33" x14ac:dyDescent="0.25">
      <c r="A16" s="616" t="s">
        <v>568</v>
      </c>
      <c r="B16" s="446" t="s">
        <v>526</v>
      </c>
      <c r="C16" s="477">
        <v>5.8181020779221264E-2</v>
      </c>
      <c r="D16" s="449">
        <v>7.6807093706293558E-2</v>
      </c>
      <c r="E16" s="449">
        <v>6.6148976923077044E-2</v>
      </c>
      <c r="F16" s="449"/>
      <c r="G16" s="449"/>
      <c r="H16" s="449"/>
      <c r="I16" s="449"/>
      <c r="J16" s="449">
        <v>0</v>
      </c>
      <c r="K16" s="449">
        <v>2.9990859140859215E-2</v>
      </c>
      <c r="L16" s="449">
        <v>4.1477272727272974E-2</v>
      </c>
      <c r="M16" s="9"/>
      <c r="N16" s="618" t="s">
        <v>568</v>
      </c>
      <c r="O16" s="484" t="s">
        <v>526</v>
      </c>
      <c r="P16" s="454">
        <f>C16/$C$1</f>
        <v>0.76012862367019574</v>
      </c>
      <c r="Q16" s="538">
        <f>1/C16</f>
        <v>17.18773556405424</v>
      </c>
      <c r="R16" s="453">
        <f>D16/$D$1</f>
        <v>0.80707617218339234</v>
      </c>
      <c r="S16" s="538">
        <f>1/D16</f>
        <v>13.019630762543228</v>
      </c>
      <c r="T16" s="453">
        <f>E16/$E$1</f>
        <v>0.65397573890819349</v>
      </c>
      <c r="U16" s="538">
        <f>1/E16</f>
        <v>15.117391780115881</v>
      </c>
      <c r="V16" s="441"/>
      <c r="W16" s="539"/>
      <c r="X16" s="441"/>
      <c r="Y16" s="539"/>
      <c r="Z16" s="441"/>
      <c r="AA16" s="441"/>
      <c r="AB16" s="441"/>
      <c r="AC16" s="441"/>
      <c r="AD16" s="441"/>
      <c r="AE16" s="441"/>
      <c r="AF16" s="441">
        <f>K16/K1</f>
        <v>0.827959243053766</v>
      </c>
      <c r="AG16" s="539"/>
    </row>
    <row r="17" spans="1:33" x14ac:dyDescent="0.25">
      <c r="A17" s="615"/>
      <c r="B17" s="445" t="s">
        <v>525</v>
      </c>
      <c r="C17" s="477"/>
      <c r="D17" s="449"/>
      <c r="E17" s="449"/>
      <c r="F17" s="449">
        <v>4.2273232055429683E-2</v>
      </c>
      <c r="G17" s="449"/>
      <c r="H17" s="449"/>
      <c r="I17" s="449"/>
      <c r="J17" s="449"/>
      <c r="K17" s="449"/>
      <c r="L17" s="449"/>
      <c r="M17" s="9"/>
      <c r="N17" s="617"/>
      <c r="O17" s="483" t="s">
        <v>525</v>
      </c>
      <c r="P17" s="454"/>
      <c r="Q17" s="539"/>
      <c r="R17" s="441"/>
      <c r="S17" s="539"/>
      <c r="T17" s="441"/>
      <c r="U17" s="539"/>
      <c r="V17" s="441">
        <f>F17/F1</f>
        <v>0.80448469530882905</v>
      </c>
      <c r="W17" s="539">
        <f>1/F17</f>
        <v>23.655631504323487</v>
      </c>
      <c r="X17" s="441"/>
      <c r="Y17" s="539"/>
      <c r="Z17" s="441"/>
      <c r="AA17" s="441"/>
      <c r="AB17" s="441"/>
      <c r="AC17" s="441"/>
      <c r="AD17" s="441"/>
      <c r="AE17" s="441"/>
      <c r="AF17" s="441"/>
      <c r="AG17" s="539"/>
    </row>
    <row r="18" spans="1:33" x14ac:dyDescent="0.25">
      <c r="A18" s="615"/>
      <c r="B18" s="445" t="s">
        <v>570</v>
      </c>
      <c r="C18" s="477"/>
      <c r="D18" s="449"/>
      <c r="E18" s="449"/>
      <c r="F18" s="449"/>
      <c r="G18" s="449">
        <v>5.2239892473118138E-2</v>
      </c>
      <c r="H18" s="449">
        <v>8.0176190476190248E-2</v>
      </c>
      <c r="I18" s="449">
        <v>0</v>
      </c>
      <c r="J18" s="449"/>
      <c r="K18" s="449"/>
      <c r="L18" s="449"/>
      <c r="M18" s="9"/>
      <c r="N18" s="617"/>
      <c r="O18" s="483" t="s">
        <v>570</v>
      </c>
      <c r="P18" s="454"/>
      <c r="Q18" s="539"/>
      <c r="R18" s="441"/>
      <c r="S18" s="539"/>
      <c r="T18" s="441"/>
      <c r="U18" s="539"/>
      <c r="V18" s="441"/>
      <c r="W18" s="539"/>
      <c r="X18" s="441">
        <f t="shared" ref="X18:X19" si="13">G18/$G$1</f>
        <v>1</v>
      </c>
      <c r="Y18" s="539">
        <f t="shared" ref="Y18:Y19" si="14">1/G18</f>
        <v>19.142459003233686</v>
      </c>
      <c r="Z18" s="441">
        <f t="shared" ref="Z18:Z19" si="15">H18/$H$1</f>
        <v>1</v>
      </c>
      <c r="AA18" s="539">
        <f t="shared" ref="AA18:AA19" si="16">1/H18</f>
        <v>12.472530735879349</v>
      </c>
      <c r="AB18" s="441">
        <f t="shared" ref="AB18:AB19" si="17">I18/$I$1</f>
        <v>0</v>
      </c>
      <c r="AC18" s="539"/>
      <c r="AD18" s="441"/>
      <c r="AE18" s="441"/>
      <c r="AF18" s="441"/>
      <c r="AG18" s="539"/>
    </row>
    <row r="19" spans="1:33" x14ac:dyDescent="0.25">
      <c r="A19" s="615"/>
      <c r="B19" s="445" t="s">
        <v>571</v>
      </c>
      <c r="C19" s="477"/>
      <c r="D19" s="449"/>
      <c r="E19" s="449"/>
      <c r="F19" s="449"/>
      <c r="G19" s="449">
        <v>2.5968749999999961E-2</v>
      </c>
      <c r="H19" s="449">
        <v>2.5281249999999998E-2</v>
      </c>
      <c r="I19" s="449">
        <v>3.0639083333333313E-2</v>
      </c>
      <c r="J19" s="449"/>
      <c r="K19" s="449"/>
      <c r="L19" s="449">
        <v>0.1339285714285714</v>
      </c>
      <c r="M19" s="549">
        <f>1/L19</f>
        <v>7.4666666666666686</v>
      </c>
      <c r="N19" s="617"/>
      <c r="O19" s="483" t="s">
        <v>571</v>
      </c>
      <c r="P19" s="454"/>
      <c r="Q19" s="539"/>
      <c r="R19" s="441"/>
      <c r="S19" s="539"/>
      <c r="T19" s="441"/>
      <c r="U19" s="539"/>
      <c r="V19" s="441"/>
      <c r="W19" s="539"/>
      <c r="X19" s="441">
        <f t="shared" si="13"/>
        <v>0.49710573224022403</v>
      </c>
      <c r="Y19" s="539">
        <f t="shared" si="14"/>
        <v>38.507821901323766</v>
      </c>
      <c r="Z19" s="441">
        <f t="shared" si="15"/>
        <v>0.31532116766644974</v>
      </c>
      <c r="AA19" s="539">
        <f t="shared" si="16"/>
        <v>39.555006180469718</v>
      </c>
      <c r="AB19" s="441">
        <f t="shared" si="17"/>
        <v>0.52860855720150501</v>
      </c>
      <c r="AC19" s="539">
        <f t="shared" ref="AC19" si="18">1/I19</f>
        <v>32.63805216104705</v>
      </c>
      <c r="AD19" s="441"/>
      <c r="AE19" s="441"/>
      <c r="AF19" s="441"/>
      <c r="AG19" s="539"/>
    </row>
    <row r="20" spans="1:33" x14ac:dyDescent="0.25">
      <c r="A20" s="615"/>
      <c r="B20" s="445" t="s">
        <v>544</v>
      </c>
      <c r="C20" s="477"/>
      <c r="D20" s="449"/>
      <c r="E20" s="449"/>
      <c r="F20" s="449"/>
      <c r="G20" s="449"/>
      <c r="H20" s="449"/>
      <c r="I20" s="449"/>
      <c r="J20" s="449"/>
      <c r="K20" s="449"/>
      <c r="L20" s="449"/>
      <c r="M20" s="9"/>
      <c r="N20" s="617"/>
      <c r="O20" s="483" t="s">
        <v>544</v>
      </c>
      <c r="P20" s="454"/>
      <c r="Q20" s="539"/>
      <c r="R20" s="441"/>
      <c r="S20" s="539"/>
      <c r="T20" s="441"/>
      <c r="U20" s="539"/>
      <c r="V20" s="441"/>
      <c r="W20" s="539"/>
      <c r="X20" s="441"/>
      <c r="Y20" s="539"/>
      <c r="Z20" s="441"/>
      <c r="AA20" s="539"/>
      <c r="AB20" s="441"/>
      <c r="AC20" s="539"/>
      <c r="AD20" s="441"/>
      <c r="AE20" s="541"/>
      <c r="AF20" s="454"/>
      <c r="AG20" s="541"/>
    </row>
    <row r="21" spans="1:33" x14ac:dyDescent="0.25">
      <c r="A21" s="615"/>
      <c r="B21" s="457" t="s">
        <v>0</v>
      </c>
      <c r="C21" s="477"/>
      <c r="D21" s="449"/>
      <c r="E21" s="449"/>
      <c r="F21" s="449"/>
      <c r="G21" s="449"/>
      <c r="H21" s="449"/>
      <c r="I21" s="449"/>
      <c r="J21" s="449"/>
      <c r="K21" s="449"/>
      <c r="L21" s="449"/>
      <c r="M21" s="9"/>
      <c r="N21" s="617"/>
      <c r="O21" s="483" t="s">
        <v>0</v>
      </c>
      <c r="P21" s="455"/>
      <c r="Q21" s="540"/>
      <c r="R21" s="442"/>
      <c r="S21" s="540"/>
      <c r="T21" s="442"/>
      <c r="U21" s="540"/>
      <c r="V21" s="442"/>
      <c r="W21" s="540"/>
      <c r="X21" s="442"/>
      <c r="Y21" s="540"/>
      <c r="Z21" s="442"/>
      <c r="AA21" s="442"/>
      <c r="AB21" s="442"/>
      <c r="AC21" s="441"/>
      <c r="AD21" s="441" t="e">
        <f>J21/$J$1</f>
        <v>#DIV/0!</v>
      </c>
      <c r="AE21" s="543" t="e">
        <f>1/J21</f>
        <v>#DIV/0!</v>
      </c>
      <c r="AF21" s="455">
        <f>K21/$K$1</f>
        <v>0</v>
      </c>
      <c r="AG21" s="543" t="e">
        <f>1/K21</f>
        <v>#DIV/0!</v>
      </c>
    </row>
    <row r="22" spans="1:33" x14ac:dyDescent="0.25">
      <c r="A22" s="616" t="s">
        <v>569</v>
      </c>
      <c r="B22" s="460" t="s">
        <v>526</v>
      </c>
      <c r="C22" s="482">
        <v>7.6541020779221203E-2</v>
      </c>
      <c r="D22" s="462">
        <v>9.516709370629349E-2</v>
      </c>
      <c r="E22" s="462">
        <v>0.10114897692307692</v>
      </c>
      <c r="F22" s="462"/>
      <c r="G22" s="462"/>
      <c r="H22" s="462"/>
      <c r="I22" s="462"/>
      <c r="J22" s="462">
        <v>0</v>
      </c>
      <c r="K22" s="462">
        <v>3.3705144855144913E-2</v>
      </c>
      <c r="L22" s="462">
        <v>5.9334415584415767E-2</v>
      </c>
      <c r="M22" s="9"/>
      <c r="N22" s="618" t="s">
        <v>569</v>
      </c>
      <c r="O22" s="484" t="s">
        <v>526</v>
      </c>
      <c r="P22" s="454">
        <f>C22/$C$1</f>
        <v>1</v>
      </c>
      <c r="Q22" s="538">
        <f>1/C22</f>
        <v>13.064889778311823</v>
      </c>
      <c r="R22" s="453">
        <f>D22/$D$1</f>
        <v>1</v>
      </c>
      <c r="S22" s="538">
        <f>1/D22</f>
        <v>10.507833759074531</v>
      </c>
      <c r="T22" s="453">
        <f>E22/$E$1</f>
        <v>1</v>
      </c>
      <c r="U22" s="545">
        <f>1/E22</f>
        <v>9.8864074597659339</v>
      </c>
      <c r="V22" s="533"/>
      <c r="W22" s="542"/>
      <c r="X22" s="454"/>
      <c r="Y22" s="539"/>
      <c r="Z22" s="441"/>
      <c r="AA22" s="441"/>
      <c r="AB22" s="454"/>
      <c r="AC22" s="452"/>
      <c r="AD22" s="452"/>
      <c r="AE22" s="441"/>
      <c r="AF22" s="441">
        <f>K22/K1</f>
        <v>0.93049972627372424</v>
      </c>
      <c r="AG22" s="539"/>
    </row>
    <row r="23" spans="1:33" x14ac:dyDescent="0.25">
      <c r="A23" s="615"/>
      <c r="B23" s="461" t="s">
        <v>525</v>
      </c>
      <c r="C23" s="477"/>
      <c r="D23" s="449"/>
      <c r="E23" s="449"/>
      <c r="F23" s="449">
        <v>4.3797642829840472E-2</v>
      </c>
      <c r="G23" s="449"/>
      <c r="H23" s="449"/>
      <c r="I23" s="449"/>
      <c r="J23" s="449"/>
      <c r="K23" s="449"/>
      <c r="L23" s="449"/>
      <c r="M23" s="9"/>
      <c r="N23" s="617"/>
      <c r="O23" s="483" t="s">
        <v>525</v>
      </c>
      <c r="P23" s="454"/>
      <c r="Q23" s="539"/>
      <c r="R23" s="441"/>
      <c r="S23" s="539"/>
      <c r="T23" s="441"/>
      <c r="U23" s="546"/>
      <c r="V23" s="534">
        <f>F23/F1</f>
        <v>0.83349513708837697</v>
      </c>
      <c r="W23" s="541">
        <f>1/F23</f>
        <v>22.832278985541066</v>
      </c>
      <c r="X23" s="454"/>
      <c r="Y23" s="539"/>
      <c r="Z23" s="441"/>
      <c r="AA23" s="441"/>
      <c r="AB23" s="454"/>
      <c r="AC23" s="454"/>
      <c r="AD23" s="454"/>
      <c r="AE23" s="441"/>
      <c r="AF23" s="441"/>
      <c r="AG23" s="539"/>
    </row>
    <row r="24" spans="1:33" x14ac:dyDescent="0.25">
      <c r="A24" s="615"/>
      <c r="B24" s="461" t="s">
        <v>570</v>
      </c>
      <c r="C24" s="477"/>
      <c r="D24" s="449"/>
      <c r="E24" s="449"/>
      <c r="F24" s="449"/>
      <c r="G24" s="449">
        <v>4.8379892473118219E-2</v>
      </c>
      <c r="H24" s="449">
        <v>7.5159999999999741E-2</v>
      </c>
      <c r="I24" s="449">
        <v>0</v>
      </c>
      <c r="J24" s="449"/>
      <c r="K24" s="449"/>
      <c r="L24" s="449"/>
      <c r="M24" s="9"/>
      <c r="N24" s="617"/>
      <c r="O24" s="483" t="s">
        <v>570</v>
      </c>
      <c r="P24" s="454"/>
      <c r="Q24" s="539"/>
      <c r="R24" s="441"/>
      <c r="S24" s="539"/>
      <c r="T24" s="441"/>
      <c r="U24" s="546"/>
      <c r="V24" s="534"/>
      <c r="W24" s="541"/>
      <c r="X24" s="454">
        <f t="shared" ref="X24:X25" si="19">G24/$G$1</f>
        <v>0.92611010824751949</v>
      </c>
      <c r="Y24" s="539">
        <f t="shared" ref="Y24:Y25" si="20">1/G24</f>
        <v>20.669744161908575</v>
      </c>
      <c r="Z24" s="441">
        <f t="shared" ref="Z24:Z25" si="21">H24/$H$1</f>
        <v>0.93743541010868858</v>
      </c>
      <c r="AA24" s="539">
        <f t="shared" ref="AA24:AA25" si="22">1/H24</f>
        <v>13.30494944119217</v>
      </c>
      <c r="AB24" s="441">
        <f t="shared" ref="AB24:AB25" si="23">I24/$I$1</f>
        <v>0</v>
      </c>
      <c r="AC24" s="541"/>
      <c r="AD24" s="454"/>
      <c r="AE24" s="441"/>
      <c r="AF24" s="441"/>
      <c r="AG24" s="539"/>
    </row>
    <row r="25" spans="1:33" x14ac:dyDescent="0.25">
      <c r="A25" s="615"/>
      <c r="B25" s="461" t="s">
        <v>571</v>
      </c>
      <c r="C25" s="477"/>
      <c r="D25" s="449"/>
      <c r="E25" s="449"/>
      <c r="F25" s="449"/>
      <c r="G25" s="449">
        <v>2.3874999999999962E-2</v>
      </c>
      <c r="H25" s="449">
        <v>2.31875E-2</v>
      </c>
      <c r="I25" s="449">
        <v>2.7005333333333312E-2</v>
      </c>
      <c r="J25" s="449"/>
      <c r="K25" s="449"/>
      <c r="L25" s="449">
        <v>0.16964285714285698</v>
      </c>
      <c r="M25" s="549">
        <f>1/L25</f>
        <v>5.894736842105269</v>
      </c>
      <c r="N25" s="617"/>
      <c r="O25" s="483" t="s">
        <v>571</v>
      </c>
      <c r="P25" s="454"/>
      <c r="Q25" s="539"/>
      <c r="R25" s="441"/>
      <c r="S25" s="539"/>
      <c r="T25" s="441"/>
      <c r="U25" s="546"/>
      <c r="V25" s="534"/>
      <c r="W25" s="541"/>
      <c r="X25" s="454">
        <f t="shared" si="19"/>
        <v>0.45702620870220356</v>
      </c>
      <c r="Y25" s="539">
        <f t="shared" si="20"/>
        <v>41.884816753926771</v>
      </c>
      <c r="Z25" s="441">
        <f t="shared" si="21"/>
        <v>0.2892068064382024</v>
      </c>
      <c r="AA25" s="539">
        <f t="shared" si="22"/>
        <v>43.126684636118597</v>
      </c>
      <c r="AB25" s="441">
        <f t="shared" si="23"/>
        <v>0.46591636357960148</v>
      </c>
      <c r="AC25" s="541">
        <f t="shared" ref="AC25" si="24">1/I25</f>
        <v>37.029722523945914</v>
      </c>
      <c r="AD25" s="454"/>
      <c r="AE25" s="441"/>
      <c r="AF25" s="441"/>
      <c r="AG25" s="539"/>
    </row>
    <row r="26" spans="1:33" x14ac:dyDescent="0.25">
      <c r="A26" s="615"/>
      <c r="B26" s="461" t="s">
        <v>544</v>
      </c>
      <c r="C26" s="477"/>
      <c r="D26" s="449"/>
      <c r="E26" s="449"/>
      <c r="F26" s="449"/>
      <c r="G26" s="449"/>
      <c r="H26" s="449"/>
      <c r="I26" s="449"/>
      <c r="J26" s="449"/>
      <c r="K26" s="449"/>
      <c r="L26" s="449"/>
      <c r="M26" s="9"/>
      <c r="N26" s="617"/>
      <c r="O26" s="483" t="s">
        <v>544</v>
      </c>
      <c r="P26" s="454"/>
      <c r="Q26" s="539"/>
      <c r="R26" s="441"/>
      <c r="S26" s="539"/>
      <c r="T26" s="441"/>
      <c r="U26" s="546"/>
      <c r="V26" s="534"/>
      <c r="W26" s="454"/>
      <c r="X26" s="454"/>
      <c r="Y26" s="539"/>
      <c r="Z26" s="441"/>
      <c r="AA26" s="539"/>
      <c r="AB26" s="441"/>
      <c r="AC26" s="541"/>
      <c r="AD26" s="454"/>
      <c r="AE26" s="541"/>
      <c r="AF26" s="454"/>
      <c r="AG26" s="541"/>
    </row>
    <row r="27" spans="1:33" x14ac:dyDescent="0.25">
      <c r="A27" s="615"/>
      <c r="B27" s="457" t="s">
        <v>0</v>
      </c>
      <c r="C27" s="478"/>
      <c r="D27" s="440"/>
      <c r="E27" s="440"/>
      <c r="F27" s="440"/>
      <c r="G27" s="440"/>
      <c r="H27" s="440"/>
      <c r="I27" s="440"/>
      <c r="J27" s="440"/>
      <c r="K27" s="440"/>
      <c r="L27" s="440"/>
      <c r="M27" s="9"/>
      <c r="N27" s="617"/>
      <c r="O27" s="483" t="s">
        <v>0</v>
      </c>
      <c r="P27" s="455"/>
      <c r="Q27" s="540"/>
      <c r="R27" s="442"/>
      <c r="S27" s="540"/>
      <c r="T27" s="442"/>
      <c r="U27" s="547"/>
      <c r="V27" s="535"/>
      <c r="W27" s="455"/>
      <c r="X27" s="455"/>
      <c r="Y27" s="540"/>
      <c r="Z27" s="442"/>
      <c r="AA27" s="442"/>
      <c r="AB27" s="455"/>
      <c r="AC27" s="455"/>
      <c r="AD27" s="455" t="e">
        <f>J27/$J$1</f>
        <v>#DIV/0!</v>
      </c>
      <c r="AE27" s="543" t="e">
        <f>1/J27</f>
        <v>#DIV/0!</v>
      </c>
      <c r="AF27" s="455">
        <f>K27/$K$1</f>
        <v>0</v>
      </c>
      <c r="AG27" s="543" t="e">
        <f>1/K27</f>
        <v>#DIV/0!</v>
      </c>
    </row>
    <row r="28" spans="1:33" x14ac:dyDescent="0.25">
      <c r="Q28" s="399"/>
      <c r="S28" s="399"/>
      <c r="U28" s="399"/>
      <c r="AD28" s="9"/>
      <c r="AE28" s="9"/>
      <c r="AF28" s="9"/>
      <c r="AG28" s="9"/>
    </row>
    <row r="29" spans="1:33" x14ac:dyDescent="0.25">
      <c r="Q29" s="399"/>
      <c r="S29" s="399"/>
      <c r="U29" s="399"/>
    </row>
    <row r="30" spans="1:33" x14ac:dyDescent="0.25">
      <c r="B30" s="443" t="s">
        <v>558</v>
      </c>
      <c r="H30" s="528"/>
      <c r="I30" s="528"/>
      <c r="Q30" s="399"/>
      <c r="S30" s="399"/>
      <c r="U30" s="399"/>
    </row>
    <row r="31" spans="1:33" x14ac:dyDescent="0.25">
      <c r="B31" s="444">
        <v>42724</v>
      </c>
      <c r="G31" s="528"/>
      <c r="H31" s="528"/>
      <c r="I31" s="528"/>
      <c r="Q31" s="399"/>
      <c r="S31" s="399"/>
    </row>
    <row r="32" spans="1:33" x14ac:dyDescent="0.25">
      <c r="G32" s="528"/>
      <c r="H32" s="528"/>
      <c r="I32" s="528"/>
      <c r="Q32" s="399"/>
    </row>
    <row r="33" spans="17:17" x14ac:dyDescent="0.25">
      <c r="Q33" s="399"/>
    </row>
    <row r="34" spans="17:17" x14ac:dyDescent="0.25">
      <c r="Q34" s="399"/>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21" t="s">
        <v>247</v>
      </c>
      <c r="C2" s="421" t="s">
        <v>174</v>
      </c>
      <c r="D2" s="421" t="s">
        <v>536</v>
      </c>
      <c r="E2" s="421" t="s">
        <v>1</v>
      </c>
      <c r="F2" s="421" t="s">
        <v>2</v>
      </c>
      <c r="G2" s="421" t="s">
        <v>543</v>
      </c>
      <c r="H2" s="421" t="s">
        <v>65</v>
      </c>
      <c r="I2" s="421" t="s">
        <v>453</v>
      </c>
      <c r="J2" s="421" t="s">
        <v>544</v>
      </c>
      <c r="K2" s="421" t="s">
        <v>0</v>
      </c>
      <c r="M2" s="492">
        <v>352</v>
      </c>
      <c r="N2" s="380" t="s">
        <v>641</v>
      </c>
      <c r="O2" s="48" t="s">
        <v>547</v>
      </c>
      <c r="P2" s="48" t="s">
        <v>642</v>
      </c>
      <c r="Q2" s="48" t="s">
        <v>547</v>
      </c>
      <c r="R2" s="48" t="s">
        <v>64</v>
      </c>
      <c r="S2" s="48" t="s">
        <v>549</v>
      </c>
      <c r="T2" s="48" t="s">
        <v>550</v>
      </c>
      <c r="U2" s="48" t="s">
        <v>549</v>
      </c>
      <c r="V2" s="48" t="s">
        <v>448</v>
      </c>
      <c r="W2" s="48" t="s">
        <v>643</v>
      </c>
      <c r="X2" s="48" t="s">
        <v>644</v>
      </c>
    </row>
    <row r="3" spans="2:25" x14ac:dyDescent="0.25">
      <c r="B3" t="s">
        <v>1</v>
      </c>
      <c r="C3" t="str">
        <f>Evaluacion!A3</f>
        <v>D. Gehmacher</v>
      </c>
      <c r="D3" s="530"/>
      <c r="E3" s="233">
        <f>Evaluacion!K3</f>
        <v>16.666666666666668</v>
      </c>
      <c r="F3" s="233">
        <f>Evaluacion!L3</f>
        <v>11.95</v>
      </c>
      <c r="G3" s="233">
        <f>Evaluacion!M3</f>
        <v>2.0699999999999985</v>
      </c>
      <c r="H3" s="233">
        <f>Evaluacion!N3</f>
        <v>2.149999999999999</v>
      </c>
      <c r="I3" s="233">
        <f>Evaluacion!O3</f>
        <v>0.95</v>
      </c>
      <c r="J3" s="233">
        <f>Evaluacion!P3</f>
        <v>0</v>
      </c>
      <c r="K3" s="233">
        <f>Evaluacion!Q3</f>
        <v>18.2</v>
      </c>
      <c r="M3" t="s">
        <v>1</v>
      </c>
      <c r="N3" s="493">
        <v>1</v>
      </c>
      <c r="O3" s="494">
        <f ca="1">Evaluacion!X3</f>
        <v>15.721407074755762</v>
      </c>
      <c r="P3" s="494">
        <f ca="1">Evaluacion!Y3</f>
        <v>23.169483486265392</v>
      </c>
      <c r="Q3" s="494">
        <f ca="1">Evaluacion!Z3</f>
        <v>15.721407074755762</v>
      </c>
      <c r="R3" s="494">
        <v>0</v>
      </c>
      <c r="S3" s="494">
        <v>0</v>
      </c>
      <c r="T3" s="494">
        <v>0</v>
      </c>
      <c r="U3" s="494">
        <v>0</v>
      </c>
      <c r="V3" s="494">
        <v>0</v>
      </c>
      <c r="W3" s="494">
        <f>Evaluacion!T3</f>
        <v>0.54600000000000004</v>
      </c>
      <c r="X3" s="494">
        <f>Evaluacion!U3</f>
        <v>1.024</v>
      </c>
      <c r="Y3" s="498"/>
    </row>
    <row r="4" spans="2:25" x14ac:dyDescent="0.25">
      <c r="B4" t="s">
        <v>637</v>
      </c>
      <c r="C4" t="str">
        <f>Evaluacion!A6</f>
        <v>B. Bartolache</v>
      </c>
      <c r="D4" s="530"/>
      <c r="E4" s="233">
        <f>Evaluacion!K6</f>
        <v>0</v>
      </c>
      <c r="F4" s="233">
        <f>Evaluacion!L6</f>
        <v>11.95</v>
      </c>
      <c r="G4" s="233">
        <f>Evaluacion!M6</f>
        <v>5.95</v>
      </c>
      <c r="H4" s="233">
        <f>Evaluacion!N6</f>
        <v>6.95</v>
      </c>
      <c r="I4" s="233">
        <f>Evaluacion!O6</f>
        <v>7.95</v>
      </c>
      <c r="J4" s="233">
        <f>Evaluacion!P6</f>
        <v>2.95</v>
      </c>
      <c r="K4" s="233">
        <f>Evaluacion!Q6</f>
        <v>16</v>
      </c>
      <c r="M4" t="s">
        <v>637</v>
      </c>
      <c r="N4" s="493">
        <v>1</v>
      </c>
      <c r="O4" s="494">
        <f>Evaluacion!AI6</f>
        <v>13.68884192896218</v>
      </c>
      <c r="P4" s="494">
        <f>Evaluacion!AJ6</f>
        <v>6.1599788680329803</v>
      </c>
      <c r="Q4" s="494">
        <v>0</v>
      </c>
      <c r="R4" s="494">
        <f>Evaluacion!AK6</f>
        <v>1.4828223936268308</v>
      </c>
      <c r="S4" s="494">
        <f>Evaluacion!AL6</f>
        <v>5.8089554937280017</v>
      </c>
      <c r="T4" s="494">
        <v>0</v>
      </c>
      <c r="U4" s="494">
        <v>0</v>
      </c>
      <c r="V4" s="494">
        <f>Evaluacion!R6</f>
        <v>3.8562499999999997</v>
      </c>
      <c r="W4" s="494">
        <f>Evaluacion!T6</f>
        <v>0.62750000000000006</v>
      </c>
      <c r="X4" s="494">
        <f>Evaluacion!U6</f>
        <v>0.95799999999999996</v>
      </c>
    </row>
    <row r="5" spans="2:25" x14ac:dyDescent="0.25">
      <c r="B5" t="s">
        <v>638</v>
      </c>
      <c r="C5" t="str">
        <f>Evaluacion!A15</f>
        <v>G. Piscaer</v>
      </c>
      <c r="D5" s="530"/>
      <c r="E5" s="233">
        <f>Evaluacion!K15</f>
        <v>0</v>
      </c>
      <c r="F5" s="233">
        <f>Evaluacion!L15</f>
        <v>4</v>
      </c>
      <c r="G5" s="233">
        <f>Evaluacion!M15</f>
        <v>8</v>
      </c>
      <c r="H5" s="233">
        <f>Evaluacion!N15</f>
        <v>3</v>
      </c>
      <c r="I5" s="233">
        <f>Evaluacion!O15</f>
        <v>2</v>
      </c>
      <c r="J5" s="233">
        <f>Evaluacion!P15</f>
        <v>8</v>
      </c>
      <c r="K5" s="233">
        <f>Evaluacion!Q15</f>
        <v>0</v>
      </c>
      <c r="M5" t="s">
        <v>638</v>
      </c>
      <c r="N5" s="493">
        <v>1</v>
      </c>
      <c r="O5" s="494">
        <f ca="1">(Evaluacion!AA15+Evaluacion!AC15)/2</f>
        <v>1.7024282642149084</v>
      </c>
      <c r="P5" s="494">
        <f ca="1">Evaluacion!AB15</f>
        <v>4.3990394424157842</v>
      </c>
      <c r="Q5" s="494">
        <f ca="1">O5</f>
        <v>1.7024282642149084</v>
      </c>
      <c r="R5" s="494">
        <f ca="1">Evaluacion!AD15</f>
        <v>1.9989713872949566</v>
      </c>
      <c r="S5" s="494">
        <v>0</v>
      </c>
      <c r="T5" s="494">
        <v>0</v>
      </c>
      <c r="U5" s="494">
        <v>0</v>
      </c>
      <c r="V5" s="494">
        <f>Evaluacion!R15</f>
        <v>1.375</v>
      </c>
      <c r="W5" s="494">
        <f>Evaluacion!T15</f>
        <v>0.4</v>
      </c>
      <c r="X5" s="494">
        <f>Evaluacion!U15</f>
        <v>0.16</v>
      </c>
    </row>
    <row r="6" spans="2:25" x14ac:dyDescent="0.25">
      <c r="B6" t="s">
        <v>637</v>
      </c>
      <c r="C6" t="str">
        <f>Evaluacion!A9</f>
        <v>S. Buschelman</v>
      </c>
      <c r="D6" s="530" t="str">
        <f>Evaluacion!D9</f>
        <v>TEC</v>
      </c>
      <c r="E6" s="233">
        <f>Evaluacion!K9</f>
        <v>0</v>
      </c>
      <c r="F6" s="233">
        <f>Evaluacion!L9</f>
        <v>9.3036666666666648</v>
      </c>
      <c r="G6" s="233">
        <f>Evaluacion!M9</f>
        <v>14</v>
      </c>
      <c r="H6" s="233">
        <f>Evaluacion!N9</f>
        <v>12.945</v>
      </c>
      <c r="I6" s="233">
        <f>Evaluacion!O9</f>
        <v>9.9499999999999993</v>
      </c>
      <c r="J6" s="233">
        <f>Evaluacion!P9</f>
        <v>3.95</v>
      </c>
      <c r="K6" s="233">
        <f>Evaluacion!Q9</f>
        <v>16</v>
      </c>
      <c r="M6" t="s">
        <v>637</v>
      </c>
      <c r="N6" s="493">
        <v>1</v>
      </c>
      <c r="O6" s="494">
        <v>0</v>
      </c>
      <c r="P6" s="494">
        <f>Evaluacion!AJ9</f>
        <v>5.1187024668980152</v>
      </c>
      <c r="Q6" s="494">
        <f>Evaluacion!AI9</f>
        <v>11.37489437088448</v>
      </c>
      <c r="R6" s="494">
        <f>Evaluacion!AK9</f>
        <v>2.8490782752946107</v>
      </c>
      <c r="S6" s="494">
        <v>0</v>
      </c>
      <c r="T6" s="494">
        <f>0</f>
        <v>0</v>
      </c>
      <c r="U6" s="494">
        <f>Evaluacion!AL9</f>
        <v>9.4111451848696461</v>
      </c>
      <c r="V6" s="494">
        <f>Evaluacion!R9</f>
        <v>4.0254583333333329</v>
      </c>
      <c r="W6" s="494">
        <f>Evaluacion!T9</f>
        <v>0.67749999999999999</v>
      </c>
      <c r="X6" s="494">
        <f>Evaluacion!U9</f>
        <v>0.8521466666666665</v>
      </c>
    </row>
    <row r="7" spans="2:25" x14ac:dyDescent="0.25">
      <c r="B7" t="s">
        <v>411</v>
      </c>
      <c r="C7" t="str">
        <f>Evaluacion!A13</f>
        <v>I. Vanags</v>
      </c>
      <c r="D7" s="530" t="str">
        <f>Evaluacion!D13</f>
        <v>CAB</v>
      </c>
      <c r="E7" s="233">
        <f>Evaluacion!K13</f>
        <v>0</v>
      </c>
      <c r="F7" s="233">
        <f>Evaluacion!L13</f>
        <v>4</v>
      </c>
      <c r="G7" s="233">
        <f>Evaluacion!M13</f>
        <v>7.2</v>
      </c>
      <c r="H7" s="233">
        <f>Evaluacion!N13</f>
        <v>3</v>
      </c>
      <c r="I7" s="233">
        <f>Evaluacion!O13</f>
        <v>4</v>
      </c>
      <c r="J7" s="233">
        <f>Evaluacion!P13</f>
        <v>7</v>
      </c>
      <c r="K7" s="233">
        <f>Evaluacion!Q13</f>
        <v>6</v>
      </c>
      <c r="M7" t="s">
        <v>411</v>
      </c>
      <c r="N7" s="493">
        <v>0.82499999999999996</v>
      </c>
      <c r="O7" s="494">
        <f ca="1">Evaluacion!BE13*N7</f>
        <v>0.85487106444760808</v>
      </c>
      <c r="P7" s="494">
        <f ca="1">Evaluacion!BF13*N7</f>
        <v>1.022320035834253</v>
      </c>
      <c r="Q7" s="494">
        <v>0</v>
      </c>
      <c r="R7" s="494">
        <f ca="1">Evaluacion!BG13*N7</f>
        <v>4.9139548033620022</v>
      </c>
      <c r="S7" s="494">
        <f ca="1">Evaluacion!BH13*N7</f>
        <v>2.1380664133811806</v>
      </c>
      <c r="T7" s="494">
        <f ca="1">Evaluacion!BI13*N7</f>
        <v>0.70798600182774407</v>
      </c>
      <c r="U7" s="494">
        <v>0</v>
      </c>
      <c r="V7" s="494">
        <v>0</v>
      </c>
      <c r="W7" s="494">
        <f>Evaluacion!T13*N7</f>
        <v>0.43724999999999997</v>
      </c>
      <c r="X7" s="494">
        <f>Evaluacion!U13*N7</f>
        <v>0.28049999999999997</v>
      </c>
    </row>
    <row r="8" spans="2:25" x14ac:dyDescent="0.25">
      <c r="B8" t="s">
        <v>639</v>
      </c>
      <c r="C8" t="str">
        <f>Evaluacion!A16</f>
        <v>M. Bondarewski</v>
      </c>
      <c r="D8" s="530"/>
      <c r="E8" s="233">
        <f>Evaluacion!K16</f>
        <v>0</v>
      </c>
      <c r="F8" s="233">
        <f>Evaluacion!L16</f>
        <v>2</v>
      </c>
      <c r="G8" s="233">
        <f>Evaluacion!M16</f>
        <v>8.1999999999999993</v>
      </c>
      <c r="H8" s="233">
        <f>Evaluacion!N16</f>
        <v>5</v>
      </c>
      <c r="I8" s="233">
        <f>Evaluacion!O16</f>
        <v>4</v>
      </c>
      <c r="J8" s="233">
        <f>Evaluacion!P16</f>
        <v>8</v>
      </c>
      <c r="K8" s="233">
        <f>Evaluacion!Q16</f>
        <v>6</v>
      </c>
      <c r="M8" t="s">
        <v>639</v>
      </c>
      <c r="N8" s="493">
        <v>0.82499999999999996</v>
      </c>
      <c r="O8" s="494">
        <f ca="1">((Evaluacion!AX16+Evaluacion!AZ16)/2)*N8</f>
        <v>0.27553199494348996</v>
      </c>
      <c r="P8" s="494">
        <f ca="1">Evaluacion!AY16*N8</f>
        <v>0.77751532964653247</v>
      </c>
      <c r="Q8" s="494">
        <f ca="1">O8</f>
        <v>0.27553199494348996</v>
      </c>
      <c r="R8" s="494">
        <f ca="1">Evaluacion!BA16*N8</f>
        <v>7.0587883241163292</v>
      </c>
      <c r="S8" s="494">
        <f ca="1">((Evaluacion!BB16+Evaluacion!BD16)/2)*N8</f>
        <v>0.68192133450107373</v>
      </c>
      <c r="T8" s="494">
        <f ca="1">Evaluacion!BC16*N8</f>
        <v>2.673177366588098</v>
      </c>
      <c r="U8" s="494">
        <f ca="1">S8</f>
        <v>0.68192133450107373</v>
      </c>
      <c r="V8" s="494">
        <v>0</v>
      </c>
      <c r="W8" s="494">
        <f>Evaluacion!T16*N8</f>
        <v>0.47849999999999993</v>
      </c>
      <c r="X8" s="494">
        <f>Evaluacion!U16*N8</f>
        <v>0.21449999999999994</v>
      </c>
    </row>
    <row r="9" spans="2:25" x14ac:dyDescent="0.25">
      <c r="B9" t="s">
        <v>411</v>
      </c>
      <c r="C9" t="str">
        <f>Evaluacion!A14</f>
        <v>I. Stone</v>
      </c>
      <c r="D9" s="530" t="str">
        <f>Evaluacion!D14</f>
        <v>RAP</v>
      </c>
      <c r="E9" s="233">
        <f>Evaluacion!K14</f>
        <v>0</v>
      </c>
      <c r="F9" s="233">
        <f>Evaluacion!L14</f>
        <v>3</v>
      </c>
      <c r="G9" s="233">
        <f>Evaluacion!M14</f>
        <v>5</v>
      </c>
      <c r="H9" s="233">
        <f>Evaluacion!N14</f>
        <v>2</v>
      </c>
      <c r="I9" s="233">
        <f>Evaluacion!O14</f>
        <v>6</v>
      </c>
      <c r="J9" s="233">
        <f>Evaluacion!P14</f>
        <v>9</v>
      </c>
      <c r="K9" s="233">
        <f>Evaluacion!Q14</f>
        <v>2</v>
      </c>
      <c r="M9" t="s">
        <v>411</v>
      </c>
      <c r="N9" s="493">
        <v>0.82499999999999996</v>
      </c>
      <c r="O9" s="494">
        <v>0</v>
      </c>
      <c r="P9" s="494">
        <f ca="1">Evaluacion!BF14*N9</f>
        <v>0.89854765063727027</v>
      </c>
      <c r="Q9" s="494">
        <f ca="1">Evaluacion!BE14*N9</f>
        <v>0.75137174234323467</v>
      </c>
      <c r="R9" s="494">
        <f ca="1">Evaluacion!BG14*N9</f>
        <v>3.7284214948604459</v>
      </c>
      <c r="S9" s="494">
        <v>0</v>
      </c>
      <c r="T9" s="494">
        <f ca="1">Evaluacion!BI14*N9</f>
        <v>1.2187450684010981</v>
      </c>
      <c r="U9" s="494">
        <f ca="1">Evaluacion!BH14*N9</f>
        <v>2.601502762691188</v>
      </c>
      <c r="V9" s="494">
        <v>0</v>
      </c>
      <c r="W9" s="494">
        <f>Evaluacion!T14*N9</f>
        <v>0.42074999999999996</v>
      </c>
      <c r="X9" s="494">
        <f>Evaluacion!U14*N9</f>
        <v>0.14850000000000002</v>
      </c>
    </row>
    <row r="10" spans="2:25" x14ac:dyDescent="0.25">
      <c r="B10" t="s">
        <v>640</v>
      </c>
      <c r="C10" t="str">
        <f>Evaluacion!A10</f>
        <v>C. Rojas</v>
      </c>
      <c r="D10" s="530" t="str">
        <f>Evaluacion!D10</f>
        <v>TEC</v>
      </c>
      <c r="E10" s="233">
        <f>Evaluacion!K10</f>
        <v>0</v>
      </c>
      <c r="F10" s="233">
        <f>Evaluacion!L10</f>
        <v>7.95</v>
      </c>
      <c r="G10" s="233">
        <f>Evaluacion!M10</f>
        <v>13.95</v>
      </c>
      <c r="H10" s="233">
        <f>Evaluacion!N10</f>
        <v>8.9499999999999993</v>
      </c>
      <c r="I10" s="233">
        <f>Evaluacion!O10</f>
        <v>9.9499999999999993</v>
      </c>
      <c r="J10" s="233">
        <f>Evaluacion!P10</f>
        <v>1.95</v>
      </c>
      <c r="K10" s="233">
        <f>Evaluacion!Q10</f>
        <v>16.95</v>
      </c>
      <c r="M10" t="s">
        <v>640</v>
      </c>
      <c r="N10" s="493">
        <v>1</v>
      </c>
      <c r="O10" s="494">
        <f>Evaluacion!BT10</f>
        <v>3.1224332636734009</v>
      </c>
      <c r="P10" s="494">
        <f>Evaluacion!BU10</f>
        <v>2.6826539307616546</v>
      </c>
      <c r="Q10" s="494">
        <v>0</v>
      </c>
      <c r="R10" s="494">
        <f>Evaluacion!BV10</f>
        <v>7.7324899118711183</v>
      </c>
      <c r="S10" s="494">
        <f>Evaluacion!BW10</f>
        <v>13.533887521655382</v>
      </c>
      <c r="T10" s="494">
        <f>Evaluacion!BX10</f>
        <v>1.5723324820580336</v>
      </c>
      <c r="U10" s="494">
        <v>0</v>
      </c>
      <c r="V10" s="494">
        <v>0</v>
      </c>
      <c r="W10" s="494">
        <f>Evaluacion!T10*N10</f>
        <v>0.60599999999999998</v>
      </c>
      <c r="X10" s="494">
        <f>Evaluacion!U10*N10</f>
        <v>0.82650000000000001</v>
      </c>
    </row>
    <row r="11" spans="2:25" x14ac:dyDescent="0.25">
      <c r="B11" t="s">
        <v>640</v>
      </c>
      <c r="C11" t="str">
        <f>Evaluacion!A11</f>
        <v>E. Gross</v>
      </c>
      <c r="D11" s="530">
        <f>Evaluacion!D11</f>
        <v>0</v>
      </c>
      <c r="E11" s="233">
        <f>Evaluacion!K11</f>
        <v>0</v>
      </c>
      <c r="F11" s="233">
        <f>Evaluacion!L11</f>
        <v>10.549999999999995</v>
      </c>
      <c r="G11" s="233">
        <f>Evaluacion!M11</f>
        <v>12.95</v>
      </c>
      <c r="H11" s="233">
        <f>Evaluacion!N11</f>
        <v>4.95</v>
      </c>
      <c r="I11" s="233">
        <f>Evaluacion!O11</f>
        <v>8.9499999999999993</v>
      </c>
      <c r="J11" s="233">
        <f>Evaluacion!P11</f>
        <v>0.95</v>
      </c>
      <c r="K11" s="233">
        <f>Evaluacion!Q11</f>
        <v>17.3</v>
      </c>
      <c r="M11" t="s">
        <v>640</v>
      </c>
      <c r="N11" s="493">
        <v>1</v>
      </c>
      <c r="O11" s="494">
        <v>0</v>
      </c>
      <c r="P11" s="494">
        <f>Evaluacion!BU11</f>
        <v>3.3036855948533406</v>
      </c>
      <c r="Q11" s="494">
        <f>Evaluacion!BT11</f>
        <v>3.8452733972883144</v>
      </c>
      <c r="R11" s="494">
        <f>Evaluacion!BV11</f>
        <v>7.2525612526978298</v>
      </c>
      <c r="S11" s="494">
        <v>0</v>
      </c>
      <c r="T11" s="494">
        <f>Evaluacion!BX11</f>
        <v>1.4447031023657964</v>
      </c>
      <c r="U11" s="494">
        <f>Evaluacion!BW11</f>
        <v>9.7731821274487825</v>
      </c>
      <c r="V11" s="494">
        <v>0</v>
      </c>
      <c r="W11" s="494">
        <f>Evaluacion!T11*N11</f>
        <v>0.5665</v>
      </c>
      <c r="X11" s="494">
        <f>Evaluacion!U11*N11</f>
        <v>0.94099999999999984</v>
      </c>
    </row>
    <row r="12" spans="2:25" x14ac:dyDescent="0.25">
      <c r="B12" t="s">
        <v>66</v>
      </c>
      <c r="C12" t="str">
        <f>Evaluacion!A19</f>
        <v>K. Nelson</v>
      </c>
      <c r="D12" s="530">
        <f>Evaluacion!D19</f>
        <v>0</v>
      </c>
      <c r="E12" s="233">
        <f>Evaluacion!K19</f>
        <v>0</v>
      </c>
      <c r="F12" s="233">
        <f>Evaluacion!L19</f>
        <v>5</v>
      </c>
      <c r="G12" s="233">
        <f>Evaluacion!M19</f>
        <v>6.0333333333333332</v>
      </c>
      <c r="H12" s="233">
        <f>Evaluacion!N19</f>
        <v>2</v>
      </c>
      <c r="I12" s="233">
        <f>Evaluacion!O19</f>
        <v>3</v>
      </c>
      <c r="J12" s="233">
        <f>Evaluacion!P19</f>
        <v>9</v>
      </c>
      <c r="K12" s="233">
        <f>Evaluacion!Q19</f>
        <v>1</v>
      </c>
      <c r="M12" t="s">
        <v>66</v>
      </c>
      <c r="N12" s="493">
        <v>0.94499999999999995</v>
      </c>
      <c r="O12" s="494">
        <v>0</v>
      </c>
      <c r="P12" s="494">
        <v>0</v>
      </c>
      <c r="Q12" s="494">
        <v>0</v>
      </c>
      <c r="R12" s="494">
        <f ca="1">N12*Evaluacion!CK19</f>
        <v>1.5307039250657424</v>
      </c>
      <c r="S12" s="494">
        <f ca="1">N12*Evaluacion!CH19</f>
        <v>3.5138248718673011</v>
      </c>
      <c r="T12" s="494">
        <f ca="1">N12*Evaluacion!CI19</f>
        <v>10.127896193660005</v>
      </c>
      <c r="U12" s="494">
        <f ca="1">S12</f>
        <v>3.5138248718673011</v>
      </c>
      <c r="V12" s="494">
        <v>0</v>
      </c>
      <c r="W12" s="494">
        <f>Evaluacion!T19*N12</f>
        <v>0.45359999999999995</v>
      </c>
      <c r="X12" s="494">
        <f>Evaluacion!U19*N12</f>
        <v>0.21734999999999996</v>
      </c>
    </row>
    <row r="13" spans="2:25" x14ac:dyDescent="0.25">
      <c r="B13" t="s">
        <v>468</v>
      </c>
      <c r="C13" t="str">
        <f>Evaluacion!A20</f>
        <v>N. Janbu</v>
      </c>
      <c r="D13" s="530" t="str">
        <f>Evaluacion!D20</f>
        <v>RAP</v>
      </c>
      <c r="E13" s="233">
        <f>Evaluacion!K20</f>
        <v>0</v>
      </c>
      <c r="F13" s="233">
        <f>Evaluacion!L20</f>
        <v>3</v>
      </c>
      <c r="G13" s="233">
        <f>Evaluacion!M20</f>
        <v>7.0285714285714285</v>
      </c>
      <c r="H13" s="233">
        <f>Evaluacion!N20</f>
        <v>1</v>
      </c>
      <c r="I13" s="233">
        <f>Evaluacion!O20</f>
        <v>1</v>
      </c>
      <c r="J13" s="233">
        <f>Evaluacion!P20</f>
        <v>8</v>
      </c>
      <c r="K13" s="233">
        <f>Evaluacion!Q20</f>
        <v>3</v>
      </c>
      <c r="M13" t="s">
        <v>468</v>
      </c>
      <c r="N13" s="493">
        <f>1-0.055</f>
        <v>0.94499999999999995</v>
      </c>
      <c r="O13" s="494">
        <v>0</v>
      </c>
      <c r="P13" s="494">
        <v>0</v>
      </c>
      <c r="Q13" s="494">
        <v>0</v>
      </c>
      <c r="R13" s="494">
        <f ca="1">N13*Evaluacion!CD20</f>
        <v>2.5831240670142521</v>
      </c>
      <c r="S13" s="494">
        <f ca="1">N13*Evaluacion!CE20</f>
        <v>1.1867651401833137</v>
      </c>
      <c r="T13" s="494">
        <f ca="1">N13*Evaluacion!CF20</f>
        <v>4.6057567425075066</v>
      </c>
      <c r="U13" s="494">
        <f ca="1">S13</f>
        <v>1.1867651401833137</v>
      </c>
      <c r="V13" s="494">
        <v>0</v>
      </c>
      <c r="W13" s="494">
        <f>Evaluacion!T20*N13</f>
        <v>0.46305000000000002</v>
      </c>
      <c r="X13" s="494">
        <f>Evaluacion!U20*N13</f>
        <v>0.19845000000000002</v>
      </c>
    </row>
    <row r="14" spans="2:25" x14ac:dyDescent="0.25">
      <c r="M14" s="231"/>
      <c r="N14" s="380"/>
      <c r="O14" s="495">
        <f ca="1">SUM(O3:O13)</f>
        <v>35.365513590997352</v>
      </c>
      <c r="P14" s="495">
        <f t="shared" ref="P14:X14" ca="1" si="0">SUM(P3:P13)</f>
        <v>47.531926805345222</v>
      </c>
      <c r="Q14" s="495">
        <f t="shared" ca="1" si="0"/>
        <v>33.670906844430185</v>
      </c>
      <c r="R14" s="495">
        <f t="shared" ca="1" si="0"/>
        <v>41.130915835204121</v>
      </c>
      <c r="S14" s="495">
        <f t="shared" ca="1" si="0"/>
        <v>26.863420775316253</v>
      </c>
      <c r="T14" s="495">
        <f t="shared" ca="1" si="0"/>
        <v>22.350596957408282</v>
      </c>
      <c r="U14" s="495">
        <f t="shared" ca="1" si="0"/>
        <v>27.168341421561305</v>
      </c>
      <c r="V14" s="548">
        <f t="shared" si="0"/>
        <v>9.2567083333333322</v>
      </c>
      <c r="W14" s="548">
        <f t="shared" si="0"/>
        <v>5.6766499999999995</v>
      </c>
      <c r="X14" s="548">
        <f t="shared" si="0"/>
        <v>5.820946666666666</v>
      </c>
    </row>
    <row r="15" spans="2:25" ht="15.75" x14ac:dyDescent="0.25">
      <c r="M15" s="231"/>
      <c r="N15" s="231" t="s">
        <v>645</v>
      </c>
      <c r="O15" s="497">
        <f ca="1">O14*0.34</f>
        <v>12.024274620939101</v>
      </c>
      <c r="P15" s="497">
        <f ca="1">P14*0.245</f>
        <v>11.645322067309579</v>
      </c>
      <c r="Q15" s="497">
        <f ca="1">Q14*0.34</f>
        <v>11.448108327106263</v>
      </c>
      <c r="R15" s="497">
        <f ca="1">R14*0.125</f>
        <v>5.1413644794005151</v>
      </c>
      <c r="S15" s="497">
        <f ca="1">S14*0.25</f>
        <v>6.7158551938290634</v>
      </c>
      <c r="T15" s="497">
        <f ca="1">T14*0.19</f>
        <v>4.2466134219075737</v>
      </c>
      <c r="U15" s="497">
        <f ca="1">U14*0.25</f>
        <v>6.7920853553903262</v>
      </c>
    </row>
    <row r="16" spans="2:25" ht="15.75" x14ac:dyDescent="0.25">
      <c r="M16" s="231"/>
      <c r="N16" s="231" t="s">
        <v>646</v>
      </c>
      <c r="O16" s="507">
        <f ca="1">O15*1.2/1.05</f>
        <v>13.742028138216115</v>
      </c>
      <c r="P16" s="507">
        <f t="shared" ref="P16:Q16" ca="1" si="1">P15*1.2/1.05</f>
        <v>13.30893950549666</v>
      </c>
      <c r="Q16" s="507">
        <f t="shared" ca="1" si="1"/>
        <v>13.08355237383573</v>
      </c>
      <c r="R16" s="507">
        <f ca="1">R15</f>
        <v>5.1413644794005151</v>
      </c>
      <c r="S16" s="507">
        <f ca="1">S15*0.925/1.05</f>
        <v>5.9163486231351268</v>
      </c>
      <c r="T16" s="507">
        <f t="shared" ref="T16:U16" ca="1" si="2">T15*0.925/1.05</f>
        <v>3.741064205013815</v>
      </c>
      <c r="U16" s="507">
        <f t="shared" ca="1" si="2"/>
        <v>5.9835037654629062</v>
      </c>
    </row>
    <row r="17" spans="13:21" ht="15.75" x14ac:dyDescent="0.25">
      <c r="M17" s="231"/>
      <c r="N17" s="231" t="s">
        <v>647</v>
      </c>
      <c r="O17" s="507">
        <f ca="1">O15*0.925/1.05</f>
        <v>10.592813356541589</v>
      </c>
      <c r="P17" s="507">
        <f t="shared" ref="P17:Q17" ca="1" si="3">P15*0.925/1.05</f>
        <v>10.258974202153675</v>
      </c>
      <c r="Q17" s="507">
        <f t="shared" ca="1" si="3"/>
        <v>10.085238288165042</v>
      </c>
      <c r="R17" s="507">
        <f ca="1">R16</f>
        <v>5.1413644794005151</v>
      </c>
      <c r="S17" s="507">
        <f ca="1">S15*1.135/1.05</f>
        <v>7.2595196619009394</v>
      </c>
      <c r="T17" s="507">
        <f t="shared" ref="T17:U17" ca="1" si="4">T15*1.135/1.05</f>
        <v>4.5903868893953303</v>
      </c>
      <c r="U17" s="507">
        <f t="shared" ca="1" si="4"/>
        <v>7.3419208365409716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21" t="s">
        <v>247</v>
      </c>
      <c r="B1" s="421" t="s">
        <v>174</v>
      </c>
      <c r="C1" s="421" t="s">
        <v>536</v>
      </c>
      <c r="D1" s="421" t="s">
        <v>1</v>
      </c>
      <c r="E1" s="421" t="s">
        <v>2</v>
      </c>
      <c r="F1" s="421" t="s">
        <v>543</v>
      </c>
      <c r="G1" s="421" t="s">
        <v>65</v>
      </c>
      <c r="H1" s="421" t="s">
        <v>453</v>
      </c>
      <c r="I1" s="421" t="s">
        <v>544</v>
      </c>
      <c r="J1" s="421" t="s">
        <v>0</v>
      </c>
      <c r="L1" s="492">
        <v>541</v>
      </c>
      <c r="M1" s="380" t="s">
        <v>641</v>
      </c>
      <c r="N1" s="48" t="s">
        <v>547</v>
      </c>
      <c r="O1" s="48" t="s">
        <v>642</v>
      </c>
      <c r="P1" s="48" t="s">
        <v>547</v>
      </c>
      <c r="Q1" s="48" t="s">
        <v>64</v>
      </c>
      <c r="R1" s="48" t="s">
        <v>549</v>
      </c>
      <c r="S1" s="48" t="s">
        <v>550</v>
      </c>
      <c r="T1" s="48" t="s">
        <v>549</v>
      </c>
      <c r="U1" s="48" t="s">
        <v>448</v>
      </c>
      <c r="V1" s="48" t="s">
        <v>643</v>
      </c>
      <c r="W1" s="48" t="s">
        <v>644</v>
      </c>
    </row>
    <row r="2" spans="1:27" x14ac:dyDescent="0.25">
      <c r="A2" t="s">
        <v>1</v>
      </c>
      <c r="B2" t="str">
        <f>Evaluacion!A3</f>
        <v>D. Gehmacher</v>
      </c>
      <c r="C2">
        <f>Evaluacion!D3</f>
        <v>0</v>
      </c>
      <c r="D2" s="233">
        <f>Evaluacion!K3</f>
        <v>16.666666666666668</v>
      </c>
      <c r="E2" s="233">
        <f>Evaluacion!L3</f>
        <v>11.95</v>
      </c>
      <c r="F2" s="233">
        <f>Evaluacion!M3</f>
        <v>2.0699999999999985</v>
      </c>
      <c r="G2" s="233">
        <f>Evaluacion!N3</f>
        <v>2.149999999999999</v>
      </c>
      <c r="H2" s="233">
        <f>Evaluacion!O3</f>
        <v>0.95</v>
      </c>
      <c r="I2" s="233">
        <f>Evaluacion!P3</f>
        <v>0</v>
      </c>
      <c r="J2" s="233">
        <f>Evaluacion!Q3</f>
        <v>18.2</v>
      </c>
      <c r="L2" t="str">
        <f>A2</f>
        <v>POR</v>
      </c>
      <c r="M2" s="493">
        <v>1</v>
      </c>
      <c r="N2" s="494">
        <f ca="1">Evaluacion!X3</f>
        <v>15.721407074755762</v>
      </c>
      <c r="O2" s="494">
        <f ca="1">Evaluacion!Y3</f>
        <v>23.169483486265392</v>
      </c>
      <c r="P2" s="494">
        <f ca="1">Evaluacion!Z3</f>
        <v>15.721407074755762</v>
      </c>
      <c r="Q2" s="494">
        <v>0</v>
      </c>
      <c r="R2" s="494">
        <v>0</v>
      </c>
      <c r="S2" s="494">
        <v>0</v>
      </c>
      <c r="T2" s="494">
        <v>0</v>
      </c>
      <c r="U2" s="494">
        <v>0</v>
      </c>
      <c r="V2" s="494">
        <f>Evaluacion!T3</f>
        <v>0.54600000000000004</v>
      </c>
      <c r="W2" s="494">
        <f>Evaluacion!U3</f>
        <v>1.024</v>
      </c>
      <c r="AA2" s="499"/>
    </row>
    <row r="3" spans="1:27" x14ac:dyDescent="0.25">
      <c r="A3" t="s">
        <v>637</v>
      </c>
      <c r="B3" t="str">
        <f>Evaluacion!A9</f>
        <v>S. Buschelman</v>
      </c>
      <c r="C3" t="str">
        <f>Evaluacion!D9</f>
        <v>TEC</v>
      </c>
      <c r="D3" s="233">
        <f>Evaluacion!K9</f>
        <v>0</v>
      </c>
      <c r="E3" s="233">
        <f>Evaluacion!L9</f>
        <v>9.3036666666666648</v>
      </c>
      <c r="F3" s="233">
        <f>Evaluacion!M9</f>
        <v>14</v>
      </c>
      <c r="G3" s="233">
        <f>Evaluacion!N9</f>
        <v>12.945</v>
      </c>
      <c r="H3" s="233">
        <f>Evaluacion!O9</f>
        <v>9.9499999999999993</v>
      </c>
      <c r="I3" s="233">
        <f>Evaluacion!P9</f>
        <v>3.95</v>
      </c>
      <c r="J3" s="233">
        <f>Evaluacion!Q9</f>
        <v>16</v>
      </c>
      <c r="L3" t="str">
        <f t="shared" ref="L3:L12" si="0">A3</f>
        <v>LATN</v>
      </c>
      <c r="M3" s="493">
        <v>1</v>
      </c>
      <c r="N3" s="494">
        <f>Evaluacion!AI9</f>
        <v>11.37489437088448</v>
      </c>
      <c r="O3" s="494">
        <f>Evaluacion!AJ9</f>
        <v>5.1187024668980152</v>
      </c>
      <c r="P3" s="494">
        <v>0</v>
      </c>
      <c r="Q3" s="494">
        <f>Evaluacion!AK9</f>
        <v>2.8490782752946107</v>
      </c>
      <c r="R3" s="494">
        <f>Evaluacion!AL9</f>
        <v>9.4111451848696461</v>
      </c>
      <c r="S3" s="494">
        <v>0</v>
      </c>
      <c r="T3" s="494">
        <v>0</v>
      </c>
      <c r="U3" s="494">
        <f>Evaluacion!R9</f>
        <v>4.0254583333333329</v>
      </c>
      <c r="V3" s="494">
        <f>Evaluacion!T9</f>
        <v>0.67749999999999999</v>
      </c>
      <c r="W3" s="494">
        <f>Evaluacion!U9</f>
        <v>0.8521466666666665</v>
      </c>
      <c r="AA3" s="500"/>
    </row>
    <row r="4" spans="1:27" x14ac:dyDescent="0.25">
      <c r="A4" t="s">
        <v>649</v>
      </c>
      <c r="B4" t="str">
        <f>Evaluacion!A7</f>
        <v>F. Lasprilla</v>
      </c>
      <c r="C4">
        <f>Evaluacion!D7</f>
        <v>0</v>
      </c>
      <c r="D4" s="233">
        <f>Evaluacion!K7</f>
        <v>0</v>
      </c>
      <c r="E4" s="233">
        <f>Evaluacion!L7</f>
        <v>9.6046666666666667</v>
      </c>
      <c r="F4" s="233">
        <f>Evaluacion!M7</f>
        <v>7.7607222222222223</v>
      </c>
      <c r="G4" s="233">
        <f>Evaluacion!N7</f>
        <v>6.1599999999999984</v>
      </c>
      <c r="H4" s="233">
        <f>Evaluacion!O7</f>
        <v>8.8633333333333315</v>
      </c>
      <c r="I4" s="233">
        <f>Evaluacion!P7</f>
        <v>2.95</v>
      </c>
      <c r="J4" s="233">
        <f>Evaluacion!Q7</f>
        <v>13.33611111111111</v>
      </c>
      <c r="L4" t="str">
        <f t="shared" si="0"/>
        <v>DCHL</v>
      </c>
      <c r="M4" s="493">
        <v>0.9</v>
      </c>
      <c r="N4" s="494">
        <f>M4*Evaluacion!AM7</f>
        <v>8.2588701291456008</v>
      </c>
      <c r="O4" s="494">
        <f>M4*Evaluacion!AN7</f>
        <v>7.755013330815764</v>
      </c>
      <c r="P4" s="494">
        <v>0</v>
      </c>
      <c r="Q4" s="494">
        <f>M4*Evaluacion!AO7</f>
        <v>2.3900553461104979</v>
      </c>
      <c r="R4" s="494">
        <f>M4*Evaluacion!AP7</f>
        <v>1.6477872938911577</v>
      </c>
      <c r="S4" s="494">
        <v>0</v>
      </c>
      <c r="T4" s="494">
        <v>0</v>
      </c>
      <c r="U4" s="494">
        <f>Evaluacion!R7</f>
        <v>3.7914166666666662</v>
      </c>
      <c r="V4" s="494">
        <f>Evaluacion!T7*M4</f>
        <v>0.4928249999999999</v>
      </c>
      <c r="W4" s="494">
        <f>Evaluacion!U7*M4</f>
        <v>0.70584299999999989</v>
      </c>
      <c r="AA4" s="500"/>
    </row>
    <row r="5" spans="1:27" x14ac:dyDescent="0.25">
      <c r="A5" t="s">
        <v>648</v>
      </c>
      <c r="B5" t="str">
        <f>Evaluacion!A6</f>
        <v>B. Bartolache</v>
      </c>
      <c r="C5">
        <f>Evaluacion!D6</f>
        <v>0</v>
      </c>
      <c r="D5" s="233">
        <f>Evaluacion!K6</f>
        <v>0</v>
      </c>
      <c r="E5" s="233">
        <f>Evaluacion!L6</f>
        <v>11.95</v>
      </c>
      <c r="F5" s="233">
        <f>Evaluacion!M6</f>
        <v>5.95</v>
      </c>
      <c r="G5" s="233">
        <f>Evaluacion!N6</f>
        <v>6.95</v>
      </c>
      <c r="H5" s="233">
        <f>Evaluacion!O6</f>
        <v>7.95</v>
      </c>
      <c r="I5" s="233">
        <f>Evaluacion!P6</f>
        <v>2.95</v>
      </c>
      <c r="J5" s="233">
        <f>Evaluacion!Q6</f>
        <v>16</v>
      </c>
      <c r="L5" t="str">
        <f t="shared" si="0"/>
        <v>DCN</v>
      </c>
      <c r="M5" s="493">
        <v>0.9</v>
      </c>
      <c r="N5" s="494">
        <f>M5*(Evaluacion!AA6+Evaluacion!AC6)/2</f>
        <v>5.1824170041929651</v>
      </c>
      <c r="O5" s="494">
        <f>M5*Evaluacion!AB6</f>
        <v>13.391258408767349</v>
      </c>
      <c r="P5" s="494">
        <f>N5</f>
        <v>5.1824170041929651</v>
      </c>
      <c r="Q5" s="494">
        <f>M5*Evaluacion!AD6</f>
        <v>1.9019195012866297</v>
      </c>
      <c r="R5" s="494">
        <v>0</v>
      </c>
      <c r="S5" s="494">
        <f>0</f>
        <v>0</v>
      </c>
      <c r="T5" s="494">
        <v>0</v>
      </c>
      <c r="U5" s="494">
        <f>Evaluacion!R6</f>
        <v>3.8562499999999997</v>
      </c>
      <c r="V5" s="494">
        <f>Evaluacion!T6*M5</f>
        <v>0.56475000000000009</v>
      </c>
      <c r="W5" s="494">
        <f>Evaluacion!U6*M5</f>
        <v>0.86219999999999997</v>
      </c>
      <c r="AA5" s="500"/>
    </row>
    <row r="6" spans="1:27" x14ac:dyDescent="0.25">
      <c r="A6" t="s">
        <v>649</v>
      </c>
      <c r="B6" t="str">
        <f>Evaluacion!A5</f>
        <v>E. Toney</v>
      </c>
      <c r="C6">
        <f>Evaluacion!D5</f>
        <v>0</v>
      </c>
      <c r="D6" s="233">
        <f>Evaluacion!K5</f>
        <v>0</v>
      </c>
      <c r="E6" s="233">
        <f>Evaluacion!L5</f>
        <v>11.95</v>
      </c>
      <c r="F6" s="233">
        <f>Evaluacion!M5</f>
        <v>12.95</v>
      </c>
      <c r="G6" s="233">
        <f>Evaluacion!N5</f>
        <v>8.9499999999999993</v>
      </c>
      <c r="H6" s="233">
        <f>Evaluacion!O5</f>
        <v>8.9499999999999993</v>
      </c>
      <c r="I6" s="233">
        <f>Evaluacion!P5</f>
        <v>1.95</v>
      </c>
      <c r="J6" s="233">
        <f>Evaluacion!Q5</f>
        <v>17.177777777777774</v>
      </c>
      <c r="L6" t="str">
        <f t="shared" si="0"/>
        <v>DCHL</v>
      </c>
      <c r="M6" s="493">
        <v>0.9</v>
      </c>
      <c r="N6" s="494">
        <v>0</v>
      </c>
      <c r="O6" s="494">
        <f>M6*Evaluacion!AN5</f>
        <v>9.6368195203357683</v>
      </c>
      <c r="P6" s="494">
        <f>M6*Evaluacion!AM5</f>
        <v>10.262940562617469</v>
      </c>
      <c r="Q6" s="494">
        <f>M6*Evaluacion!AO5</f>
        <v>3.0588266100227024</v>
      </c>
      <c r="R6" s="494">
        <v>0</v>
      </c>
      <c r="S6" s="494">
        <v>0</v>
      </c>
      <c r="T6" s="494">
        <f>M6*Evaluacion!AP5</f>
        <v>1.8869621777637025</v>
      </c>
      <c r="U6" s="494">
        <f>Evaluacion!R5</f>
        <v>4.1062499999999993</v>
      </c>
      <c r="V6" s="494">
        <f>Evaluacion!T5*M6</f>
        <v>0.55154999999999987</v>
      </c>
      <c r="W6" s="494">
        <f>Evaluacion!U5*M6</f>
        <v>0.89399999999999991</v>
      </c>
      <c r="AA6" s="500"/>
    </row>
    <row r="7" spans="1:27" x14ac:dyDescent="0.25">
      <c r="A7" t="s">
        <v>637</v>
      </c>
      <c r="B7" t="str">
        <f>Evaluacion!A10</f>
        <v>C. Rojas</v>
      </c>
      <c r="C7" t="str">
        <f>Evaluacion!D10</f>
        <v>TEC</v>
      </c>
      <c r="D7" s="233">
        <f>Evaluacion!K10</f>
        <v>0</v>
      </c>
      <c r="E7" s="233">
        <f>Evaluacion!L10</f>
        <v>7.95</v>
      </c>
      <c r="F7" s="233">
        <f>Evaluacion!M10</f>
        <v>13.95</v>
      </c>
      <c r="G7" s="233">
        <f>Evaluacion!N10</f>
        <v>8.9499999999999993</v>
      </c>
      <c r="H7" s="233">
        <f>Evaluacion!O10</f>
        <v>9.9499999999999993</v>
      </c>
      <c r="I7" s="233">
        <f>Evaluacion!P10</f>
        <v>1.95</v>
      </c>
      <c r="J7" s="233">
        <f>Evaluacion!Q10</f>
        <v>16.95</v>
      </c>
      <c r="L7" t="str">
        <f t="shared" si="0"/>
        <v>LATN</v>
      </c>
      <c r="M7" s="493">
        <v>1</v>
      </c>
      <c r="N7" s="494">
        <v>0</v>
      </c>
      <c r="O7" s="494">
        <f>Evaluacion!AJ10</f>
        <v>4.5517160956365776</v>
      </c>
      <c r="P7" s="494">
        <f>Evaluacion!AI10</f>
        <v>10.114924656970173</v>
      </c>
      <c r="Q7" s="494">
        <f>Evaluacion!AK10</f>
        <v>2.8380787149065423</v>
      </c>
      <c r="R7" s="494">
        <v>0</v>
      </c>
      <c r="S7" s="494">
        <v>0</v>
      </c>
      <c r="T7" s="494">
        <f>Evaluacion!AL10</f>
        <v>7.0527561938026757</v>
      </c>
      <c r="U7" s="494">
        <f>Evaluacion!R10</f>
        <v>3.8562499999999997</v>
      </c>
      <c r="V7" s="494">
        <f>Evaluacion!T10</f>
        <v>0.60599999999999998</v>
      </c>
      <c r="W7" s="494">
        <f>Evaluacion!U10</f>
        <v>0.82650000000000001</v>
      </c>
      <c r="AA7" s="500"/>
    </row>
    <row r="8" spans="1:27" x14ac:dyDescent="0.25">
      <c r="A8" t="s">
        <v>411</v>
      </c>
      <c r="B8" t="str">
        <f>Evaluacion!A14</f>
        <v>I. Stone</v>
      </c>
      <c r="C8" t="str">
        <f>Evaluacion!D14</f>
        <v>RAP</v>
      </c>
      <c r="D8" s="233">
        <f>Evaluacion!K14</f>
        <v>0</v>
      </c>
      <c r="E8" s="233">
        <f>Evaluacion!L14</f>
        <v>3</v>
      </c>
      <c r="F8" s="233">
        <f>Evaluacion!M14</f>
        <v>5</v>
      </c>
      <c r="G8" s="233">
        <f>Evaluacion!N14</f>
        <v>2</v>
      </c>
      <c r="H8" s="233">
        <f>Evaluacion!O14</f>
        <v>6</v>
      </c>
      <c r="I8" s="233">
        <f>Evaluacion!P14</f>
        <v>9</v>
      </c>
      <c r="J8" s="233">
        <f>Evaluacion!Q14</f>
        <v>2</v>
      </c>
      <c r="L8" t="str">
        <f t="shared" si="0"/>
        <v>IHL</v>
      </c>
      <c r="M8" s="493">
        <f>1-0.065</f>
        <v>0.93500000000000005</v>
      </c>
      <c r="N8" s="494">
        <f ca="1">M8*Evaluacion!BE14</f>
        <v>0.85155464132233272</v>
      </c>
      <c r="O8" s="494">
        <f ca="1">M8*Evaluacion!BF14</f>
        <v>1.0183540040555732</v>
      </c>
      <c r="P8" s="494">
        <v>0</v>
      </c>
      <c r="Q8" s="494">
        <f ca="1">Evaluacion!BG14*M8</f>
        <v>4.2255443608418393</v>
      </c>
      <c r="R8" s="494">
        <f ca="1">Evaluacion!BH14*M8</f>
        <v>2.9483697977166798</v>
      </c>
      <c r="S8" s="494">
        <f ca="1">Evaluacion!BI14*M8</f>
        <v>1.3812444108545778</v>
      </c>
      <c r="T8" s="494">
        <v>0</v>
      </c>
      <c r="U8" s="494">
        <v>0</v>
      </c>
      <c r="V8" s="494">
        <f>Evaluacion!T14*M8</f>
        <v>0.47685000000000005</v>
      </c>
      <c r="W8" s="494">
        <f>Evaluacion!U14*M8</f>
        <v>0.16830000000000003</v>
      </c>
      <c r="AA8" s="500"/>
    </row>
    <row r="9" spans="1:27" x14ac:dyDescent="0.25">
      <c r="A9" t="s">
        <v>411</v>
      </c>
      <c r="B9" t="str">
        <f>Evaluacion!A13</f>
        <v>I. Vanags</v>
      </c>
      <c r="C9" t="str">
        <f>Evaluacion!D13</f>
        <v>CAB</v>
      </c>
      <c r="D9" s="233">
        <f>Evaluacion!K13</f>
        <v>0</v>
      </c>
      <c r="E9" s="233">
        <f>Evaluacion!L13</f>
        <v>4</v>
      </c>
      <c r="F9" s="233">
        <f>Evaluacion!M13</f>
        <v>7.2</v>
      </c>
      <c r="G9" s="233">
        <f>Evaluacion!N13</f>
        <v>3</v>
      </c>
      <c r="H9" s="233">
        <f>Evaluacion!O13</f>
        <v>4</v>
      </c>
      <c r="I9" s="233">
        <f>Evaluacion!P13</f>
        <v>7</v>
      </c>
      <c r="J9" s="233">
        <f>Evaluacion!Q13</f>
        <v>6</v>
      </c>
      <c r="L9" t="str">
        <f t="shared" si="0"/>
        <v>IHL</v>
      </c>
      <c r="M9" s="493">
        <f>1-0.065</f>
        <v>0.93500000000000005</v>
      </c>
      <c r="N9" s="494">
        <v>0</v>
      </c>
      <c r="O9" s="494">
        <f ca="1">M9*Evaluacion!BF13</f>
        <v>1.1586293739454867</v>
      </c>
      <c r="P9" s="494">
        <f ca="1">M9*Evaluacion!BE13</f>
        <v>0.96885387304062254</v>
      </c>
      <c r="Q9" s="494">
        <f ca="1">Evaluacion!BG13*M9</f>
        <v>5.569148777143603</v>
      </c>
      <c r="R9" s="494">
        <v>0</v>
      </c>
      <c r="S9" s="494">
        <f ca="1">Evaluacion!BI13*M9</f>
        <v>0.80238413540477671</v>
      </c>
      <c r="T9" s="494">
        <f ca="1">Evaluacion!BH13*M9</f>
        <v>2.4231419351653383</v>
      </c>
      <c r="U9" s="494">
        <v>0</v>
      </c>
      <c r="V9" s="494">
        <f>Evaluacion!T13*M9</f>
        <v>0.49555000000000005</v>
      </c>
      <c r="W9" s="494">
        <f>Evaluacion!U13*M9</f>
        <v>0.31790000000000002</v>
      </c>
      <c r="AA9" s="500"/>
    </row>
    <row r="10" spans="1:27" x14ac:dyDescent="0.25">
      <c r="A10" t="s">
        <v>640</v>
      </c>
      <c r="B10" t="str">
        <f>Evaluacion!A11</f>
        <v>E. Gross</v>
      </c>
      <c r="C10">
        <f>Evaluacion!D11</f>
        <v>0</v>
      </c>
      <c r="D10" s="233">
        <f>Evaluacion!K11</f>
        <v>0</v>
      </c>
      <c r="E10" s="233">
        <f>Evaluacion!L11</f>
        <v>10.549999999999995</v>
      </c>
      <c r="F10" s="233">
        <f>Evaluacion!M11</f>
        <v>12.95</v>
      </c>
      <c r="G10" s="233">
        <f>Evaluacion!N11</f>
        <v>4.95</v>
      </c>
      <c r="H10" s="233">
        <f>Evaluacion!O11</f>
        <v>8.9499999999999993</v>
      </c>
      <c r="I10" s="233">
        <f>Evaluacion!P11</f>
        <v>0.95</v>
      </c>
      <c r="J10" s="233">
        <f>Evaluacion!Q11</f>
        <v>17.3</v>
      </c>
      <c r="L10" t="str">
        <f t="shared" si="0"/>
        <v>EXTN</v>
      </c>
      <c r="M10" s="493">
        <v>1</v>
      </c>
      <c r="N10" s="494">
        <f>Evaluacion!BT11</f>
        <v>3.8452733972883144</v>
      </c>
      <c r="O10" s="494">
        <f>Evaluacion!BU11</f>
        <v>3.3036855948533406</v>
      </c>
      <c r="P10" s="494">
        <v>0</v>
      </c>
      <c r="Q10" s="494">
        <f>Evaluacion!BV11</f>
        <v>7.2525612526978298</v>
      </c>
      <c r="R10" s="494">
        <f>Evaluacion!BW11</f>
        <v>9.7731821274487825</v>
      </c>
      <c r="S10" s="494">
        <f>Evaluacion!BX11</f>
        <v>1.4447031023657964</v>
      </c>
      <c r="T10" s="494">
        <v>0</v>
      </c>
      <c r="U10" s="494">
        <v>0</v>
      </c>
      <c r="V10" s="494">
        <f>Evaluacion!T11</f>
        <v>0.5665</v>
      </c>
      <c r="W10" s="494">
        <f>Evaluacion!U11</f>
        <v>0.94099999999999984</v>
      </c>
      <c r="AA10" s="500"/>
    </row>
    <row r="11" spans="1:27" x14ac:dyDescent="0.25">
      <c r="A11" t="s">
        <v>640</v>
      </c>
      <c r="B11" t="str">
        <f>Evaluacion!A12</f>
        <v>W. Gelifini</v>
      </c>
      <c r="C11">
        <f>Evaluacion!D12</f>
        <v>0</v>
      </c>
      <c r="D11" s="233">
        <f>Evaluacion!K12</f>
        <v>0</v>
      </c>
      <c r="E11" s="233">
        <f>Evaluacion!L12</f>
        <v>5.6515555555555519</v>
      </c>
      <c r="F11" s="233">
        <f>Evaluacion!M12</f>
        <v>8.9499999999999993</v>
      </c>
      <c r="G11" s="233">
        <f>Evaluacion!N12</f>
        <v>6.95</v>
      </c>
      <c r="H11" s="233">
        <f>Evaluacion!O12</f>
        <v>9.2666666666666639</v>
      </c>
      <c r="I11" s="233">
        <f>Evaluacion!P12</f>
        <v>2.95</v>
      </c>
      <c r="J11" s="233">
        <f>Evaluacion!Q12</f>
        <v>12.847222222222223</v>
      </c>
      <c r="L11" t="str">
        <f t="shared" si="0"/>
        <v>EXTN</v>
      </c>
      <c r="M11" s="493">
        <v>1</v>
      </c>
      <c r="N11" s="494">
        <v>0</v>
      </c>
      <c r="O11" s="494">
        <f>Evaluacion!BU12</f>
        <v>1.9574913600371331</v>
      </c>
      <c r="P11" s="494">
        <f>Evaluacion!BT12</f>
        <v>2.2783915829940402</v>
      </c>
      <c r="Q11" s="494">
        <f>Evaluacion!BV12</f>
        <v>5.1510322583570423</v>
      </c>
      <c r="R11" s="494">
        <v>0</v>
      </c>
      <c r="S11" s="494">
        <f>Evaluacion!BX12</f>
        <v>1.4081516188890884</v>
      </c>
      <c r="T11" s="494">
        <f>Evaluacion!BW12</f>
        <v>10.89287928701744</v>
      </c>
      <c r="U11" s="494">
        <v>0</v>
      </c>
      <c r="V11" s="494">
        <f>Evaluacion!T12</f>
        <v>0.53291666666666671</v>
      </c>
      <c r="W11" s="494">
        <f>Evaluacion!U12</f>
        <v>0.61147888888888879</v>
      </c>
      <c r="AA11" s="500"/>
    </row>
    <row r="12" spans="1:27" x14ac:dyDescent="0.25">
      <c r="A12" t="s">
        <v>468</v>
      </c>
      <c r="B12" t="str">
        <f>Evaluacion!A20</f>
        <v>N. Janbu</v>
      </c>
      <c r="C12" t="str">
        <f>Evaluacion!D20</f>
        <v>RAP</v>
      </c>
      <c r="D12" s="233">
        <f>Evaluacion!K20</f>
        <v>0</v>
      </c>
      <c r="E12" s="233">
        <f>Evaluacion!L20</f>
        <v>3</v>
      </c>
      <c r="F12" s="233">
        <f>Evaluacion!M20</f>
        <v>7.0285714285714285</v>
      </c>
      <c r="G12" s="233">
        <f>Evaluacion!N20</f>
        <v>1</v>
      </c>
      <c r="H12" s="233">
        <f>Evaluacion!O20</f>
        <v>1</v>
      </c>
      <c r="I12" s="233">
        <f>Evaluacion!P20</f>
        <v>8</v>
      </c>
      <c r="J12" s="233">
        <f>Evaluacion!Q20</f>
        <v>3</v>
      </c>
      <c r="L12" t="str">
        <f t="shared" si="0"/>
        <v>DD</v>
      </c>
      <c r="M12" s="493">
        <v>1</v>
      </c>
      <c r="N12" s="494">
        <v>0</v>
      </c>
      <c r="O12" s="494">
        <v>0</v>
      </c>
      <c r="P12" s="494">
        <v>0</v>
      </c>
      <c r="Q12" s="494">
        <f ca="1">M12*Evaluacion!CD20</f>
        <v>2.7334646211791029</v>
      </c>
      <c r="R12" s="494">
        <f ca="1">M12*Evaluacion!CE20</f>
        <v>1.2558361271781098</v>
      </c>
      <c r="S12" s="494">
        <f ca="1">M12*Evaluacion!CF20</f>
        <v>4.8738166587381029</v>
      </c>
      <c r="T12" s="494">
        <f ca="1">R12</f>
        <v>1.2558361271781098</v>
      </c>
      <c r="U12" s="494">
        <v>0</v>
      </c>
      <c r="V12" s="494">
        <f>Evaluacion!T20*M12</f>
        <v>0.49000000000000005</v>
      </c>
      <c r="W12" s="494">
        <f>Evaluacion!U20*M12</f>
        <v>0.21000000000000002</v>
      </c>
      <c r="AA12" s="500"/>
    </row>
    <row r="13" spans="1:27" x14ac:dyDescent="0.25">
      <c r="L13" s="231"/>
      <c r="M13" s="380"/>
      <c r="N13" s="495">
        <f ca="1">SUM(N2:N12)</f>
        <v>45.234416617589453</v>
      </c>
      <c r="O13" s="495">
        <f t="shared" ref="O13:W13" ca="1" si="1">SUM(O2:O12)</f>
        <v>71.061153641610403</v>
      </c>
      <c r="P13" s="495">
        <f t="shared" ca="1" si="1"/>
        <v>44.528934754571033</v>
      </c>
      <c r="Q13" s="495">
        <f t="shared" ca="1" si="1"/>
        <v>37.969709717840402</v>
      </c>
      <c r="R13" s="495">
        <f t="shared" ca="1" si="1"/>
        <v>25.036320531104376</v>
      </c>
      <c r="S13" s="495">
        <f t="shared" ca="1" si="1"/>
        <v>9.9102999262523426</v>
      </c>
      <c r="T13" s="495">
        <f t="shared" ca="1" si="1"/>
        <v>23.511575720927265</v>
      </c>
      <c r="U13" s="496">
        <f t="shared" si="1"/>
        <v>19.635624999999997</v>
      </c>
      <c r="V13" s="496">
        <f t="shared" si="1"/>
        <v>6.0004416666666671</v>
      </c>
      <c r="W13" s="496">
        <f t="shared" si="1"/>
        <v>7.4133685555555555</v>
      </c>
    </row>
    <row r="14" spans="1:27" ht="15.75" x14ac:dyDescent="0.25">
      <c r="L14" s="231"/>
      <c r="M14" s="231" t="s">
        <v>645</v>
      </c>
      <c r="N14" s="497">
        <f ca="1">N13*0.34</f>
        <v>15.379701649980415</v>
      </c>
      <c r="O14" s="497">
        <f ca="1">O13*0.245</f>
        <v>17.409982642194549</v>
      </c>
      <c r="P14" s="497">
        <f ca="1">P13*0.34</f>
        <v>15.139837816554152</v>
      </c>
      <c r="Q14" s="497">
        <f ca="1">Q13*0.125</f>
        <v>4.7462137147300503</v>
      </c>
      <c r="R14" s="497">
        <f ca="1">R13*0.25</f>
        <v>6.2590801327760941</v>
      </c>
      <c r="S14" s="497">
        <f ca="1">S13*0.19</f>
        <v>1.8829569859879451</v>
      </c>
      <c r="T14" s="497">
        <f ca="1">T13*0.25</f>
        <v>5.8778939302318163</v>
      </c>
    </row>
    <row r="15" spans="1:27" ht="15.75" x14ac:dyDescent="0.25">
      <c r="L15" s="231"/>
      <c r="M15" s="231" t="s">
        <v>646</v>
      </c>
      <c r="N15" s="507">
        <f ca="1">N14*1.2/1.05</f>
        <v>17.576801885691903</v>
      </c>
      <c r="O15" s="507">
        <f t="shared" ref="O15:P15" ca="1" si="2">O14*1.2/1.05</f>
        <v>19.897123019650913</v>
      </c>
      <c r="P15" s="507">
        <f t="shared" ca="1" si="2"/>
        <v>17.302671790347603</v>
      </c>
      <c r="Q15" s="507">
        <f ca="1">Q14</f>
        <v>4.7462137147300503</v>
      </c>
      <c r="R15" s="507">
        <f ca="1">R14*0.925/1.05</f>
        <v>5.513951545540845</v>
      </c>
      <c r="S15" s="507">
        <f t="shared" ref="S15:T15" ca="1" si="3">S14*0.925/1.05</f>
        <v>1.6587954400369993</v>
      </c>
      <c r="T15" s="507">
        <f t="shared" ca="1" si="3"/>
        <v>5.1781446528232662</v>
      </c>
    </row>
    <row r="16" spans="1:27" ht="15.75" x14ac:dyDescent="0.25">
      <c r="L16" s="231"/>
      <c r="M16" s="231" t="s">
        <v>647</v>
      </c>
      <c r="N16" s="507">
        <f ca="1">N14*0.925/1.05</f>
        <v>13.548784786887508</v>
      </c>
      <c r="O16" s="507">
        <f t="shared" ref="O16:P16" ca="1" si="4">O14*0.925/1.05</f>
        <v>15.337365660980915</v>
      </c>
      <c r="P16" s="507">
        <f t="shared" ca="1" si="4"/>
        <v>13.337476171726276</v>
      </c>
      <c r="Q16" s="507">
        <f ca="1">Q15</f>
        <v>4.7462137147300503</v>
      </c>
      <c r="R16" s="507">
        <f ca="1">R14*1.135/1.05</f>
        <v>6.7657675720960633</v>
      </c>
      <c r="S16" s="507">
        <f t="shared" ref="S16:T16" ca="1" si="5">S14*1.135/1.05</f>
        <v>2.0353868372345882</v>
      </c>
      <c r="T16" s="507">
        <f t="shared" ca="1" si="5"/>
        <v>6.35372343886963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508" bestFit="1" customWidth="1"/>
    <col min="13" max="13" width="6.5703125" style="514" customWidth="1"/>
    <col min="14" max="14" width="8.28515625" style="508"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8">
        <v>43060</v>
      </c>
      <c r="Y2" s="516">
        <f>SUM(Y4:Y12)</f>
        <v>0.23658764552873529</v>
      </c>
      <c r="Z2" s="516">
        <f>SUM(Z4:Z12)</f>
        <v>0.33824859010884656</v>
      </c>
      <c r="AA2" s="516"/>
      <c r="AD2" s="421" t="s">
        <v>247</v>
      </c>
      <c r="AE2" s="421" t="s">
        <v>174</v>
      </c>
      <c r="AG2" s="421" t="s">
        <v>247</v>
      </c>
      <c r="AH2" s="421" t="s">
        <v>174</v>
      </c>
    </row>
    <row r="3" spans="1:34" x14ac:dyDescent="0.25">
      <c r="A3" s="266" t="s">
        <v>694</v>
      </c>
      <c r="B3" s="266" t="str">
        <f>PLANTILLA!D3</f>
        <v>Jugador</v>
      </c>
      <c r="C3" s="266" t="str">
        <f>PLANTILLA!E3</f>
        <v>Anys</v>
      </c>
      <c r="D3" s="266" t="str">
        <f>PLANTILLA!F3</f>
        <v>Dias</v>
      </c>
      <c r="E3" s="266" t="str">
        <f>PLANTILLA!X3</f>
        <v>Po</v>
      </c>
      <c r="F3" s="266" t="str">
        <f>PLANTILLA!Y3</f>
        <v>De</v>
      </c>
      <c r="G3" s="266" t="str">
        <f>PLANTILLA!Z3</f>
        <v>Cr</v>
      </c>
      <c r="H3" s="266" t="str">
        <f>PLANTILLA!AA3</f>
        <v>Ex</v>
      </c>
      <c r="I3" s="266" t="str">
        <f>PLANTILLA!AB3</f>
        <v>Ps</v>
      </c>
      <c r="J3" s="266" t="str">
        <f>PLANTILLA!AC3</f>
        <v>An</v>
      </c>
      <c r="K3" s="266" t="str">
        <f>PLANTILLA!AD3</f>
        <v>PA</v>
      </c>
      <c r="L3" s="509">
        <v>1</v>
      </c>
      <c r="M3" s="509">
        <v>0.5</v>
      </c>
      <c r="N3" s="266" t="s">
        <v>672</v>
      </c>
      <c r="O3" s="513" t="s">
        <v>1</v>
      </c>
      <c r="P3" s="511" t="s">
        <v>638</v>
      </c>
      <c r="Q3" s="510" t="s">
        <v>665</v>
      </c>
      <c r="R3" s="510" t="s">
        <v>671</v>
      </c>
      <c r="S3" s="510" t="s">
        <v>666</v>
      </c>
      <c r="T3" s="510" t="s">
        <v>639</v>
      </c>
      <c r="U3" s="510" t="s">
        <v>411</v>
      </c>
      <c r="V3" s="510" t="s">
        <v>670</v>
      </c>
      <c r="W3" s="511" t="s">
        <v>468</v>
      </c>
      <c r="X3" s="511" t="s">
        <v>66</v>
      </c>
      <c r="Y3" s="510" t="s">
        <v>668</v>
      </c>
      <c r="Z3" s="513" t="s">
        <v>669</v>
      </c>
      <c r="AA3" s="513" t="s">
        <v>674</v>
      </c>
      <c r="AD3" t="s">
        <v>1</v>
      </c>
      <c r="AE3" t="s">
        <v>618</v>
      </c>
      <c r="AG3" t="s">
        <v>1</v>
      </c>
      <c r="AH3" t="s">
        <v>618</v>
      </c>
    </row>
    <row r="4" spans="1:34" x14ac:dyDescent="0.25">
      <c r="A4" s="255" t="str">
        <f>PLANTILLA!A12</f>
        <v>#12</v>
      </c>
      <c r="B4" s="156" t="str">
        <f>PLANTILLA!D12</f>
        <v>E. Gross</v>
      </c>
      <c r="C4" s="5">
        <f>PLANTILLA!E12</f>
        <v>35</v>
      </c>
      <c r="D4" s="5">
        <f ca="1">PLANTILLA!F12</f>
        <v>68</v>
      </c>
      <c r="E4" s="152">
        <f>PLANTILLA!X12</f>
        <v>0</v>
      </c>
      <c r="F4" s="152">
        <f>PLANTILLA!Y12</f>
        <v>10.549999999999995</v>
      </c>
      <c r="G4" s="152">
        <f>PLANTILLA!Z12</f>
        <v>12.95</v>
      </c>
      <c r="H4" s="152">
        <f>PLANTILLA!AA12</f>
        <v>4.95</v>
      </c>
      <c r="I4" s="152">
        <f>PLANTILLA!AB12</f>
        <v>8.9499999999999993</v>
      </c>
      <c r="J4" s="152">
        <f>PLANTILLA!AC12</f>
        <v>0.95</v>
      </c>
      <c r="K4" s="152">
        <f>PLANTILLA!AD12</f>
        <v>17.3</v>
      </c>
      <c r="L4" s="297">
        <f>1/13</f>
        <v>7.6923076923076927E-2</v>
      </c>
      <c r="M4" s="297"/>
      <c r="N4" s="297">
        <f t="shared" ref="N4:N23" si="0">L4/6</f>
        <v>1.2820512820512822E-2</v>
      </c>
      <c r="O4" s="148">
        <f t="shared" ref="O4:O23" si="1">L4*(0.245*0.425+0.34*0.276)/(0.245+0.34)</f>
        <v>2.6030900723208419E-2</v>
      </c>
      <c r="P4" s="148">
        <f t="shared" ref="P4:P23" si="2">L4*(0.245*1+0.34*0.516+0.34*0.258)/(0.245+0.34)</f>
        <v>6.6819197896120994E-2</v>
      </c>
      <c r="Q4" s="148">
        <f t="shared" ref="Q4:Q23" si="3">L4*(0.245*0.725+0.34*0.378+0.34*0.189)/(0.245+0.34)</f>
        <v>4.8705456936226174E-2</v>
      </c>
      <c r="R4" s="148">
        <f t="shared" ref="R4:R23" si="4">L4*(0.245*0.708+0.34*0.754)/(0.245+0.34)</f>
        <v>5.6518080210387907E-2</v>
      </c>
      <c r="S4" s="148">
        <f t="shared" ref="S4:S23" si="5">L4*(0.245*0.414+0.34*0.919)/(0.245+0.34)</f>
        <v>5.4423405654174889E-2</v>
      </c>
      <c r="T4" s="148">
        <f t="shared" ref="T4:T10" si="6">L4*(0.245*0.4+0.34*0.189+0.34*0.095)</f>
        <v>1.4966153846153848E-2</v>
      </c>
      <c r="U4" s="148">
        <f t="shared" ref="U4:U10" si="7">L4*(0.245*0.348+0.34*0.291)</f>
        <v>1.4169230769230767E-2</v>
      </c>
      <c r="V4" s="148">
        <f t="shared" ref="V4:V10" si="8">L4*(0.245*0.201+0.34*0.349)</f>
        <v>1.2915769230769231E-2</v>
      </c>
      <c r="W4" s="148">
        <v>0</v>
      </c>
      <c r="X4" s="148">
        <v>0</v>
      </c>
      <c r="Y4" s="345">
        <f>P4</f>
        <v>6.6819197896120994E-2</v>
      </c>
      <c r="Z4" s="345">
        <f>P4</f>
        <v>6.6819197896120994E-2</v>
      </c>
      <c r="AA4" s="345">
        <f t="shared" ref="AA4:AA23" si="9">MAX(Z4,Y4)</f>
        <v>6.6819197896120994E-2</v>
      </c>
      <c r="AD4" t="s">
        <v>637</v>
      </c>
      <c r="AE4" s="529" t="s">
        <v>683</v>
      </c>
      <c r="AG4" t="s">
        <v>637</v>
      </c>
      <c r="AH4" s="529" t="str">
        <f>AE4</f>
        <v>B. Pinczehelyi</v>
      </c>
    </row>
    <row r="5" spans="1:34" x14ac:dyDescent="0.25">
      <c r="A5" s="255" t="str">
        <f>PLANTILLA!A7</f>
        <v>#24</v>
      </c>
      <c r="B5" s="156" t="str">
        <f>PLANTILLA!D7</f>
        <v>B. Bartolache</v>
      </c>
      <c r="C5" s="5">
        <f>PLANTILLA!E7</f>
        <v>35</v>
      </c>
      <c r="D5" s="5">
        <f ca="1">PLANTILLA!F7</f>
        <v>104</v>
      </c>
      <c r="E5" s="152">
        <f>PLANTILLA!X7</f>
        <v>0</v>
      </c>
      <c r="F5" s="152">
        <f>PLANTILLA!Y7</f>
        <v>11.95</v>
      </c>
      <c r="G5" s="152">
        <f>PLANTILLA!Z7</f>
        <v>5.95</v>
      </c>
      <c r="H5" s="152">
        <f>PLANTILLA!AA7</f>
        <v>6.95</v>
      </c>
      <c r="I5" s="152">
        <f>PLANTILLA!AB7</f>
        <v>7.95</v>
      </c>
      <c r="J5" s="152">
        <f>PLANTILLA!AC7</f>
        <v>2.95</v>
      </c>
      <c r="K5" s="152">
        <f>PLANTILLA!AD7</f>
        <v>16</v>
      </c>
      <c r="L5" s="297">
        <f>1/15</f>
        <v>6.6666666666666666E-2</v>
      </c>
      <c r="M5" s="297"/>
      <c r="N5" s="297">
        <f t="shared" si="0"/>
        <v>1.1111111111111112E-2</v>
      </c>
      <c r="O5" s="148">
        <f t="shared" si="1"/>
        <v>2.256011396011396E-2</v>
      </c>
      <c r="P5" s="148">
        <f t="shared" si="2"/>
        <v>5.7909971509971521E-2</v>
      </c>
      <c r="Q5" s="148">
        <f t="shared" si="3"/>
        <v>4.2211396011396014E-2</v>
      </c>
      <c r="R5" s="148">
        <f t="shared" si="4"/>
        <v>4.8982336182336182E-2</v>
      </c>
      <c r="S5" s="148">
        <f t="shared" si="5"/>
        <v>4.7166951566951568E-2</v>
      </c>
      <c r="T5" s="148">
        <f t="shared" si="6"/>
        <v>1.2970666666666667E-2</v>
      </c>
      <c r="U5" s="148">
        <f t="shared" si="7"/>
        <v>1.2279999999999998E-2</v>
      </c>
      <c r="V5" s="148">
        <f t="shared" si="8"/>
        <v>1.1193666666666666E-2</v>
      </c>
      <c r="W5" s="148">
        <v>0</v>
      </c>
      <c r="X5" s="148">
        <v>0</v>
      </c>
      <c r="Y5" s="345"/>
      <c r="Z5" s="345">
        <f>R5</f>
        <v>4.8982336182336182E-2</v>
      </c>
      <c r="AA5" s="345">
        <f t="shared" si="9"/>
        <v>4.8982336182336182E-2</v>
      </c>
      <c r="AD5" t="s">
        <v>638</v>
      </c>
      <c r="AE5" t="s">
        <v>244</v>
      </c>
      <c r="AG5" t="s">
        <v>649</v>
      </c>
      <c r="AH5" t="s">
        <v>245</v>
      </c>
    </row>
    <row r="6" spans="1:34" x14ac:dyDescent="0.25">
      <c r="A6" s="255" t="e">
        <f>PLANTILLA!#REF!</f>
        <v>#REF!</v>
      </c>
      <c r="B6" s="156" t="e">
        <f>PLANTILLA!#REF!</f>
        <v>#REF!</v>
      </c>
      <c r="C6" s="5" t="e">
        <f>PLANTILLA!#REF!</f>
        <v>#REF!</v>
      </c>
      <c r="D6" s="5" t="e">
        <f>PLANTILLA!#REF!</f>
        <v>#REF!</v>
      </c>
      <c r="E6" s="152" t="e">
        <f>PLANTILLA!#REF!</f>
        <v>#REF!</v>
      </c>
      <c r="F6" s="152" t="e">
        <f>PLANTILLA!#REF!</f>
        <v>#REF!</v>
      </c>
      <c r="G6" s="152" t="e">
        <f>PLANTILLA!#REF!</f>
        <v>#REF!</v>
      </c>
      <c r="H6" s="152" t="e">
        <f>PLANTILLA!#REF!</f>
        <v>#REF!</v>
      </c>
      <c r="I6" s="152" t="e">
        <f>PLANTILLA!#REF!</f>
        <v>#REF!</v>
      </c>
      <c r="J6" s="152" t="e">
        <f>PLANTILLA!#REF!</f>
        <v>#REF!</v>
      </c>
      <c r="K6" s="152" t="e">
        <f>PLANTILLA!#REF!</f>
        <v>#REF!</v>
      </c>
      <c r="L6" s="297">
        <f>1/15</f>
        <v>6.6666666666666666E-2</v>
      </c>
      <c r="M6" s="297"/>
      <c r="N6" s="297">
        <f t="shared" si="0"/>
        <v>1.1111111111111112E-2</v>
      </c>
      <c r="O6" s="148">
        <f t="shared" si="1"/>
        <v>2.256011396011396E-2</v>
      </c>
      <c r="P6" s="148">
        <f t="shared" si="2"/>
        <v>5.7909971509971521E-2</v>
      </c>
      <c r="Q6" s="148">
        <f t="shared" si="3"/>
        <v>4.2211396011396014E-2</v>
      </c>
      <c r="R6" s="148">
        <f t="shared" si="4"/>
        <v>4.8982336182336182E-2</v>
      </c>
      <c r="S6" s="148">
        <f t="shared" si="5"/>
        <v>4.7166951566951568E-2</v>
      </c>
      <c r="T6" s="148">
        <f t="shared" si="6"/>
        <v>1.2970666666666667E-2</v>
      </c>
      <c r="U6" s="148">
        <f t="shared" si="7"/>
        <v>1.2279999999999998E-2</v>
      </c>
      <c r="V6" s="148">
        <f t="shared" si="8"/>
        <v>1.1193666666666666E-2</v>
      </c>
      <c r="W6" s="148">
        <v>0</v>
      </c>
      <c r="X6" s="148">
        <v>0</v>
      </c>
      <c r="Y6" s="345"/>
      <c r="Z6" s="345">
        <f>R6</f>
        <v>4.8982336182336182E-2</v>
      </c>
      <c r="AA6" s="345">
        <f t="shared" si="9"/>
        <v>4.8982336182336182E-2</v>
      </c>
      <c r="AD6" t="s">
        <v>637</v>
      </c>
      <c r="AE6" t="s">
        <v>242</v>
      </c>
      <c r="AG6" t="s">
        <v>648</v>
      </c>
      <c r="AH6" t="s">
        <v>242</v>
      </c>
    </row>
    <row r="7" spans="1:34" x14ac:dyDescent="0.25">
      <c r="A7" s="255" t="str">
        <f>PLANTILLA!A6</f>
        <v>#2</v>
      </c>
      <c r="B7" s="156" t="str">
        <f>PLANTILLA!D6</f>
        <v>E. Toney</v>
      </c>
      <c r="C7" s="5">
        <f>PLANTILLA!E6</f>
        <v>36</v>
      </c>
      <c r="D7" s="5">
        <f ca="1">PLANTILLA!F6</f>
        <v>7</v>
      </c>
      <c r="E7" s="152">
        <f>PLANTILLA!X6</f>
        <v>0</v>
      </c>
      <c r="F7" s="152">
        <f>PLANTILLA!Y6</f>
        <v>11.95</v>
      </c>
      <c r="G7" s="152">
        <f>PLANTILLA!Z6</f>
        <v>12.95</v>
      </c>
      <c r="H7" s="152">
        <f>PLANTILLA!AA6</f>
        <v>8.9499999999999993</v>
      </c>
      <c r="I7" s="152">
        <f>PLANTILLA!AB6</f>
        <v>8.9499999999999993</v>
      </c>
      <c r="J7" s="152">
        <f>PLANTILLA!AC6</f>
        <v>1.95</v>
      </c>
      <c r="K7" s="152">
        <f>PLANTILLA!AD6</f>
        <v>17.177777777777774</v>
      </c>
      <c r="L7" s="297">
        <f>1/18</f>
        <v>5.5555555555555552E-2</v>
      </c>
      <c r="M7" s="297"/>
      <c r="N7" s="297">
        <f t="shared" si="0"/>
        <v>9.2592592592592587E-3</v>
      </c>
      <c r="O7" s="148">
        <f t="shared" si="1"/>
        <v>1.8800094966761632E-2</v>
      </c>
      <c r="P7" s="148">
        <f t="shared" si="2"/>
        <v>4.8258309591642928E-2</v>
      </c>
      <c r="Q7" s="148">
        <f t="shared" si="3"/>
        <v>3.5176163342830011E-2</v>
      </c>
      <c r="R7" s="148">
        <f t="shared" si="4"/>
        <v>4.0818613485280153E-2</v>
      </c>
      <c r="S7" s="148">
        <f t="shared" si="5"/>
        <v>3.930579297245964E-2</v>
      </c>
      <c r="T7" s="148">
        <f t="shared" si="6"/>
        <v>1.0808888888888889E-2</v>
      </c>
      <c r="U7" s="148">
        <f t="shared" si="7"/>
        <v>1.0233333333333332E-2</v>
      </c>
      <c r="V7" s="148">
        <f t="shared" si="8"/>
        <v>9.3280555555555547E-3</v>
      </c>
      <c r="W7" s="148">
        <v>0</v>
      </c>
      <c r="X7" s="148">
        <v>0</v>
      </c>
      <c r="Y7" s="345">
        <f>S7</f>
        <v>3.930579297245964E-2</v>
      </c>
      <c r="Z7" s="345">
        <f>R7</f>
        <v>4.0818613485280153E-2</v>
      </c>
      <c r="AA7" s="345">
        <f t="shared" si="9"/>
        <v>4.0818613485280153E-2</v>
      </c>
      <c r="AD7" t="s">
        <v>411</v>
      </c>
      <c r="AE7" t="s">
        <v>482</v>
      </c>
      <c r="AG7" t="s">
        <v>649</v>
      </c>
      <c r="AH7" t="s">
        <v>246</v>
      </c>
    </row>
    <row r="8" spans="1:34" x14ac:dyDescent="0.25">
      <c r="A8" s="255" t="str">
        <f>PLANTILLA!A9</f>
        <v>#7</v>
      </c>
      <c r="B8" s="156" t="str">
        <f>PLANTILLA!D9</f>
        <v>E. Romweber</v>
      </c>
      <c r="C8" s="5">
        <f>PLANTILLA!E9</f>
        <v>35</v>
      </c>
      <c r="D8" s="5">
        <f ca="1">PLANTILLA!F9</f>
        <v>81</v>
      </c>
      <c r="E8" s="152">
        <f>PLANTILLA!X9</f>
        <v>0</v>
      </c>
      <c r="F8" s="152">
        <f>PLANTILLA!Y9</f>
        <v>11.95</v>
      </c>
      <c r="G8" s="152">
        <f>PLANTILLA!Z9</f>
        <v>12.614111111111114</v>
      </c>
      <c r="H8" s="152">
        <f>PLANTILLA!AA9</f>
        <v>12.95</v>
      </c>
      <c r="I8" s="152">
        <f>PLANTILLA!AB9</f>
        <v>10.95</v>
      </c>
      <c r="J8" s="152">
        <f>PLANTILLA!AC9</f>
        <v>5.95</v>
      </c>
      <c r="K8" s="152">
        <f>PLANTILLA!AD9</f>
        <v>17.529999999999998</v>
      </c>
      <c r="L8" s="297">
        <f>1/18</f>
        <v>5.5555555555555552E-2</v>
      </c>
      <c r="M8" s="297"/>
      <c r="N8" s="297">
        <f t="shared" si="0"/>
        <v>9.2592592592592587E-3</v>
      </c>
      <c r="O8" s="148">
        <f t="shared" si="1"/>
        <v>1.8800094966761632E-2</v>
      </c>
      <c r="P8" s="148">
        <f t="shared" si="2"/>
        <v>4.8258309591642928E-2</v>
      </c>
      <c r="Q8" s="148">
        <f t="shared" si="3"/>
        <v>3.5176163342830011E-2</v>
      </c>
      <c r="R8" s="148">
        <f t="shared" si="4"/>
        <v>4.0818613485280153E-2</v>
      </c>
      <c r="S8" s="148">
        <f t="shared" si="5"/>
        <v>3.930579297245964E-2</v>
      </c>
      <c r="T8" s="148">
        <f t="shared" si="6"/>
        <v>1.0808888888888889E-2</v>
      </c>
      <c r="U8" s="148">
        <f t="shared" si="7"/>
        <v>1.0233333333333332E-2</v>
      </c>
      <c r="V8" s="148">
        <f t="shared" si="8"/>
        <v>9.3280555555555547E-3</v>
      </c>
      <c r="W8" s="148">
        <v>0</v>
      </c>
      <c r="X8" s="148">
        <v>0</v>
      </c>
      <c r="Y8" s="345">
        <f>V8</f>
        <v>9.3280555555555547E-3</v>
      </c>
      <c r="Z8" s="345">
        <f>S8</f>
        <v>3.930579297245964E-2</v>
      </c>
      <c r="AA8" s="345">
        <f t="shared" si="9"/>
        <v>3.930579297245964E-2</v>
      </c>
      <c r="AD8" t="s">
        <v>639</v>
      </c>
      <c r="AE8" t="s">
        <v>345</v>
      </c>
      <c r="AG8" t="s">
        <v>637</v>
      </c>
      <c r="AH8" t="s">
        <v>650</v>
      </c>
    </row>
    <row r="9" spans="1:34" x14ac:dyDescent="0.25">
      <c r="A9" s="255" t="e">
        <f>PLANTILLA!#REF!</f>
        <v>#REF!</v>
      </c>
      <c r="B9" s="156" t="e">
        <f>PLANTILLA!#REF!</f>
        <v>#REF!</v>
      </c>
      <c r="C9" s="5" t="e">
        <f>PLANTILLA!#REF!</f>
        <v>#REF!</v>
      </c>
      <c r="D9" s="5" t="e">
        <f>PLANTILLA!#REF!</f>
        <v>#REF!</v>
      </c>
      <c r="E9" s="152" t="e">
        <f>PLANTILLA!#REF!</f>
        <v>#REF!</v>
      </c>
      <c r="F9" s="152" t="e">
        <f>PLANTILLA!#REF!</f>
        <v>#REF!</v>
      </c>
      <c r="G9" s="152" t="e">
        <f>PLANTILLA!#REF!</f>
        <v>#REF!</v>
      </c>
      <c r="H9" s="152" t="e">
        <f>PLANTILLA!#REF!</f>
        <v>#REF!</v>
      </c>
      <c r="I9" s="152" t="e">
        <f>PLANTILLA!#REF!</f>
        <v>#REF!</v>
      </c>
      <c r="J9" s="152" t="e">
        <f>PLANTILLA!#REF!</f>
        <v>#REF!</v>
      </c>
      <c r="K9" s="152" t="e">
        <f>PLANTILLA!#REF!</f>
        <v>#REF!</v>
      </c>
      <c r="L9" s="297">
        <f>1/5</f>
        <v>0.2</v>
      </c>
      <c r="M9" s="297"/>
      <c r="N9" s="297">
        <f t="shared" si="0"/>
        <v>3.3333333333333333E-2</v>
      </c>
      <c r="O9" s="148">
        <f t="shared" si="1"/>
        <v>6.7680341880341888E-2</v>
      </c>
      <c r="P9" s="148">
        <f t="shared" si="2"/>
        <v>0.17372991452991457</v>
      </c>
      <c r="Q9" s="148">
        <f t="shared" si="3"/>
        <v>0.12663418803418802</v>
      </c>
      <c r="R9" s="148">
        <f t="shared" si="4"/>
        <v>0.14694700854700857</v>
      </c>
      <c r="S9" s="148">
        <f t="shared" si="5"/>
        <v>0.14150085470085472</v>
      </c>
      <c r="T9" s="148">
        <f t="shared" si="6"/>
        <v>3.8912000000000002E-2</v>
      </c>
      <c r="U9" s="148">
        <f t="shared" si="7"/>
        <v>3.6839999999999998E-2</v>
      </c>
      <c r="V9" s="148">
        <f t="shared" si="8"/>
        <v>3.3581E-2</v>
      </c>
      <c r="W9" s="148">
        <v>0</v>
      </c>
      <c r="X9" s="148">
        <v>0</v>
      </c>
      <c r="Y9" s="345">
        <f>U9</f>
        <v>3.6839999999999998E-2</v>
      </c>
      <c r="Z9" s="345">
        <f>U9</f>
        <v>3.6839999999999998E-2</v>
      </c>
      <c r="AA9" s="345">
        <f t="shared" si="9"/>
        <v>3.6839999999999998E-2</v>
      </c>
      <c r="AD9" t="s">
        <v>411</v>
      </c>
      <c r="AE9" t="s">
        <v>248</v>
      </c>
      <c r="AG9" t="s">
        <v>411</v>
      </c>
      <c r="AH9" t="s">
        <v>248</v>
      </c>
    </row>
    <row r="10" spans="1:34" x14ac:dyDescent="0.25">
      <c r="A10" s="255" t="e">
        <f>PLANTILLA!#REF!</f>
        <v>#REF!</v>
      </c>
      <c r="B10" s="156" t="e">
        <f>PLANTILLA!#REF!</f>
        <v>#REF!</v>
      </c>
      <c r="C10" s="5" t="e">
        <f>PLANTILLA!#REF!</f>
        <v>#REF!</v>
      </c>
      <c r="D10" s="5" t="e">
        <f>PLANTILLA!#REF!</f>
        <v>#REF!</v>
      </c>
      <c r="E10" s="152" t="e">
        <f>PLANTILLA!#REF!</f>
        <v>#REF!</v>
      </c>
      <c r="F10" s="152" t="e">
        <f>PLANTILLA!#REF!</f>
        <v>#REF!</v>
      </c>
      <c r="G10" s="152" t="e">
        <f>PLANTILLA!#REF!</f>
        <v>#REF!</v>
      </c>
      <c r="H10" s="152" t="e">
        <f>PLANTILLA!#REF!</f>
        <v>#REF!</v>
      </c>
      <c r="I10" s="152" t="e">
        <f>PLANTILLA!#REF!</f>
        <v>#REF!</v>
      </c>
      <c r="J10" s="152" t="e">
        <f>PLANTILLA!#REF!</f>
        <v>#REF!</v>
      </c>
      <c r="K10" s="152" t="e">
        <f>PLANTILLA!#REF!</f>
        <v>#REF!</v>
      </c>
      <c r="L10" s="297">
        <f>1/25</f>
        <v>0.04</v>
      </c>
      <c r="M10" s="297"/>
      <c r="N10" s="297">
        <f t="shared" si="0"/>
        <v>6.6666666666666671E-3</v>
      </c>
      <c r="O10" s="148">
        <f t="shared" si="1"/>
        <v>1.3536068376068376E-2</v>
      </c>
      <c r="P10" s="148">
        <f t="shared" si="2"/>
        <v>3.4745982905982908E-2</v>
      </c>
      <c r="Q10" s="148">
        <f t="shared" si="3"/>
        <v>2.5326837606837609E-2</v>
      </c>
      <c r="R10" s="148">
        <f t="shared" si="4"/>
        <v>2.9389401709401713E-2</v>
      </c>
      <c r="S10" s="148">
        <f t="shared" si="5"/>
        <v>2.8300170940170941E-2</v>
      </c>
      <c r="T10" s="148">
        <f t="shared" si="6"/>
        <v>7.7824000000000009E-3</v>
      </c>
      <c r="U10" s="148">
        <f t="shared" si="7"/>
        <v>7.3679999999999995E-3</v>
      </c>
      <c r="V10" s="148">
        <f t="shared" si="8"/>
        <v>6.7162000000000003E-3</v>
      </c>
      <c r="W10" s="148">
        <v>0</v>
      </c>
      <c r="X10" s="148">
        <v>0</v>
      </c>
      <c r="Y10" s="345">
        <f>S10</f>
        <v>2.8300170940170941E-2</v>
      </c>
      <c r="Z10" s="345">
        <f>S10</f>
        <v>2.8300170940170941E-2</v>
      </c>
      <c r="AA10" s="345">
        <f t="shared" si="9"/>
        <v>2.8300170940170941E-2</v>
      </c>
      <c r="AD10" t="s">
        <v>640</v>
      </c>
      <c r="AE10" t="s">
        <v>650</v>
      </c>
      <c r="AG10" t="s">
        <v>411</v>
      </c>
      <c r="AH10" t="s">
        <v>482</v>
      </c>
    </row>
    <row r="11" spans="1:34" x14ac:dyDescent="0.25">
      <c r="A11" s="255" t="str">
        <f>PLANTILLA!A4</f>
        <v>#1</v>
      </c>
      <c r="B11" s="156" t="str">
        <f>PLANTILLA!D4</f>
        <v>D. Gehmacher</v>
      </c>
      <c r="C11" s="5">
        <f>PLANTILLA!E4</f>
        <v>34</v>
      </c>
      <c r="D11" s="5">
        <f ca="1">PLANTILLA!F4</f>
        <v>108</v>
      </c>
      <c r="E11" s="152">
        <f>PLANTILLA!X4</f>
        <v>16.666666666666668</v>
      </c>
      <c r="F11" s="152">
        <f>PLANTILLA!Y4</f>
        <v>11.95</v>
      </c>
      <c r="G11" s="152">
        <f>PLANTILLA!Z4</f>
        <v>2.0699999999999985</v>
      </c>
      <c r="H11" s="152">
        <f>PLANTILLA!AA4</f>
        <v>2.149999999999999</v>
      </c>
      <c r="I11" s="152">
        <f>PLANTILLA!AB4</f>
        <v>0.95</v>
      </c>
      <c r="J11" s="152">
        <f>PLANTILLA!AC4</f>
        <v>0</v>
      </c>
      <c r="K11" s="152">
        <f>PLANTILLA!AD4</f>
        <v>18.2</v>
      </c>
      <c r="L11" s="297">
        <f>1/12</f>
        <v>8.3333333333333329E-2</v>
      </c>
      <c r="M11" s="297"/>
      <c r="N11" s="297">
        <f t="shared" si="0"/>
        <v>1.3888888888888888E-2</v>
      </c>
      <c r="O11" s="148">
        <f t="shared" si="1"/>
        <v>2.8200142450142449E-2</v>
      </c>
      <c r="P11" s="148">
        <f t="shared" si="2"/>
        <v>7.2387464387464406E-2</v>
      </c>
      <c r="Q11" s="148">
        <f t="shared" si="3"/>
        <v>5.2764245014245009E-2</v>
      </c>
      <c r="R11" s="148">
        <f t="shared" si="4"/>
        <v>6.1227920227920223E-2</v>
      </c>
      <c r="S11" s="148">
        <f t="shared" si="5"/>
        <v>5.8958689458689456E-2</v>
      </c>
      <c r="T11" s="148">
        <f>L11*(0.245*0.4+0.34*0.189+0.34*0.095)/(0.34+0.245)</f>
        <v>2.7715099715099716E-2</v>
      </c>
      <c r="U11" s="148">
        <f>L11*(0.245*0.348+0.34*0.291)/(0.34+0.245)</f>
        <v>2.6239316239316236E-2</v>
      </c>
      <c r="V11" s="148">
        <f>L11*(0.245*0.201+0.34*0.349)/(0.34+0.245)</f>
        <v>2.3918091168091168E-2</v>
      </c>
      <c r="W11" s="148">
        <v>0</v>
      </c>
      <c r="X11" s="148">
        <v>0</v>
      </c>
      <c r="Y11" s="345">
        <f>O11</f>
        <v>2.8200142450142449E-2</v>
      </c>
      <c r="Z11" s="345">
        <f>O11</f>
        <v>2.8200142450142449E-2</v>
      </c>
      <c r="AA11" s="345">
        <f t="shared" si="9"/>
        <v>2.8200142450142449E-2</v>
      </c>
      <c r="AD11" t="s">
        <v>640</v>
      </c>
      <c r="AE11" t="s">
        <v>254</v>
      </c>
      <c r="AG11" t="s">
        <v>640</v>
      </c>
      <c r="AH11" t="s">
        <v>254</v>
      </c>
    </row>
    <row r="12" spans="1:34" x14ac:dyDescent="0.25">
      <c r="A12" s="255" t="str">
        <f>PLANTILLA!A26</f>
        <v>#5</v>
      </c>
      <c r="B12" s="156" t="str">
        <f>PLANTILLA!D26</f>
        <v>L. Bauman</v>
      </c>
      <c r="C12" s="5">
        <f>PLANTILLA!E26</f>
        <v>35</v>
      </c>
      <c r="D12" s="5">
        <f ca="1">PLANTILLA!F26</f>
        <v>43</v>
      </c>
      <c r="E12" s="152">
        <f>PLANTILLA!X26</f>
        <v>0</v>
      </c>
      <c r="F12" s="152">
        <f>PLANTILLA!Y26</f>
        <v>5.95</v>
      </c>
      <c r="G12" s="152">
        <f>PLANTILLA!Z26</f>
        <v>14.1</v>
      </c>
      <c r="H12" s="152">
        <f>PLANTILLA!AA26</f>
        <v>2.95</v>
      </c>
      <c r="I12" s="152">
        <f>PLANTILLA!AB26</f>
        <v>8.9499999999999993</v>
      </c>
      <c r="J12" s="152">
        <f>PLANTILLA!AC26</f>
        <v>5.95</v>
      </c>
      <c r="K12" s="152">
        <f>PLANTILLA!AD26</f>
        <v>16.95</v>
      </c>
      <c r="L12" s="297">
        <f>1/7</f>
        <v>0.14285714285714285</v>
      </c>
      <c r="M12" s="297"/>
      <c r="N12" s="297">
        <f t="shared" si="0"/>
        <v>2.3809523809523808E-2</v>
      </c>
      <c r="O12" s="148">
        <f t="shared" si="1"/>
        <v>4.8343101343101345E-2</v>
      </c>
      <c r="P12" s="148">
        <f t="shared" si="2"/>
        <v>0.12409279609279611</v>
      </c>
      <c r="Q12" s="148">
        <f t="shared" si="3"/>
        <v>9.0452991452991446E-2</v>
      </c>
      <c r="R12" s="148">
        <f t="shared" si="4"/>
        <v>0.10496214896214895</v>
      </c>
      <c r="S12" s="148">
        <f t="shared" si="5"/>
        <v>0.10107203907203907</v>
      </c>
      <c r="T12" s="148">
        <f t="shared" ref="T12:T23" si="10">L12*(0.245*0.4+0.34*0.189+0.34*0.095)</f>
        <v>2.7794285714285716E-2</v>
      </c>
      <c r="U12" s="148">
        <f t="shared" ref="U12:U23" si="11">L12*(0.245*0.348+0.34*0.291)</f>
        <v>2.631428571428571E-2</v>
      </c>
      <c r="V12" s="148">
        <f t="shared" ref="V12:V23" si="12">L12*(0.245*0.201+0.34*0.349)</f>
        <v>2.3986428571428568E-2</v>
      </c>
      <c r="W12" s="148">
        <v>0</v>
      </c>
      <c r="X12" s="148">
        <v>0</v>
      </c>
      <c r="Y12" s="345">
        <f>T12</f>
        <v>2.7794285714285716E-2</v>
      </c>
      <c r="Z12" s="345">
        <f>W12</f>
        <v>0</v>
      </c>
      <c r="AA12" s="345">
        <f t="shared" si="9"/>
        <v>2.7794285714285716E-2</v>
      </c>
      <c r="AD12" t="s">
        <v>66</v>
      </c>
      <c r="AE12" t="s">
        <v>249</v>
      </c>
      <c r="AG12" t="s">
        <v>640</v>
      </c>
      <c r="AH12" t="s">
        <v>415</v>
      </c>
    </row>
    <row r="13" spans="1:34" x14ac:dyDescent="0.25">
      <c r="A13" s="255" t="str">
        <f>PLANTILLA!A24</f>
        <v>#11</v>
      </c>
      <c r="B13" s="156" t="str">
        <f>PLANTILLA!D24</f>
        <v>K. Helms</v>
      </c>
      <c r="C13" s="5">
        <f>PLANTILLA!E24</f>
        <v>35</v>
      </c>
      <c r="D13" s="5">
        <f ca="1">PLANTILLA!F24</f>
        <v>28</v>
      </c>
      <c r="E13" s="152">
        <f>PLANTILLA!X24</f>
        <v>0</v>
      </c>
      <c r="F13" s="152">
        <f>PLANTILLA!Y24</f>
        <v>7.2503030303030309</v>
      </c>
      <c r="G13" s="152">
        <f>PLANTILLA!Z24</f>
        <v>10.600000000000005</v>
      </c>
      <c r="H13" s="152">
        <f>PLANTILLA!AA24</f>
        <v>12.95</v>
      </c>
      <c r="I13" s="152">
        <f>PLANTILLA!AB24</f>
        <v>9.9499999999999993</v>
      </c>
      <c r="J13" s="152">
        <f>PLANTILLA!AC24</f>
        <v>3.95</v>
      </c>
      <c r="K13" s="152">
        <f>PLANTILLA!AD24</f>
        <v>18</v>
      </c>
      <c r="L13" s="297">
        <f>1/8</f>
        <v>0.125</v>
      </c>
      <c r="M13" s="297"/>
      <c r="N13" s="297">
        <f t="shared" si="0"/>
        <v>2.0833333333333332E-2</v>
      </c>
      <c r="O13" s="148">
        <f t="shared" si="1"/>
        <v>4.230021367521368E-2</v>
      </c>
      <c r="P13" s="148">
        <f t="shared" si="2"/>
        <v>0.1085811965811966</v>
      </c>
      <c r="Q13" s="148">
        <f t="shared" si="3"/>
        <v>7.9146367521367528E-2</v>
      </c>
      <c r="R13" s="148">
        <f t="shared" si="4"/>
        <v>9.1841880341880344E-2</v>
      </c>
      <c r="S13" s="148">
        <f t="shared" si="5"/>
        <v>8.8438034188034184E-2</v>
      </c>
      <c r="T13" s="148">
        <f t="shared" si="10"/>
        <v>2.4320000000000001E-2</v>
      </c>
      <c r="U13" s="148">
        <f t="shared" si="11"/>
        <v>2.3024999999999997E-2</v>
      </c>
      <c r="V13" s="148">
        <f t="shared" si="12"/>
        <v>2.0988125E-2</v>
      </c>
      <c r="W13" s="148">
        <v>0</v>
      </c>
      <c r="X13" s="148">
        <v>0</v>
      </c>
      <c r="Y13" s="345">
        <f>V13</f>
        <v>2.0988125E-2</v>
      </c>
      <c r="Z13" s="345">
        <f>V13</f>
        <v>2.0988125E-2</v>
      </c>
      <c r="AA13" s="345">
        <f t="shared" si="9"/>
        <v>2.0988125E-2</v>
      </c>
      <c r="AD13" t="s">
        <v>66</v>
      </c>
      <c r="AE13" t="s">
        <v>415</v>
      </c>
      <c r="AG13" t="s">
        <v>66</v>
      </c>
      <c r="AH13" t="s">
        <v>249</v>
      </c>
    </row>
    <row r="14" spans="1:34" x14ac:dyDescent="0.25">
      <c r="A14" s="255" t="str">
        <f>PLANTILLA!A25</f>
        <v>#10</v>
      </c>
      <c r="B14" s="198" t="str">
        <f>PLANTILLA!D25</f>
        <v>S. Zobbe</v>
      </c>
      <c r="C14" s="5">
        <f>PLANTILLA!E25</f>
        <v>32</v>
      </c>
      <c r="D14" s="5">
        <f ca="1">PLANTILLA!F25</f>
        <v>43</v>
      </c>
      <c r="E14" s="152">
        <f>PLANTILLA!X25</f>
        <v>0</v>
      </c>
      <c r="F14" s="152">
        <f>PLANTILLA!Y25</f>
        <v>8.3599999999999977</v>
      </c>
      <c r="G14" s="152">
        <f>PLANTILLA!Z25</f>
        <v>12.253412698412699</v>
      </c>
      <c r="H14" s="152">
        <f>PLANTILLA!AA25</f>
        <v>12.95</v>
      </c>
      <c r="I14" s="152">
        <f>PLANTILLA!AB25</f>
        <v>10.24</v>
      </c>
      <c r="J14" s="152">
        <f>PLANTILLA!AC25</f>
        <v>6.95</v>
      </c>
      <c r="K14" s="152">
        <f>PLANTILLA!AD25</f>
        <v>16</v>
      </c>
      <c r="L14" s="297">
        <f>1/9</f>
        <v>0.1111111111111111</v>
      </c>
      <c r="M14" s="297"/>
      <c r="N14" s="297">
        <f t="shared" si="0"/>
        <v>1.8518518518518517E-2</v>
      </c>
      <c r="O14" s="148">
        <f t="shared" si="1"/>
        <v>3.7600189933523265E-2</v>
      </c>
      <c r="P14" s="148">
        <f t="shared" si="2"/>
        <v>9.6516619183285857E-2</v>
      </c>
      <c r="Q14" s="148">
        <f t="shared" si="3"/>
        <v>7.0352326685660022E-2</v>
      </c>
      <c r="R14" s="148">
        <f t="shared" si="4"/>
        <v>8.1637226970560306E-2</v>
      </c>
      <c r="S14" s="148">
        <f t="shared" si="5"/>
        <v>7.8611585944919279E-2</v>
      </c>
      <c r="T14" s="148">
        <f t="shared" si="10"/>
        <v>2.1617777777777777E-2</v>
      </c>
      <c r="U14" s="148">
        <f t="shared" si="11"/>
        <v>2.0466666666666664E-2</v>
      </c>
      <c r="V14" s="148">
        <f t="shared" si="12"/>
        <v>1.8656111111111109E-2</v>
      </c>
      <c r="W14" s="148">
        <v>0</v>
      </c>
      <c r="X14" s="148">
        <v>0</v>
      </c>
      <c r="Y14" s="345">
        <f>V14</f>
        <v>1.8656111111111109E-2</v>
      </c>
      <c r="Z14" s="345">
        <f>V14</f>
        <v>1.8656111111111109E-2</v>
      </c>
      <c r="AA14" s="345">
        <f t="shared" si="9"/>
        <v>1.8656111111111109E-2</v>
      </c>
    </row>
    <row r="15" spans="1:34" x14ac:dyDescent="0.25">
      <c r="A15" s="255" t="str">
        <f>PLANTILLA!A10</f>
        <v>#6</v>
      </c>
      <c r="B15" s="198" t="str">
        <f>PLANTILLA!D10</f>
        <v>S. Buschelman</v>
      </c>
      <c r="C15" s="5">
        <f>PLANTILLA!E10</f>
        <v>34</v>
      </c>
      <c r="D15" s="5">
        <f ca="1">PLANTILLA!F10</f>
        <v>40</v>
      </c>
      <c r="E15" s="152">
        <f>PLANTILLA!X10</f>
        <v>0</v>
      </c>
      <c r="F15" s="152">
        <f>PLANTILLA!Y10</f>
        <v>9.3036666666666648</v>
      </c>
      <c r="G15" s="152">
        <f>PLANTILLA!Z10</f>
        <v>14</v>
      </c>
      <c r="H15" s="152">
        <f>PLANTILLA!AA10</f>
        <v>12.945</v>
      </c>
      <c r="I15" s="152">
        <f>PLANTILLA!AB10</f>
        <v>9.9499999999999993</v>
      </c>
      <c r="J15" s="152">
        <f>PLANTILLA!AC10</f>
        <v>3.95</v>
      </c>
      <c r="K15" s="152">
        <f>PLANTILLA!AD10</f>
        <v>16</v>
      </c>
      <c r="L15" s="297">
        <f>1/10</f>
        <v>0.1</v>
      </c>
      <c r="M15" s="297"/>
      <c r="N15" s="297">
        <f t="shared" si="0"/>
        <v>1.6666666666666666E-2</v>
      </c>
      <c r="O15" s="148">
        <f t="shared" si="1"/>
        <v>3.3840170940170944E-2</v>
      </c>
      <c r="P15" s="148">
        <f t="shared" si="2"/>
        <v>8.6864957264957285E-2</v>
      </c>
      <c r="Q15" s="148">
        <f t="shared" si="3"/>
        <v>6.3317094017094011E-2</v>
      </c>
      <c r="R15" s="148">
        <f t="shared" si="4"/>
        <v>7.3473504273504284E-2</v>
      </c>
      <c r="S15" s="148">
        <f t="shared" si="5"/>
        <v>7.0750427350427358E-2</v>
      </c>
      <c r="T15" s="148">
        <f t="shared" si="10"/>
        <v>1.9456000000000001E-2</v>
      </c>
      <c r="U15" s="148">
        <f t="shared" si="11"/>
        <v>1.8419999999999999E-2</v>
      </c>
      <c r="V15" s="148">
        <f t="shared" si="12"/>
        <v>1.67905E-2</v>
      </c>
      <c r="W15" s="148">
        <v>0</v>
      </c>
      <c r="X15" s="148">
        <v>0</v>
      </c>
      <c r="Y15" s="345">
        <f>U15</f>
        <v>1.8419999999999999E-2</v>
      </c>
      <c r="Z15" s="345">
        <f>U15</f>
        <v>1.8419999999999999E-2</v>
      </c>
      <c r="AA15" s="345">
        <f t="shared" si="9"/>
        <v>1.8419999999999999E-2</v>
      </c>
    </row>
    <row r="16" spans="1:34" x14ac:dyDescent="0.25">
      <c r="A16" s="255" t="str">
        <f>PLANTILLA!A11</f>
        <v>#4</v>
      </c>
      <c r="B16" s="198" t="str">
        <f>PLANTILLA!D11</f>
        <v>C. Rojas</v>
      </c>
      <c r="C16" s="5">
        <f>PLANTILLA!E11</f>
        <v>36</v>
      </c>
      <c r="D16" s="5">
        <f ca="1">PLANTILLA!F11</f>
        <v>74</v>
      </c>
      <c r="E16" s="152">
        <f>PLANTILLA!X11</f>
        <v>0</v>
      </c>
      <c r="F16" s="152">
        <f>PLANTILLA!Y11</f>
        <v>7.95</v>
      </c>
      <c r="G16" s="152">
        <f>PLANTILLA!Z11</f>
        <v>13.95</v>
      </c>
      <c r="H16" s="152">
        <f>PLANTILLA!AA11</f>
        <v>8.9499999999999993</v>
      </c>
      <c r="I16" s="152">
        <f>PLANTILLA!AB11</f>
        <v>9.9499999999999993</v>
      </c>
      <c r="J16" s="152">
        <f>PLANTILLA!AC11</f>
        <v>1.95</v>
      </c>
      <c r="K16" s="152">
        <f>PLANTILLA!AD11</f>
        <v>16.95</v>
      </c>
      <c r="L16" s="297">
        <f>1/11</f>
        <v>9.0909090909090912E-2</v>
      </c>
      <c r="M16" s="297"/>
      <c r="N16" s="297">
        <f t="shared" si="0"/>
        <v>1.5151515151515152E-2</v>
      </c>
      <c r="O16" s="148">
        <f t="shared" si="1"/>
        <v>3.0763791763791768E-2</v>
      </c>
      <c r="P16" s="148">
        <f t="shared" si="2"/>
        <v>7.8968142968142974E-2</v>
      </c>
      <c r="Q16" s="148">
        <f t="shared" si="3"/>
        <v>5.7560994560994561E-2</v>
      </c>
      <c r="R16" s="148">
        <f t="shared" si="4"/>
        <v>6.6794094794094788E-2</v>
      </c>
      <c r="S16" s="148">
        <f t="shared" si="5"/>
        <v>6.4318570318570328E-2</v>
      </c>
      <c r="T16" s="148">
        <f t="shared" si="10"/>
        <v>1.7687272727272729E-2</v>
      </c>
      <c r="U16" s="148">
        <f t="shared" si="11"/>
        <v>1.6745454545454543E-2</v>
      </c>
      <c r="V16" s="148">
        <f t="shared" si="12"/>
        <v>1.5264090909090909E-2</v>
      </c>
      <c r="W16" s="148">
        <v>0</v>
      </c>
      <c r="X16" s="148">
        <v>0</v>
      </c>
      <c r="Y16" s="345">
        <f>U16</f>
        <v>1.6745454545454543E-2</v>
      </c>
      <c r="Z16" s="345">
        <f>U16</f>
        <v>1.6745454545454543E-2</v>
      </c>
      <c r="AA16" s="345">
        <f t="shared" si="9"/>
        <v>1.6745454545454543E-2</v>
      </c>
    </row>
    <row r="17" spans="1:27" x14ac:dyDescent="0.25">
      <c r="A17" s="255" t="str">
        <f>PLANTILLA!A27</f>
        <v>#9</v>
      </c>
      <c r="B17" s="255" t="str">
        <f>PLANTILLA!D27</f>
        <v>J. Limon</v>
      </c>
      <c r="C17" s="5">
        <f>PLANTILLA!E27</f>
        <v>34</v>
      </c>
      <c r="D17" s="5">
        <f ca="1">PLANTILLA!F27</f>
        <v>80</v>
      </c>
      <c r="E17" s="152">
        <f>PLANTILLA!X27</f>
        <v>0</v>
      </c>
      <c r="F17" s="152">
        <f>PLANTILLA!Y27</f>
        <v>6.8376190476190493</v>
      </c>
      <c r="G17" s="152">
        <f>PLANTILLA!Z27</f>
        <v>8.9499999999999993</v>
      </c>
      <c r="H17" s="152">
        <f>PLANTILLA!AA27</f>
        <v>8.7399999999999967</v>
      </c>
      <c r="I17" s="152">
        <f>PLANTILLA!AB27</f>
        <v>9.9499999999999993</v>
      </c>
      <c r="J17" s="152">
        <f>PLANTILLA!AC27</f>
        <v>7.95</v>
      </c>
      <c r="K17" s="152">
        <f>PLANTILLA!AD27</f>
        <v>18.999999999999993</v>
      </c>
      <c r="L17" s="297">
        <f>1/8</f>
        <v>0.125</v>
      </c>
      <c r="M17" s="297"/>
      <c r="N17" s="297">
        <f t="shared" si="0"/>
        <v>2.0833333333333332E-2</v>
      </c>
      <c r="O17" s="148">
        <f t="shared" si="1"/>
        <v>4.230021367521368E-2</v>
      </c>
      <c r="P17" s="148">
        <f t="shared" si="2"/>
        <v>0.1085811965811966</v>
      </c>
      <c r="Q17" s="148">
        <f t="shared" si="3"/>
        <v>7.9146367521367528E-2</v>
      </c>
      <c r="R17" s="148">
        <f t="shared" si="4"/>
        <v>9.1841880341880344E-2</v>
      </c>
      <c r="S17" s="148">
        <f t="shared" si="5"/>
        <v>8.8438034188034184E-2</v>
      </c>
      <c r="T17" s="148">
        <f t="shared" si="10"/>
        <v>2.4320000000000001E-2</v>
      </c>
      <c r="U17" s="148">
        <f t="shared" si="11"/>
        <v>2.3024999999999997E-2</v>
      </c>
      <c r="V17" s="148">
        <f t="shared" si="12"/>
        <v>2.0988125E-2</v>
      </c>
      <c r="W17" s="148">
        <v>0</v>
      </c>
      <c r="X17" s="148">
        <v>0</v>
      </c>
      <c r="Y17" s="345">
        <v>0</v>
      </c>
      <c r="Z17" s="345">
        <v>0</v>
      </c>
      <c r="AA17" s="345">
        <f t="shared" si="9"/>
        <v>0</v>
      </c>
    </row>
    <row r="18" spans="1:27" x14ac:dyDescent="0.25">
      <c r="A18" s="255" t="str">
        <f>PLANTILLA!A28</f>
        <v>#15</v>
      </c>
      <c r="B18" s="255" t="str">
        <f>PLANTILLA!D28</f>
        <v>P .Trivadi</v>
      </c>
      <c r="C18" s="5">
        <f>PLANTILLA!E28</f>
        <v>31</v>
      </c>
      <c r="D18" s="5">
        <f ca="1">PLANTILLA!F28</f>
        <v>111</v>
      </c>
      <c r="E18" s="152">
        <f>PLANTILLA!X28</f>
        <v>0</v>
      </c>
      <c r="F18" s="152">
        <f>PLANTILLA!Y28</f>
        <v>4.0199999999999996</v>
      </c>
      <c r="G18" s="152">
        <f>PLANTILLA!Z28</f>
        <v>5.95</v>
      </c>
      <c r="H18" s="152">
        <f>PLANTILLA!AA28</f>
        <v>5.5099999999999989</v>
      </c>
      <c r="I18" s="152">
        <f>PLANTILLA!AB28</f>
        <v>10.95</v>
      </c>
      <c r="J18" s="152">
        <f>PLANTILLA!AC28</f>
        <v>7.95</v>
      </c>
      <c r="K18" s="152">
        <f>PLANTILLA!AD28</f>
        <v>14</v>
      </c>
      <c r="L18" s="297">
        <f>1/6</f>
        <v>0.16666666666666666</v>
      </c>
      <c r="M18" s="297"/>
      <c r="N18" s="297">
        <f t="shared" si="0"/>
        <v>2.7777777777777776E-2</v>
      </c>
      <c r="O18" s="148">
        <f t="shared" si="1"/>
        <v>5.6400284900284897E-2</v>
      </c>
      <c r="P18" s="148">
        <f t="shared" si="2"/>
        <v>0.14477492877492881</v>
      </c>
      <c r="Q18" s="148">
        <f t="shared" si="3"/>
        <v>0.10552849002849002</v>
      </c>
      <c r="R18" s="148">
        <f t="shared" si="4"/>
        <v>0.12245584045584045</v>
      </c>
      <c r="S18" s="148">
        <f t="shared" si="5"/>
        <v>0.11791737891737891</v>
      </c>
      <c r="T18" s="148">
        <f t="shared" si="10"/>
        <v>3.2426666666666666E-2</v>
      </c>
      <c r="U18" s="148">
        <f t="shared" si="11"/>
        <v>3.0699999999999995E-2</v>
      </c>
      <c r="V18" s="148">
        <f t="shared" si="12"/>
        <v>2.7984166666666664E-2</v>
      </c>
      <c r="W18" s="148">
        <v>0</v>
      </c>
      <c r="X18" s="148">
        <v>0</v>
      </c>
      <c r="Y18" s="345">
        <v>0</v>
      </c>
      <c r="Z18" s="345">
        <v>0</v>
      </c>
      <c r="AA18" s="345">
        <f t="shared" si="9"/>
        <v>0</v>
      </c>
    </row>
    <row r="19" spans="1:27" x14ac:dyDescent="0.25">
      <c r="A19" s="255" t="e">
        <f>PLANTILLA!#REF!</f>
        <v>#REF!</v>
      </c>
      <c r="B19" s="255" t="e">
        <f>PLANTILLA!#REF!</f>
        <v>#REF!</v>
      </c>
      <c r="C19" s="5" t="e">
        <f>PLANTILLA!#REF!</f>
        <v>#REF!</v>
      </c>
      <c r="D19" s="5" t="e">
        <f>PLANTILLA!#REF!</f>
        <v>#REF!</v>
      </c>
      <c r="E19" s="152" t="e">
        <f>PLANTILLA!#REF!</f>
        <v>#REF!</v>
      </c>
      <c r="F19" s="152" t="e">
        <f>PLANTILLA!#REF!</f>
        <v>#REF!</v>
      </c>
      <c r="G19" s="152" t="e">
        <f>PLANTILLA!#REF!</f>
        <v>#REF!</v>
      </c>
      <c r="H19" s="152" t="e">
        <f>PLANTILLA!#REF!</f>
        <v>#REF!</v>
      </c>
      <c r="I19" s="152" t="e">
        <f>PLANTILLA!#REF!</f>
        <v>#REF!</v>
      </c>
      <c r="J19" s="152" t="e">
        <f>PLANTILLA!#REF!</f>
        <v>#REF!</v>
      </c>
      <c r="K19" s="152" t="e">
        <f>PLANTILLA!#REF!</f>
        <v>#REF!</v>
      </c>
      <c r="L19" s="297">
        <f>1/5</f>
        <v>0.2</v>
      </c>
      <c r="M19" s="297"/>
      <c r="N19" s="297">
        <f t="shared" si="0"/>
        <v>3.3333333333333333E-2</v>
      </c>
      <c r="O19" s="148">
        <f t="shared" si="1"/>
        <v>6.7680341880341888E-2</v>
      </c>
      <c r="P19" s="148">
        <f t="shared" si="2"/>
        <v>0.17372991452991457</v>
      </c>
      <c r="Q19" s="148">
        <f t="shared" si="3"/>
        <v>0.12663418803418802</v>
      </c>
      <c r="R19" s="148">
        <f t="shared" si="4"/>
        <v>0.14694700854700857</v>
      </c>
      <c r="S19" s="148">
        <f t="shared" si="5"/>
        <v>0.14150085470085472</v>
      </c>
      <c r="T19" s="148">
        <f t="shared" si="10"/>
        <v>3.8912000000000002E-2</v>
      </c>
      <c r="U19" s="148">
        <f t="shared" si="11"/>
        <v>3.6839999999999998E-2</v>
      </c>
      <c r="V19" s="148">
        <f t="shared" si="12"/>
        <v>3.3581E-2</v>
      </c>
      <c r="W19" s="148">
        <v>0</v>
      </c>
      <c r="X19" s="148">
        <v>0</v>
      </c>
      <c r="Y19" s="345">
        <v>0</v>
      </c>
      <c r="Z19" s="345">
        <v>0</v>
      </c>
      <c r="AA19" s="345">
        <f t="shared" si="9"/>
        <v>0</v>
      </c>
    </row>
    <row r="20" spans="1:27" x14ac:dyDescent="0.25">
      <c r="A20" s="255" t="str">
        <f>PLANTILLA!A8</f>
        <v>#13</v>
      </c>
      <c r="B20" s="255" t="str">
        <f>PLANTILLA!D8</f>
        <v>F. Lasprilla</v>
      </c>
      <c r="C20" s="5">
        <f>PLANTILLA!E8</f>
        <v>32</v>
      </c>
      <c r="D20" s="5">
        <f ca="1">PLANTILLA!F8</f>
        <v>15</v>
      </c>
      <c r="E20" s="152">
        <f>PLANTILLA!X8</f>
        <v>0</v>
      </c>
      <c r="F20" s="152">
        <f>PLANTILLA!Y8</f>
        <v>9.6046666666666667</v>
      </c>
      <c r="G20" s="152">
        <f>PLANTILLA!Z8</f>
        <v>7.7607222222222223</v>
      </c>
      <c r="H20" s="152">
        <f>PLANTILLA!AA8</f>
        <v>6.1599999999999984</v>
      </c>
      <c r="I20" s="152">
        <f>PLANTILLA!AB8</f>
        <v>8.8633333333333315</v>
      </c>
      <c r="J20" s="152">
        <f>PLANTILLA!AC8</f>
        <v>2.95</v>
      </c>
      <c r="K20" s="152">
        <f>PLANTILLA!AD8</f>
        <v>13.33611111111111</v>
      </c>
      <c r="L20" s="297"/>
      <c r="M20" s="297"/>
      <c r="N20" s="297">
        <f t="shared" si="0"/>
        <v>0</v>
      </c>
      <c r="O20" s="148">
        <f t="shared" si="1"/>
        <v>0</v>
      </c>
      <c r="P20" s="148">
        <f t="shared" si="2"/>
        <v>0</v>
      </c>
      <c r="Q20" s="148">
        <f t="shared" si="3"/>
        <v>0</v>
      </c>
      <c r="R20" s="148">
        <f t="shared" si="4"/>
        <v>0</v>
      </c>
      <c r="S20" s="148">
        <f t="shared" si="5"/>
        <v>0</v>
      </c>
      <c r="T20" s="148">
        <f t="shared" si="10"/>
        <v>0</v>
      </c>
      <c r="U20" s="148">
        <f t="shared" si="11"/>
        <v>0</v>
      </c>
      <c r="V20" s="148">
        <f t="shared" si="12"/>
        <v>0</v>
      </c>
      <c r="W20" s="148">
        <v>0</v>
      </c>
      <c r="X20" s="148">
        <v>0</v>
      </c>
      <c r="Y20" s="345"/>
      <c r="Z20" s="345"/>
      <c r="AA20" s="345">
        <f t="shared" si="9"/>
        <v>0</v>
      </c>
    </row>
    <row r="21" spans="1:27" x14ac:dyDescent="0.25">
      <c r="A21" s="255" t="str">
        <f>PLANTILLA!A13</f>
        <v>#23</v>
      </c>
      <c r="B21" s="255" t="str">
        <f>PLANTILLA!D13</f>
        <v>W. Gelifini</v>
      </c>
      <c r="C21" s="5">
        <f>PLANTILLA!E13</f>
        <v>33</v>
      </c>
      <c r="D21" s="5">
        <f ca="1">PLANTILLA!F13</f>
        <v>105</v>
      </c>
      <c r="E21" s="152">
        <f>PLANTILLA!X13</f>
        <v>0</v>
      </c>
      <c r="F21" s="152">
        <f>PLANTILLA!Y13</f>
        <v>5.6515555555555519</v>
      </c>
      <c r="G21" s="152">
        <f>PLANTILLA!Z13</f>
        <v>8.9499999999999993</v>
      </c>
      <c r="H21" s="152">
        <f>PLANTILLA!AA13</f>
        <v>6.95</v>
      </c>
      <c r="I21" s="152">
        <f>PLANTILLA!AB13</f>
        <v>9.2666666666666639</v>
      </c>
      <c r="J21" s="152">
        <f>PLANTILLA!AC13</f>
        <v>2.95</v>
      </c>
      <c r="K21" s="152">
        <f>PLANTILLA!AD13</f>
        <v>12.847222222222223</v>
      </c>
      <c r="L21" s="297"/>
      <c r="M21" s="297"/>
      <c r="N21" s="297">
        <f t="shared" si="0"/>
        <v>0</v>
      </c>
      <c r="O21" s="148">
        <f t="shared" si="1"/>
        <v>0</v>
      </c>
      <c r="P21" s="148">
        <f t="shared" si="2"/>
        <v>0</v>
      </c>
      <c r="Q21" s="148">
        <f t="shared" si="3"/>
        <v>0</v>
      </c>
      <c r="R21" s="148">
        <f t="shared" si="4"/>
        <v>0</v>
      </c>
      <c r="S21" s="148">
        <f t="shared" si="5"/>
        <v>0</v>
      </c>
      <c r="T21" s="148">
        <f t="shared" si="10"/>
        <v>0</v>
      </c>
      <c r="U21" s="148">
        <f t="shared" si="11"/>
        <v>0</v>
      </c>
      <c r="V21" s="148">
        <f t="shared" si="12"/>
        <v>0</v>
      </c>
      <c r="W21" s="148">
        <v>0</v>
      </c>
      <c r="X21" s="148">
        <v>0</v>
      </c>
      <c r="Y21" s="345"/>
      <c r="Z21" s="345"/>
      <c r="AA21" s="345">
        <f t="shared" si="9"/>
        <v>0</v>
      </c>
    </row>
    <row r="22" spans="1:27" x14ac:dyDescent="0.25">
      <c r="A22" s="255" t="str">
        <f>PLANTILLA!A5</f>
        <v>#25</v>
      </c>
      <c r="B22" s="255" t="str">
        <f>PLANTILLA!D5</f>
        <v>T. Hammond</v>
      </c>
      <c r="C22" s="5">
        <f>PLANTILLA!E5</f>
        <v>39</v>
      </c>
      <c r="D22" s="5">
        <f ca="1">PLANTILLA!F5</f>
        <v>5</v>
      </c>
      <c r="E22" s="152">
        <f>PLANTILLA!X5</f>
        <v>7.95</v>
      </c>
      <c r="F22" s="152">
        <f>PLANTILLA!Y5</f>
        <v>7.95</v>
      </c>
      <c r="G22" s="152">
        <f>PLANTILLA!Z5</f>
        <v>0.95</v>
      </c>
      <c r="H22" s="152">
        <f>PLANTILLA!AA5</f>
        <v>0.95</v>
      </c>
      <c r="I22" s="152">
        <f>PLANTILLA!AB5</f>
        <v>1.95</v>
      </c>
      <c r="J22" s="152">
        <f>PLANTILLA!AC5</f>
        <v>0</v>
      </c>
      <c r="K22" s="152">
        <f>PLANTILLA!AD5</f>
        <v>14.95</v>
      </c>
      <c r="L22" s="297"/>
      <c r="M22" s="297"/>
      <c r="N22" s="297">
        <f t="shared" si="0"/>
        <v>0</v>
      </c>
      <c r="O22" s="148">
        <f t="shared" si="1"/>
        <v>0</v>
      </c>
      <c r="P22" s="148">
        <f t="shared" si="2"/>
        <v>0</v>
      </c>
      <c r="Q22" s="148">
        <f t="shared" si="3"/>
        <v>0</v>
      </c>
      <c r="R22" s="148">
        <f t="shared" si="4"/>
        <v>0</v>
      </c>
      <c r="S22" s="148">
        <f t="shared" si="5"/>
        <v>0</v>
      </c>
      <c r="T22" s="148">
        <f t="shared" si="10"/>
        <v>0</v>
      </c>
      <c r="U22" s="148">
        <f t="shared" si="11"/>
        <v>0</v>
      </c>
      <c r="V22" s="148">
        <f t="shared" si="12"/>
        <v>0</v>
      </c>
      <c r="W22" s="148">
        <v>0</v>
      </c>
      <c r="X22" s="148">
        <v>0</v>
      </c>
      <c r="Y22" s="345"/>
      <c r="Z22" s="345"/>
      <c r="AA22" s="345">
        <f t="shared" si="9"/>
        <v>0</v>
      </c>
    </row>
    <row r="23" spans="1:27" x14ac:dyDescent="0.25">
      <c r="A23" s="255" t="e">
        <f>PLANTILLA!#REF!</f>
        <v>#REF!</v>
      </c>
      <c r="B23" s="255" t="e">
        <f>PLANTILLA!#REF!</f>
        <v>#REF!</v>
      </c>
      <c r="C23" s="5" t="e">
        <f>PLANTILLA!#REF!</f>
        <v>#REF!</v>
      </c>
      <c r="D23" s="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97"/>
      <c r="M23" s="297"/>
      <c r="N23" s="297">
        <f t="shared" si="0"/>
        <v>0</v>
      </c>
      <c r="O23" s="148">
        <f t="shared" si="1"/>
        <v>0</v>
      </c>
      <c r="P23" s="148">
        <f t="shared" si="2"/>
        <v>0</v>
      </c>
      <c r="Q23" s="148">
        <f t="shared" si="3"/>
        <v>0</v>
      </c>
      <c r="R23" s="148">
        <f t="shared" si="4"/>
        <v>0</v>
      </c>
      <c r="S23" s="148">
        <f t="shared" si="5"/>
        <v>0</v>
      </c>
      <c r="T23" s="148">
        <f t="shared" si="10"/>
        <v>0</v>
      </c>
      <c r="U23" s="148">
        <f t="shared" si="11"/>
        <v>0</v>
      </c>
      <c r="V23" s="148">
        <f t="shared" si="12"/>
        <v>0</v>
      </c>
      <c r="W23" s="148">
        <v>0</v>
      </c>
      <c r="X23" s="148">
        <v>0</v>
      </c>
      <c r="Y23" s="345"/>
      <c r="Z23" s="345"/>
      <c r="AA23" s="345">
        <f t="shared" si="9"/>
        <v>0</v>
      </c>
    </row>
    <row r="26" spans="1:27" x14ac:dyDescent="0.25">
      <c r="B26" s="258"/>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508" bestFit="1" customWidth="1"/>
    <col min="14" max="14" width="8.28515625" style="508" bestFit="1" customWidth="1"/>
    <col min="15" max="15" width="4.5703125" style="51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8">
        <v>42584</v>
      </c>
      <c r="Y2" s="516">
        <f>SUM(Y4:Y22)</f>
        <v>0.38669362836502424</v>
      </c>
      <c r="Z2" s="516">
        <f>SUM(Z4:Z22)</f>
        <v>0.36442744206594319</v>
      </c>
      <c r="AA2" s="516"/>
      <c r="AD2" s="421" t="s">
        <v>247</v>
      </c>
      <c r="AE2" s="421" t="s">
        <v>174</v>
      </c>
      <c r="AG2" s="421" t="s">
        <v>247</v>
      </c>
      <c r="AH2" s="421" t="s">
        <v>174</v>
      </c>
    </row>
    <row r="3" spans="1:34" x14ac:dyDescent="0.25">
      <c r="A3" s="266" t="s">
        <v>694</v>
      </c>
      <c r="B3" s="266" t="str">
        <f>PLANTILLA!D3</f>
        <v>Jugador</v>
      </c>
      <c r="C3" s="266" t="str">
        <f>PLANTILLA!E3</f>
        <v>Anys</v>
      </c>
      <c r="D3" s="266" t="str">
        <f>PLANTILLA!F3</f>
        <v>Dias</v>
      </c>
      <c r="E3" s="266" t="str">
        <f>PLANTILLA!X3</f>
        <v>Po</v>
      </c>
      <c r="F3" s="266" t="str">
        <f>PLANTILLA!Y3</f>
        <v>De</v>
      </c>
      <c r="G3" s="266" t="str">
        <f>PLANTILLA!Z3</f>
        <v>Cr</v>
      </c>
      <c r="H3" s="266" t="str">
        <f>PLANTILLA!AA3</f>
        <v>Ex</v>
      </c>
      <c r="I3" s="266" t="str">
        <f>PLANTILLA!AB3</f>
        <v>Ps</v>
      </c>
      <c r="J3" s="266" t="str">
        <f>PLANTILLA!AC3</f>
        <v>An</v>
      </c>
      <c r="K3" s="266" t="str">
        <f>PLANTILLA!AD3</f>
        <v>PA</v>
      </c>
      <c r="L3" s="509">
        <v>1</v>
      </c>
      <c r="M3" s="509">
        <v>0.5</v>
      </c>
      <c r="N3" s="266" t="s">
        <v>664</v>
      </c>
      <c r="O3" s="511" t="s">
        <v>1</v>
      </c>
      <c r="P3" s="511" t="s">
        <v>638</v>
      </c>
      <c r="Q3" s="510" t="s">
        <v>665</v>
      </c>
      <c r="R3" s="510" t="s">
        <v>671</v>
      </c>
      <c r="S3" s="510" t="s">
        <v>666</v>
      </c>
      <c r="T3" s="510" t="s">
        <v>639</v>
      </c>
      <c r="U3" s="510" t="s">
        <v>411</v>
      </c>
      <c r="V3" s="510" t="s">
        <v>670</v>
      </c>
      <c r="W3" s="511" t="s">
        <v>468</v>
      </c>
      <c r="X3" s="515" t="s">
        <v>66</v>
      </c>
      <c r="Y3" s="513" t="s">
        <v>668</v>
      </c>
      <c r="Z3" s="513" t="s">
        <v>669</v>
      </c>
      <c r="AA3" s="513" t="s">
        <v>674</v>
      </c>
      <c r="AD3" t="s">
        <v>1</v>
      </c>
      <c r="AE3" t="s">
        <v>618</v>
      </c>
      <c r="AG3" t="s">
        <v>1</v>
      </c>
      <c r="AH3" t="s">
        <v>618</v>
      </c>
    </row>
    <row r="4" spans="1:34" x14ac:dyDescent="0.25">
      <c r="A4" s="255" t="str">
        <f>PLANTILLA!A10</f>
        <v>#6</v>
      </c>
      <c r="B4" s="156" t="str">
        <f>PLANTILLA!D10</f>
        <v>S. Buschelman</v>
      </c>
      <c r="C4" s="255">
        <f>PLANTILLA!E10</f>
        <v>34</v>
      </c>
      <c r="D4" s="255">
        <f ca="1">PLANTILLA!F10</f>
        <v>40</v>
      </c>
      <c r="E4" s="152">
        <f>PLANTILLA!X10</f>
        <v>0</v>
      </c>
      <c r="F4" s="152">
        <f>PLANTILLA!Y10</f>
        <v>9.3036666666666648</v>
      </c>
      <c r="G4" s="152">
        <f>PLANTILLA!Z10</f>
        <v>14</v>
      </c>
      <c r="H4" s="152">
        <f>PLANTILLA!AA10</f>
        <v>12.945</v>
      </c>
      <c r="I4" s="152">
        <f>PLANTILLA!AB10</f>
        <v>9.9499999999999993</v>
      </c>
      <c r="J4" s="152">
        <f>PLANTILLA!AC10</f>
        <v>3.95</v>
      </c>
      <c r="K4" s="152">
        <f>PLANTILLA!AD10</f>
        <v>16</v>
      </c>
      <c r="L4" s="512">
        <f>1/16</f>
        <v>6.25E-2</v>
      </c>
      <c r="M4" s="297">
        <f t="shared" ref="M4:M23" si="0">L4*0.5</f>
        <v>3.125E-2</v>
      </c>
      <c r="N4" s="297">
        <f t="shared" ref="N4:N23" si="1">L4*0.125</f>
        <v>7.8125E-3</v>
      </c>
      <c r="O4" s="148">
        <v>0</v>
      </c>
      <c r="P4" s="148">
        <f t="shared" ref="P4:P23" si="2">L4*0.236</f>
        <v>1.4749999999999999E-2</v>
      </c>
      <c r="Q4" s="148">
        <f t="shared" ref="Q4:Q23" si="3">L4*0.363</f>
        <v>2.2687499999999999E-2</v>
      </c>
      <c r="R4" s="148">
        <f t="shared" ref="R4:R23" si="4">L4*0.165</f>
        <v>1.03125E-2</v>
      </c>
      <c r="S4" s="148">
        <f t="shared" ref="S4:S23" si="5">L4*0.167</f>
        <v>1.0437500000000001E-2</v>
      </c>
      <c r="T4" s="148">
        <f t="shared" ref="T4:T23" si="6">L4*1</f>
        <v>6.25E-2</v>
      </c>
      <c r="U4" s="148">
        <f t="shared" ref="U4:U23" si="7">L4*0.881</f>
        <v>5.50625E-2</v>
      </c>
      <c r="V4" s="148">
        <f t="shared" ref="V4:V23" si="8">L4*0.455</f>
        <v>2.8437500000000001E-2</v>
      </c>
      <c r="W4" s="148">
        <f t="shared" ref="W4:W23" si="9">L4*0.406</f>
        <v>2.5375000000000002E-2</v>
      </c>
      <c r="X4" s="148">
        <f t="shared" ref="X4:X23" si="10">L4*0.25</f>
        <v>1.5625E-2</v>
      </c>
      <c r="Y4" s="345">
        <f>U4</f>
        <v>5.50625E-2</v>
      </c>
      <c r="Z4" s="345">
        <f>U4</f>
        <v>5.50625E-2</v>
      </c>
      <c r="AA4" s="345">
        <f t="shared" ref="AA4:AA23" si="11">MAX(Z4,Y4)</f>
        <v>5.50625E-2</v>
      </c>
      <c r="AD4" t="s">
        <v>637</v>
      </c>
      <c r="AE4" s="529" t="s">
        <v>683</v>
      </c>
      <c r="AG4" t="s">
        <v>637</v>
      </c>
      <c r="AH4" s="529" t="str">
        <f>AE4</f>
        <v>B. Pinczehelyi</v>
      </c>
    </row>
    <row r="5" spans="1:34" x14ac:dyDescent="0.25">
      <c r="A5" s="255" t="str">
        <f>PLANTILLA!A26</f>
        <v>#5</v>
      </c>
      <c r="B5" s="156" t="str">
        <f>PLANTILLA!D26</f>
        <v>L. Bauman</v>
      </c>
      <c r="C5" s="255">
        <f>PLANTILLA!E26</f>
        <v>35</v>
      </c>
      <c r="D5" s="255">
        <f ca="1">PLANTILLA!F26</f>
        <v>43</v>
      </c>
      <c r="E5" s="152">
        <f>PLANTILLA!X26</f>
        <v>0</v>
      </c>
      <c r="F5" s="152">
        <f>PLANTILLA!Y26</f>
        <v>5.95</v>
      </c>
      <c r="G5" s="152">
        <f>PLANTILLA!Z26</f>
        <v>14.1</v>
      </c>
      <c r="H5" s="152">
        <f>PLANTILLA!AA26</f>
        <v>2.95</v>
      </c>
      <c r="I5" s="152">
        <f>PLANTILLA!AB26</f>
        <v>8.9499999999999993</v>
      </c>
      <c r="J5" s="152">
        <f>PLANTILLA!AC26</f>
        <v>5.95</v>
      </c>
      <c r="K5" s="152">
        <f>PLANTILLA!AD26</f>
        <v>16.95</v>
      </c>
      <c r="L5" s="512">
        <f>1/21</f>
        <v>4.7619047619047616E-2</v>
      </c>
      <c r="M5" s="297">
        <f t="shared" si="0"/>
        <v>2.3809523809523808E-2</v>
      </c>
      <c r="N5" s="297">
        <f t="shared" si="1"/>
        <v>5.9523809523809521E-3</v>
      </c>
      <c r="O5" s="148">
        <v>0</v>
      </c>
      <c r="P5" s="148">
        <f t="shared" si="2"/>
        <v>1.1238095238095236E-2</v>
      </c>
      <c r="Q5" s="148">
        <f t="shared" si="3"/>
        <v>1.7285714285714283E-2</v>
      </c>
      <c r="R5" s="148">
        <f t="shared" si="4"/>
        <v>7.8571428571428577E-3</v>
      </c>
      <c r="S5" s="148">
        <f t="shared" si="5"/>
        <v>7.9523809523809521E-3</v>
      </c>
      <c r="T5" s="148">
        <f t="shared" si="6"/>
        <v>4.7619047619047616E-2</v>
      </c>
      <c r="U5" s="148">
        <f t="shared" si="7"/>
        <v>4.1952380952380949E-2</v>
      </c>
      <c r="V5" s="148">
        <f t="shared" si="8"/>
        <v>2.1666666666666667E-2</v>
      </c>
      <c r="W5" s="148">
        <f t="shared" si="9"/>
        <v>1.9333333333333334E-2</v>
      </c>
      <c r="X5" s="148">
        <f t="shared" si="10"/>
        <v>1.1904761904761904E-2</v>
      </c>
      <c r="Y5" s="345">
        <f>T5</f>
        <v>4.7619047619047616E-2</v>
      </c>
      <c r="Z5" s="345">
        <f>W5</f>
        <v>1.9333333333333334E-2</v>
      </c>
      <c r="AA5" s="345">
        <f t="shared" si="11"/>
        <v>4.7619047619047616E-2</v>
      </c>
      <c r="AD5" t="s">
        <v>638</v>
      </c>
      <c r="AE5" t="s">
        <v>244</v>
      </c>
      <c r="AG5" t="s">
        <v>649</v>
      </c>
      <c r="AH5" t="s">
        <v>245</v>
      </c>
    </row>
    <row r="6" spans="1:34" x14ac:dyDescent="0.25">
      <c r="A6" s="255" t="str">
        <f>PLANTILLA!A27</f>
        <v>#9</v>
      </c>
      <c r="B6" s="156" t="str">
        <f>PLANTILLA!D27</f>
        <v>J. Limon</v>
      </c>
      <c r="C6" s="255">
        <f>PLANTILLA!E27</f>
        <v>34</v>
      </c>
      <c r="D6" s="255">
        <f ca="1">PLANTILLA!F27</f>
        <v>80</v>
      </c>
      <c r="E6" s="152">
        <f>PLANTILLA!X27</f>
        <v>0</v>
      </c>
      <c r="F6" s="152">
        <f>PLANTILLA!Y27</f>
        <v>6.8376190476190493</v>
      </c>
      <c r="G6" s="152">
        <f>PLANTILLA!Z27</f>
        <v>8.9499999999999993</v>
      </c>
      <c r="H6" s="152">
        <f>PLANTILLA!AA27</f>
        <v>8.7399999999999967</v>
      </c>
      <c r="I6" s="152">
        <f>PLANTILLA!AB27</f>
        <v>9.9499999999999993</v>
      </c>
      <c r="J6" s="152">
        <f>PLANTILLA!AC27</f>
        <v>7.95</v>
      </c>
      <c r="K6" s="152">
        <f>PLANTILLA!AD27</f>
        <v>18.999999999999993</v>
      </c>
      <c r="L6" s="297">
        <f>1/9</f>
        <v>0.1111111111111111</v>
      </c>
      <c r="M6" s="297">
        <f t="shared" si="0"/>
        <v>5.5555555555555552E-2</v>
      </c>
      <c r="N6" s="297">
        <f t="shared" si="1"/>
        <v>1.3888888888888888E-2</v>
      </c>
      <c r="O6" s="148">
        <v>0</v>
      </c>
      <c r="P6" s="148">
        <f t="shared" si="2"/>
        <v>2.622222222222222E-2</v>
      </c>
      <c r="Q6" s="148">
        <f t="shared" si="3"/>
        <v>4.0333333333333332E-2</v>
      </c>
      <c r="R6" s="148">
        <f t="shared" si="4"/>
        <v>1.8333333333333333E-2</v>
      </c>
      <c r="S6" s="148">
        <f t="shared" si="5"/>
        <v>1.8555555555555554E-2</v>
      </c>
      <c r="T6" s="148">
        <f t="shared" si="6"/>
        <v>0.1111111111111111</v>
      </c>
      <c r="U6" s="148">
        <f t="shared" si="7"/>
        <v>9.7888888888888886E-2</v>
      </c>
      <c r="V6" s="148">
        <f t="shared" si="8"/>
        <v>5.0555555555555555E-2</v>
      </c>
      <c r="W6" s="148">
        <f t="shared" si="9"/>
        <v>4.5111111111111109E-2</v>
      </c>
      <c r="X6" s="148">
        <f t="shared" si="10"/>
        <v>2.7777777777777776E-2</v>
      </c>
      <c r="Y6" s="345">
        <f>W6</f>
        <v>4.5111111111111109E-2</v>
      </c>
      <c r="Z6" s="345"/>
      <c r="AA6" s="345">
        <f t="shared" si="11"/>
        <v>4.5111111111111109E-2</v>
      </c>
      <c r="AD6" t="s">
        <v>637</v>
      </c>
      <c r="AE6" t="s">
        <v>242</v>
      </c>
      <c r="AG6" t="s">
        <v>648</v>
      </c>
      <c r="AH6" t="s">
        <v>242</v>
      </c>
    </row>
    <row r="7" spans="1:34" x14ac:dyDescent="0.25">
      <c r="A7" s="255" t="e">
        <f>PLANTILLA!#REF!</f>
        <v>#REF!</v>
      </c>
      <c r="B7" s="156" t="e">
        <f>PLANTILLA!#REF!</f>
        <v>#REF!</v>
      </c>
      <c r="C7" s="255" t="e">
        <f>PLANTILLA!#REF!</f>
        <v>#REF!</v>
      </c>
      <c r="D7" s="255" t="e">
        <f>PLANTILLA!#REF!</f>
        <v>#REF!</v>
      </c>
      <c r="E7" s="152" t="e">
        <f>PLANTILLA!#REF!</f>
        <v>#REF!</v>
      </c>
      <c r="F7" s="152" t="e">
        <f>PLANTILLA!#REF!</f>
        <v>#REF!</v>
      </c>
      <c r="G7" s="152" t="e">
        <f>PLANTILLA!#REF!</f>
        <v>#REF!</v>
      </c>
      <c r="H7" s="152" t="e">
        <f>PLANTILLA!#REF!</f>
        <v>#REF!</v>
      </c>
      <c r="I7" s="152" t="e">
        <f>PLANTILLA!#REF!</f>
        <v>#REF!</v>
      </c>
      <c r="J7" s="152" t="e">
        <f>PLANTILLA!#REF!</f>
        <v>#REF!</v>
      </c>
      <c r="K7" s="152" t="e">
        <f>PLANTILLA!#REF!</f>
        <v>#REF!</v>
      </c>
      <c r="L7">
        <f>1/20</f>
        <v>0.05</v>
      </c>
      <c r="M7" s="297">
        <f t="shared" si="0"/>
        <v>2.5000000000000001E-2</v>
      </c>
      <c r="N7" s="297">
        <f t="shared" si="1"/>
        <v>6.2500000000000003E-3</v>
      </c>
      <c r="O7" s="148">
        <v>0</v>
      </c>
      <c r="P7" s="148">
        <f t="shared" si="2"/>
        <v>1.18E-2</v>
      </c>
      <c r="Q7" s="148">
        <f t="shared" si="3"/>
        <v>1.8149999999999999E-2</v>
      </c>
      <c r="R7" s="148">
        <f t="shared" si="4"/>
        <v>8.2500000000000004E-3</v>
      </c>
      <c r="S7" s="148">
        <f t="shared" si="5"/>
        <v>8.3500000000000015E-3</v>
      </c>
      <c r="T7" s="148">
        <f t="shared" si="6"/>
        <v>0.05</v>
      </c>
      <c r="U7" s="148">
        <f t="shared" si="7"/>
        <v>4.4050000000000006E-2</v>
      </c>
      <c r="V7" s="148">
        <f t="shared" si="8"/>
        <v>2.2750000000000003E-2</v>
      </c>
      <c r="W7" s="148">
        <f t="shared" si="9"/>
        <v>2.0300000000000002E-2</v>
      </c>
      <c r="X7" s="148">
        <f t="shared" si="10"/>
        <v>1.2500000000000001E-2</v>
      </c>
      <c r="Y7" s="345">
        <f>U7</f>
        <v>4.4050000000000006E-2</v>
      </c>
      <c r="Z7" s="345">
        <f>U7</f>
        <v>4.4050000000000006E-2</v>
      </c>
      <c r="AA7" s="345">
        <f t="shared" si="11"/>
        <v>4.4050000000000006E-2</v>
      </c>
      <c r="AD7" t="s">
        <v>411</v>
      </c>
      <c r="AE7" t="s">
        <v>482</v>
      </c>
      <c r="AG7" t="s">
        <v>649</v>
      </c>
      <c r="AH7" t="s">
        <v>246</v>
      </c>
    </row>
    <row r="8" spans="1:34" x14ac:dyDescent="0.25">
      <c r="A8" s="255" t="str">
        <f>PLANTILLA!A24</f>
        <v>#11</v>
      </c>
      <c r="B8" s="156" t="str">
        <f>PLANTILLA!D24</f>
        <v>K. Helms</v>
      </c>
      <c r="C8" s="255">
        <f>PLANTILLA!E24</f>
        <v>35</v>
      </c>
      <c r="D8" s="255">
        <f ca="1">PLANTILLA!F24</f>
        <v>28</v>
      </c>
      <c r="E8" s="152">
        <f>PLANTILLA!X24</f>
        <v>0</v>
      </c>
      <c r="F8" s="152">
        <f>PLANTILLA!Y24</f>
        <v>7.2503030303030309</v>
      </c>
      <c r="G8" s="152">
        <f>PLANTILLA!Z24</f>
        <v>10.600000000000005</v>
      </c>
      <c r="H8" s="152">
        <f>PLANTILLA!AA24</f>
        <v>12.95</v>
      </c>
      <c r="I8" s="152">
        <f>PLANTILLA!AB24</f>
        <v>9.9499999999999993</v>
      </c>
      <c r="J8" s="152">
        <f>PLANTILLA!AC24</f>
        <v>3.95</v>
      </c>
      <c r="K8" s="152">
        <f>PLANTILLA!AD24</f>
        <v>18</v>
      </c>
      <c r="L8" s="512">
        <f>1/12</f>
        <v>8.3333333333333329E-2</v>
      </c>
      <c r="M8" s="297">
        <f t="shared" si="0"/>
        <v>4.1666666666666664E-2</v>
      </c>
      <c r="N8" s="297">
        <f t="shared" si="1"/>
        <v>1.0416666666666666E-2</v>
      </c>
      <c r="O8" s="148">
        <v>0</v>
      </c>
      <c r="P8" s="148">
        <f t="shared" si="2"/>
        <v>1.9666666666666666E-2</v>
      </c>
      <c r="Q8" s="148">
        <f t="shared" si="3"/>
        <v>3.0249999999999999E-2</v>
      </c>
      <c r="R8" s="148">
        <f t="shared" si="4"/>
        <v>1.375E-2</v>
      </c>
      <c r="S8" s="148">
        <f t="shared" si="5"/>
        <v>1.3916666666666667E-2</v>
      </c>
      <c r="T8" s="148">
        <f t="shared" si="6"/>
        <v>8.3333333333333329E-2</v>
      </c>
      <c r="U8" s="148">
        <f t="shared" si="7"/>
        <v>7.3416666666666658E-2</v>
      </c>
      <c r="V8" s="148">
        <f t="shared" si="8"/>
        <v>3.7916666666666668E-2</v>
      </c>
      <c r="W8" s="148">
        <f t="shared" si="9"/>
        <v>3.3833333333333333E-2</v>
      </c>
      <c r="X8" s="148">
        <f t="shared" si="10"/>
        <v>2.0833333333333332E-2</v>
      </c>
      <c r="Y8" s="345">
        <f>V8</f>
        <v>3.7916666666666668E-2</v>
      </c>
      <c r="Z8" s="345">
        <f>V8</f>
        <v>3.7916666666666668E-2</v>
      </c>
      <c r="AA8" s="345">
        <f t="shared" si="11"/>
        <v>3.7916666666666668E-2</v>
      </c>
      <c r="AD8" t="s">
        <v>639</v>
      </c>
      <c r="AE8" t="s">
        <v>345</v>
      </c>
      <c r="AG8" t="s">
        <v>637</v>
      </c>
      <c r="AH8" t="s">
        <v>650</v>
      </c>
    </row>
    <row r="9" spans="1:34" x14ac:dyDescent="0.25">
      <c r="A9" s="255" t="str">
        <f>PLANTILLA!A11</f>
        <v>#4</v>
      </c>
      <c r="B9" s="156" t="str">
        <f>PLANTILLA!D11</f>
        <v>C. Rojas</v>
      </c>
      <c r="C9" s="255">
        <f>PLANTILLA!E11</f>
        <v>36</v>
      </c>
      <c r="D9" s="255">
        <f ca="1">PLANTILLA!F11</f>
        <v>74</v>
      </c>
      <c r="E9" s="152">
        <f>PLANTILLA!X11</f>
        <v>0</v>
      </c>
      <c r="F9" s="152">
        <f>PLANTILLA!Y11</f>
        <v>7.95</v>
      </c>
      <c r="G9" s="152">
        <f>PLANTILLA!Z11</f>
        <v>13.95</v>
      </c>
      <c r="H9" s="152">
        <f>PLANTILLA!AA11</f>
        <v>8.9499999999999993</v>
      </c>
      <c r="I9" s="152">
        <f>PLANTILLA!AB11</f>
        <v>9.9499999999999993</v>
      </c>
      <c r="J9" s="152">
        <f>PLANTILLA!AC11</f>
        <v>1.95</v>
      </c>
      <c r="K9" s="152">
        <f>PLANTILLA!AD11</f>
        <v>16.95</v>
      </c>
      <c r="L9" s="512">
        <f>1/26</f>
        <v>3.8461538461538464E-2</v>
      </c>
      <c r="M9" s="297">
        <f t="shared" si="0"/>
        <v>1.9230769230769232E-2</v>
      </c>
      <c r="N9" s="297">
        <f t="shared" si="1"/>
        <v>4.807692307692308E-3</v>
      </c>
      <c r="O9" s="148">
        <v>0</v>
      </c>
      <c r="P9" s="148">
        <f t="shared" si="2"/>
        <v>9.0769230769230762E-3</v>
      </c>
      <c r="Q9" s="148">
        <f t="shared" si="3"/>
        <v>1.3961538461538463E-2</v>
      </c>
      <c r="R9" s="148">
        <f t="shared" si="4"/>
        <v>6.3461538461538469E-3</v>
      </c>
      <c r="S9" s="148">
        <f t="shared" si="5"/>
        <v>6.4230769230769237E-3</v>
      </c>
      <c r="T9" s="148">
        <f t="shared" si="6"/>
        <v>3.8461538461538464E-2</v>
      </c>
      <c r="U9" s="148">
        <f t="shared" si="7"/>
        <v>3.3884615384615388E-2</v>
      </c>
      <c r="V9" s="148">
        <f t="shared" si="8"/>
        <v>1.7500000000000002E-2</v>
      </c>
      <c r="W9" s="148">
        <f t="shared" si="9"/>
        <v>1.5615384615384618E-2</v>
      </c>
      <c r="X9" s="148">
        <f t="shared" si="10"/>
        <v>9.6153846153846159E-3</v>
      </c>
      <c r="Y9" s="345">
        <f>U9</f>
        <v>3.3884615384615388E-2</v>
      </c>
      <c r="Z9" s="345">
        <f>U9</f>
        <v>3.3884615384615388E-2</v>
      </c>
      <c r="AA9" s="345">
        <f t="shared" si="11"/>
        <v>3.3884615384615388E-2</v>
      </c>
      <c r="AD9" t="s">
        <v>411</v>
      </c>
      <c r="AE9" t="s">
        <v>248</v>
      </c>
      <c r="AG9" t="s">
        <v>411</v>
      </c>
      <c r="AH9" t="s">
        <v>248</v>
      </c>
    </row>
    <row r="10" spans="1:34" x14ac:dyDescent="0.25">
      <c r="A10" s="255" t="str">
        <f>PLANTILLA!A25</f>
        <v>#10</v>
      </c>
      <c r="B10" s="563" t="str">
        <f>PLANTILLA!D25</f>
        <v>S. Zobbe</v>
      </c>
      <c r="C10" s="255">
        <f>PLANTILLA!E25</f>
        <v>32</v>
      </c>
      <c r="D10" s="255">
        <f ca="1">PLANTILLA!F25</f>
        <v>43</v>
      </c>
      <c r="E10" s="152">
        <f>PLANTILLA!X25</f>
        <v>0</v>
      </c>
      <c r="F10" s="152">
        <f>PLANTILLA!Y25</f>
        <v>8.3599999999999977</v>
      </c>
      <c r="G10" s="152">
        <f>PLANTILLA!Z25</f>
        <v>12.253412698412699</v>
      </c>
      <c r="H10" s="152">
        <f>PLANTILLA!AA25</f>
        <v>12.95</v>
      </c>
      <c r="I10" s="152">
        <f>PLANTILLA!AB25</f>
        <v>10.24</v>
      </c>
      <c r="J10" s="152">
        <f>PLANTILLA!AC25</f>
        <v>6.95</v>
      </c>
      <c r="K10" s="152">
        <f>PLANTILLA!AD25</f>
        <v>16</v>
      </c>
      <c r="L10" s="512">
        <f>1/14</f>
        <v>7.1428571428571425E-2</v>
      </c>
      <c r="M10" s="297">
        <f t="shared" si="0"/>
        <v>3.5714285714285712E-2</v>
      </c>
      <c r="N10" s="297">
        <f t="shared" si="1"/>
        <v>8.9285714285714281E-3</v>
      </c>
      <c r="O10" s="148">
        <v>0</v>
      </c>
      <c r="P10" s="148">
        <f t="shared" si="2"/>
        <v>1.6857142857142855E-2</v>
      </c>
      <c r="Q10" s="148">
        <f t="shared" si="3"/>
        <v>2.5928571428571426E-2</v>
      </c>
      <c r="R10" s="148">
        <f t="shared" si="4"/>
        <v>1.1785714285714285E-2</v>
      </c>
      <c r="S10" s="148">
        <f t="shared" si="5"/>
        <v>1.1928571428571429E-2</v>
      </c>
      <c r="T10" s="148">
        <f t="shared" si="6"/>
        <v>7.1428571428571425E-2</v>
      </c>
      <c r="U10" s="148">
        <f t="shared" si="7"/>
        <v>6.2928571428571431E-2</v>
      </c>
      <c r="V10" s="148">
        <f t="shared" si="8"/>
        <v>3.2500000000000001E-2</v>
      </c>
      <c r="W10" s="148">
        <f t="shared" si="9"/>
        <v>2.9000000000000001E-2</v>
      </c>
      <c r="X10" s="148">
        <f t="shared" si="10"/>
        <v>1.7857142857142856E-2</v>
      </c>
      <c r="Y10" s="345">
        <f>V10</f>
        <v>3.2500000000000001E-2</v>
      </c>
      <c r="Z10" s="345">
        <f>V10</f>
        <v>3.2500000000000001E-2</v>
      </c>
      <c r="AA10" s="345">
        <f t="shared" si="11"/>
        <v>3.2500000000000001E-2</v>
      </c>
      <c r="AD10" t="s">
        <v>640</v>
      </c>
      <c r="AE10" t="s">
        <v>650</v>
      </c>
      <c r="AG10" t="s">
        <v>411</v>
      </c>
      <c r="AH10" t="s">
        <v>482</v>
      </c>
    </row>
    <row r="11" spans="1:34" x14ac:dyDescent="0.25">
      <c r="A11" s="255" t="str">
        <f>PLANTILLA!A9</f>
        <v>#7</v>
      </c>
      <c r="B11" s="563" t="str">
        <f>PLANTILLA!D9</f>
        <v>E. Romweber</v>
      </c>
      <c r="C11" s="255">
        <f>PLANTILLA!E9</f>
        <v>35</v>
      </c>
      <c r="D11" s="255">
        <f ca="1">PLANTILLA!F9</f>
        <v>81</v>
      </c>
      <c r="E11" s="152">
        <f>PLANTILLA!X9</f>
        <v>0</v>
      </c>
      <c r="F11" s="152">
        <f>PLANTILLA!Y9</f>
        <v>11.95</v>
      </c>
      <c r="G11" s="152">
        <f>PLANTILLA!Z9</f>
        <v>12.614111111111114</v>
      </c>
      <c r="H11" s="152">
        <f>PLANTILLA!AA9</f>
        <v>12.95</v>
      </c>
      <c r="I11" s="152">
        <f>PLANTILLA!AB9</f>
        <v>10.95</v>
      </c>
      <c r="J11" s="152">
        <f>PLANTILLA!AC9</f>
        <v>5.95</v>
      </c>
      <c r="K11" s="152">
        <f>PLANTILLA!AD9</f>
        <v>17.529999999999998</v>
      </c>
      <c r="L11" s="512">
        <f>1/16</f>
        <v>6.25E-2</v>
      </c>
      <c r="M11" s="297">
        <f t="shared" si="0"/>
        <v>3.125E-2</v>
      </c>
      <c r="N11" s="297">
        <f t="shared" si="1"/>
        <v>7.8125E-3</v>
      </c>
      <c r="O11" s="148">
        <v>0</v>
      </c>
      <c r="P11" s="148">
        <f t="shared" si="2"/>
        <v>1.4749999999999999E-2</v>
      </c>
      <c r="Q11" s="148">
        <f t="shared" si="3"/>
        <v>2.2687499999999999E-2</v>
      </c>
      <c r="R11" s="148">
        <f t="shared" si="4"/>
        <v>1.03125E-2</v>
      </c>
      <c r="S11" s="148">
        <f t="shared" si="5"/>
        <v>1.0437500000000001E-2</v>
      </c>
      <c r="T11" s="148">
        <f t="shared" si="6"/>
        <v>6.25E-2</v>
      </c>
      <c r="U11" s="148">
        <f t="shared" si="7"/>
        <v>5.50625E-2</v>
      </c>
      <c r="V11" s="148">
        <f t="shared" si="8"/>
        <v>2.8437500000000001E-2</v>
      </c>
      <c r="W11" s="148">
        <f t="shared" si="9"/>
        <v>2.5375000000000002E-2</v>
      </c>
      <c r="X11" s="148">
        <f t="shared" si="10"/>
        <v>1.5625E-2</v>
      </c>
      <c r="Y11" s="345">
        <f>V11</f>
        <v>2.8437500000000001E-2</v>
      </c>
      <c r="Z11" s="345">
        <f>V11</f>
        <v>2.8437500000000001E-2</v>
      </c>
      <c r="AA11" s="345">
        <f t="shared" si="11"/>
        <v>2.8437500000000001E-2</v>
      </c>
      <c r="AD11" t="s">
        <v>640</v>
      </c>
      <c r="AE11" t="s">
        <v>254</v>
      </c>
      <c r="AG11" t="s">
        <v>640</v>
      </c>
      <c r="AH11" t="s">
        <v>254</v>
      </c>
    </row>
    <row r="12" spans="1:34" x14ac:dyDescent="0.25">
      <c r="A12" s="255" t="e">
        <f>PLANTILLA!#REF!</f>
        <v>#REF!</v>
      </c>
      <c r="B12" s="198" t="e">
        <f>PLANTILLA!#REF!</f>
        <v>#REF!</v>
      </c>
      <c r="C12" s="255" t="e">
        <f>PLANTILLA!#REF!</f>
        <v>#REF!</v>
      </c>
      <c r="D12" s="255"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512">
        <f>1/7</f>
        <v>0.14285714285714285</v>
      </c>
      <c r="M12" s="297">
        <f t="shared" si="0"/>
        <v>7.1428571428571425E-2</v>
      </c>
      <c r="N12" s="297">
        <f t="shared" si="1"/>
        <v>1.7857142857142856E-2</v>
      </c>
      <c r="O12" s="148">
        <v>0</v>
      </c>
      <c r="P12" s="148">
        <f t="shared" si="2"/>
        <v>3.3714285714285711E-2</v>
      </c>
      <c r="Q12" s="148">
        <f t="shared" si="3"/>
        <v>5.1857142857142852E-2</v>
      </c>
      <c r="R12" s="148">
        <f t="shared" si="4"/>
        <v>2.357142857142857E-2</v>
      </c>
      <c r="S12" s="148">
        <f t="shared" si="5"/>
        <v>2.3857142857142858E-2</v>
      </c>
      <c r="T12" s="148">
        <f t="shared" si="6"/>
        <v>0.14285714285714285</v>
      </c>
      <c r="U12" s="148">
        <f t="shared" si="7"/>
        <v>0.12585714285714286</v>
      </c>
      <c r="V12" s="148">
        <f t="shared" si="8"/>
        <v>6.5000000000000002E-2</v>
      </c>
      <c r="W12" s="148">
        <f t="shared" si="9"/>
        <v>5.8000000000000003E-2</v>
      </c>
      <c r="X12" s="148">
        <f t="shared" si="10"/>
        <v>3.5714285714285712E-2</v>
      </c>
      <c r="Y12" s="345"/>
      <c r="Z12" s="345">
        <f>R12</f>
        <v>2.357142857142857E-2</v>
      </c>
      <c r="AA12" s="345">
        <f t="shared" si="11"/>
        <v>2.357142857142857E-2</v>
      </c>
      <c r="AD12" t="s">
        <v>66</v>
      </c>
      <c r="AE12" t="s">
        <v>249</v>
      </c>
      <c r="AG12" t="s">
        <v>640</v>
      </c>
      <c r="AH12" t="s">
        <v>415</v>
      </c>
    </row>
    <row r="13" spans="1:34" x14ac:dyDescent="0.25">
      <c r="A13" s="255" t="str">
        <f>PLANTILLA!A7</f>
        <v>#24</v>
      </c>
      <c r="B13" s="198" t="str">
        <f>PLANTILLA!D7</f>
        <v>B. Bartolache</v>
      </c>
      <c r="C13" s="255">
        <f>PLANTILLA!E7</f>
        <v>35</v>
      </c>
      <c r="D13" s="255">
        <f ca="1">PLANTILLA!F7</f>
        <v>104</v>
      </c>
      <c r="E13" s="152">
        <f>PLANTILLA!X7</f>
        <v>0</v>
      </c>
      <c r="F13" s="152">
        <f>PLANTILLA!Y7</f>
        <v>11.95</v>
      </c>
      <c r="G13" s="152">
        <f>PLANTILLA!Z7</f>
        <v>5.95</v>
      </c>
      <c r="H13" s="152">
        <f>PLANTILLA!AA7</f>
        <v>6.95</v>
      </c>
      <c r="I13" s="152">
        <f>PLANTILLA!AB7</f>
        <v>7.95</v>
      </c>
      <c r="J13" s="152">
        <f>PLANTILLA!AC7</f>
        <v>2.95</v>
      </c>
      <c r="K13" s="152">
        <f>PLANTILLA!AD7</f>
        <v>16</v>
      </c>
      <c r="L13" s="512">
        <f>1/8</f>
        <v>0.125</v>
      </c>
      <c r="M13" s="297">
        <f t="shared" si="0"/>
        <v>6.25E-2</v>
      </c>
      <c r="N13" s="297">
        <f t="shared" si="1"/>
        <v>1.5625E-2</v>
      </c>
      <c r="O13" s="148">
        <v>0</v>
      </c>
      <c r="P13" s="148">
        <f t="shared" si="2"/>
        <v>2.9499999999999998E-2</v>
      </c>
      <c r="Q13" s="148">
        <f t="shared" si="3"/>
        <v>4.5374999999999999E-2</v>
      </c>
      <c r="R13" s="148">
        <f t="shared" si="4"/>
        <v>2.0625000000000001E-2</v>
      </c>
      <c r="S13" s="148">
        <f t="shared" si="5"/>
        <v>2.0875000000000001E-2</v>
      </c>
      <c r="T13" s="148">
        <f t="shared" si="6"/>
        <v>0.125</v>
      </c>
      <c r="U13" s="148">
        <f t="shared" si="7"/>
        <v>0.110125</v>
      </c>
      <c r="V13" s="148">
        <f t="shared" si="8"/>
        <v>5.6875000000000002E-2</v>
      </c>
      <c r="W13" s="148">
        <f t="shared" si="9"/>
        <v>5.0750000000000003E-2</v>
      </c>
      <c r="X13" s="148">
        <f t="shared" si="10"/>
        <v>3.125E-2</v>
      </c>
      <c r="Y13" s="345"/>
      <c r="Z13" s="345">
        <f>S13</f>
        <v>2.0875000000000001E-2</v>
      </c>
      <c r="AA13" s="345">
        <f t="shared" si="11"/>
        <v>2.0875000000000001E-2</v>
      </c>
      <c r="AD13" t="s">
        <v>66</v>
      </c>
      <c r="AE13" t="s">
        <v>415</v>
      </c>
      <c r="AG13" t="s">
        <v>66</v>
      </c>
      <c r="AH13" t="s">
        <v>249</v>
      </c>
    </row>
    <row r="14" spans="1:34" x14ac:dyDescent="0.25">
      <c r="A14" s="255" t="str">
        <f>PLANTILLA!A6</f>
        <v>#2</v>
      </c>
      <c r="B14" s="563" t="str">
        <f>PLANTILLA!D6</f>
        <v>E. Toney</v>
      </c>
      <c r="C14" s="255">
        <f>PLANTILLA!E6</f>
        <v>36</v>
      </c>
      <c r="D14" s="255">
        <f ca="1">PLANTILLA!F6</f>
        <v>7</v>
      </c>
      <c r="E14" s="152">
        <f>PLANTILLA!X6</f>
        <v>0</v>
      </c>
      <c r="F14" s="152">
        <f>PLANTILLA!Y6</f>
        <v>11.95</v>
      </c>
      <c r="G14" s="152">
        <f>PLANTILLA!Z6</f>
        <v>12.95</v>
      </c>
      <c r="H14" s="152">
        <f>PLANTILLA!AA6</f>
        <v>8.9499999999999993</v>
      </c>
      <c r="I14" s="152">
        <f>PLANTILLA!AB6</f>
        <v>8.9499999999999993</v>
      </c>
      <c r="J14" s="152">
        <f>PLANTILLA!AC6</f>
        <v>1.95</v>
      </c>
      <c r="K14" s="152">
        <f>PLANTILLA!AD6</f>
        <v>17.177777777777774</v>
      </c>
      <c r="L14" s="512">
        <f>1/19</f>
        <v>5.2631578947368418E-2</v>
      </c>
      <c r="M14" s="297">
        <f t="shared" si="0"/>
        <v>2.6315789473684209E-2</v>
      </c>
      <c r="N14" s="297">
        <f t="shared" si="1"/>
        <v>6.5789473684210523E-3</v>
      </c>
      <c r="O14" s="148">
        <v>0</v>
      </c>
      <c r="P14" s="148">
        <f t="shared" si="2"/>
        <v>1.2421052631578946E-2</v>
      </c>
      <c r="Q14" s="148">
        <f t="shared" si="3"/>
        <v>1.9105263157894736E-2</v>
      </c>
      <c r="R14" s="148">
        <f t="shared" si="4"/>
        <v>8.6842105263157891E-3</v>
      </c>
      <c r="S14" s="148">
        <f t="shared" si="5"/>
        <v>8.7894736842105258E-3</v>
      </c>
      <c r="T14" s="148">
        <f t="shared" si="6"/>
        <v>5.2631578947368418E-2</v>
      </c>
      <c r="U14" s="148">
        <f t="shared" si="7"/>
        <v>4.636842105263158E-2</v>
      </c>
      <c r="V14" s="148">
        <f t="shared" si="8"/>
        <v>2.394736842105263E-2</v>
      </c>
      <c r="W14" s="148">
        <f t="shared" si="9"/>
        <v>2.1368421052631578E-2</v>
      </c>
      <c r="X14" s="148">
        <f t="shared" si="10"/>
        <v>1.3157894736842105E-2</v>
      </c>
      <c r="Y14" s="345">
        <f>P14</f>
        <v>1.2421052631578946E-2</v>
      </c>
      <c r="Z14" s="345">
        <f>Q14</f>
        <v>1.9105263157894736E-2</v>
      </c>
      <c r="AA14" s="345">
        <f t="shared" si="11"/>
        <v>1.9105263157894736E-2</v>
      </c>
    </row>
    <row r="15" spans="1:34" x14ac:dyDescent="0.25">
      <c r="A15" s="255" t="e">
        <f>PLANTILLA!#REF!</f>
        <v>#REF!</v>
      </c>
      <c r="B15" s="563" t="e">
        <f>PLANTILLA!#REF!</f>
        <v>#REF!</v>
      </c>
      <c r="C15" s="255" t="e">
        <f>PLANTILLA!#REF!</f>
        <v>#REF!</v>
      </c>
      <c r="D15" s="255"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512">
        <f>1/23</f>
        <v>4.3478260869565216E-2</v>
      </c>
      <c r="M15" s="297">
        <f t="shared" si="0"/>
        <v>2.1739130434782608E-2</v>
      </c>
      <c r="N15" s="297">
        <f t="shared" si="1"/>
        <v>5.434782608695652E-3</v>
      </c>
      <c r="O15" s="148">
        <v>0</v>
      </c>
      <c r="P15" s="148">
        <f t="shared" si="2"/>
        <v>1.0260869565217391E-2</v>
      </c>
      <c r="Q15" s="148">
        <f t="shared" si="3"/>
        <v>1.5782608695652171E-2</v>
      </c>
      <c r="R15" s="148">
        <f t="shared" si="4"/>
        <v>7.1739130434782614E-3</v>
      </c>
      <c r="S15" s="148">
        <f t="shared" si="5"/>
        <v>7.2608695652173916E-3</v>
      </c>
      <c r="T15" s="148">
        <f t="shared" si="6"/>
        <v>4.3478260869565216E-2</v>
      </c>
      <c r="U15" s="148">
        <f t="shared" si="7"/>
        <v>3.8304347826086958E-2</v>
      </c>
      <c r="V15" s="148">
        <f t="shared" si="8"/>
        <v>1.9782608695652175E-2</v>
      </c>
      <c r="W15" s="148">
        <f t="shared" si="9"/>
        <v>1.7652173913043478E-2</v>
      </c>
      <c r="X15" s="148">
        <f t="shared" si="10"/>
        <v>1.0869565217391304E-2</v>
      </c>
      <c r="Y15" s="345">
        <f>W15</f>
        <v>1.7652173913043478E-2</v>
      </c>
      <c r="Z15" s="345">
        <f>W15</f>
        <v>1.7652173913043478E-2</v>
      </c>
      <c r="AA15" s="345">
        <f t="shared" si="11"/>
        <v>1.7652173913043478E-2</v>
      </c>
    </row>
    <row r="16" spans="1:34" x14ac:dyDescent="0.25">
      <c r="A16" s="255" t="str">
        <f>PLANTILLA!A12</f>
        <v>#12</v>
      </c>
      <c r="B16" s="198" t="str">
        <f>PLANTILLA!D12</f>
        <v>E. Gross</v>
      </c>
      <c r="C16" s="255">
        <f>PLANTILLA!E12</f>
        <v>35</v>
      </c>
      <c r="D16" s="255">
        <f ca="1">PLANTILLA!F12</f>
        <v>68</v>
      </c>
      <c r="E16" s="152">
        <f>PLANTILLA!X12</f>
        <v>0</v>
      </c>
      <c r="F16" s="152">
        <f>PLANTILLA!Y12</f>
        <v>10.549999999999995</v>
      </c>
      <c r="G16" s="152">
        <f>PLANTILLA!Z12</f>
        <v>12.95</v>
      </c>
      <c r="H16" s="152">
        <f>PLANTILLA!AA12</f>
        <v>4.95</v>
      </c>
      <c r="I16" s="152">
        <f>PLANTILLA!AB12</f>
        <v>8.9499999999999993</v>
      </c>
      <c r="J16" s="152">
        <f>PLANTILLA!AC12</f>
        <v>0.95</v>
      </c>
      <c r="K16" s="152">
        <f>PLANTILLA!AD12</f>
        <v>17.3</v>
      </c>
      <c r="L16" s="512">
        <f>1/14</f>
        <v>7.1428571428571425E-2</v>
      </c>
      <c r="M16" s="297">
        <f t="shared" si="0"/>
        <v>3.5714285714285712E-2</v>
      </c>
      <c r="N16" s="297">
        <f t="shared" si="1"/>
        <v>8.9285714285714281E-3</v>
      </c>
      <c r="O16" s="148">
        <v>0</v>
      </c>
      <c r="P16" s="148">
        <f t="shared" si="2"/>
        <v>1.6857142857142855E-2</v>
      </c>
      <c r="Q16" s="148">
        <f t="shared" si="3"/>
        <v>2.5928571428571426E-2</v>
      </c>
      <c r="R16" s="148">
        <f t="shared" si="4"/>
        <v>1.1785714285714285E-2</v>
      </c>
      <c r="S16" s="148">
        <f t="shared" si="5"/>
        <v>1.1928571428571429E-2</v>
      </c>
      <c r="T16" s="148">
        <f t="shared" si="6"/>
        <v>7.1428571428571425E-2</v>
      </c>
      <c r="U16" s="148">
        <f t="shared" si="7"/>
        <v>6.2928571428571431E-2</v>
      </c>
      <c r="V16" s="148">
        <f t="shared" si="8"/>
        <v>3.2500000000000001E-2</v>
      </c>
      <c r="W16" s="148">
        <f t="shared" si="9"/>
        <v>2.9000000000000001E-2</v>
      </c>
      <c r="X16" s="148">
        <f t="shared" si="10"/>
        <v>1.7857142857142856E-2</v>
      </c>
      <c r="Y16" s="345">
        <f>P16</f>
        <v>1.6857142857142855E-2</v>
      </c>
      <c r="Z16" s="345">
        <f>P16</f>
        <v>1.6857142857142855E-2</v>
      </c>
      <c r="AA16" s="345">
        <f t="shared" si="11"/>
        <v>1.6857142857142855E-2</v>
      </c>
    </row>
    <row r="17" spans="1:27" x14ac:dyDescent="0.25">
      <c r="A17" s="255" t="e">
        <f>PLANTILLA!#REF!</f>
        <v>#REF!</v>
      </c>
      <c r="B17" s="198" t="e">
        <f>PLANTILLA!#REF!</f>
        <v>#REF!</v>
      </c>
      <c r="C17" s="255" t="e">
        <f>PLANTILLA!#REF!</f>
        <v>#REF!</v>
      </c>
      <c r="D17" s="255" t="e">
        <f>PLANTILLA!#REF!</f>
        <v>#REF!</v>
      </c>
      <c r="E17" s="152" t="e">
        <f>PLANTILLA!#REF!</f>
        <v>#REF!</v>
      </c>
      <c r="F17" s="152" t="e">
        <f>PLANTILLA!#REF!</f>
        <v>#REF!</v>
      </c>
      <c r="G17" s="152" t="e">
        <f>PLANTILLA!#REF!</f>
        <v>#REF!</v>
      </c>
      <c r="H17" s="152" t="e">
        <f>PLANTILLA!#REF!</f>
        <v>#REF!</v>
      </c>
      <c r="I17" s="152" t="e">
        <f>PLANTILLA!#REF!</f>
        <v>#REF!</v>
      </c>
      <c r="J17" s="152" t="e">
        <f>PLANTILLA!#REF!</f>
        <v>#REF!</v>
      </c>
      <c r="K17" s="152" t="e">
        <f>PLANTILLA!#REF!</f>
        <v>#REF!</v>
      </c>
      <c r="L17" s="512">
        <f>1/11</f>
        <v>9.0909090909090912E-2</v>
      </c>
      <c r="M17" s="297">
        <f t="shared" si="0"/>
        <v>4.5454545454545456E-2</v>
      </c>
      <c r="N17" s="297">
        <f t="shared" si="1"/>
        <v>1.1363636363636364E-2</v>
      </c>
      <c r="O17" s="148">
        <v>0</v>
      </c>
      <c r="P17" s="148">
        <f t="shared" si="2"/>
        <v>2.1454545454545455E-2</v>
      </c>
      <c r="Q17" s="148">
        <f t="shared" si="3"/>
        <v>3.3000000000000002E-2</v>
      </c>
      <c r="R17" s="148">
        <f t="shared" si="4"/>
        <v>1.5000000000000001E-2</v>
      </c>
      <c r="S17" s="148">
        <f t="shared" si="5"/>
        <v>1.5181818181818183E-2</v>
      </c>
      <c r="T17" s="148">
        <f t="shared" si="6"/>
        <v>9.0909090909090912E-2</v>
      </c>
      <c r="U17" s="148">
        <f t="shared" si="7"/>
        <v>8.0090909090909088E-2</v>
      </c>
      <c r="V17" s="148">
        <f t="shared" si="8"/>
        <v>4.1363636363636366E-2</v>
      </c>
      <c r="W17" s="148">
        <f t="shared" si="9"/>
        <v>3.6909090909090912E-2</v>
      </c>
      <c r="X17" s="148">
        <f t="shared" si="10"/>
        <v>2.2727272727272728E-2</v>
      </c>
      <c r="Y17" s="345">
        <f>S17</f>
        <v>1.5181818181818183E-2</v>
      </c>
      <c r="Z17" s="345">
        <f>S17</f>
        <v>1.5181818181818183E-2</v>
      </c>
      <c r="AA17" s="345">
        <f t="shared" si="11"/>
        <v>1.5181818181818183E-2</v>
      </c>
    </row>
    <row r="18" spans="1:27" x14ac:dyDescent="0.25">
      <c r="A18" s="255" t="str">
        <f>PLANTILLA!A28</f>
        <v>#15</v>
      </c>
      <c r="B18" s="255" t="str">
        <f>PLANTILLA!D28</f>
        <v>P .Trivadi</v>
      </c>
      <c r="C18" s="255">
        <f>PLANTILLA!E28</f>
        <v>31</v>
      </c>
      <c r="D18" s="255">
        <f ca="1">PLANTILLA!F28</f>
        <v>111</v>
      </c>
      <c r="E18" s="152">
        <f>PLANTILLA!X28</f>
        <v>0</v>
      </c>
      <c r="F18" s="152">
        <f>PLANTILLA!Y28</f>
        <v>4.0199999999999996</v>
      </c>
      <c r="G18" s="152">
        <f>PLANTILLA!Z28</f>
        <v>5.95</v>
      </c>
      <c r="H18" s="152">
        <f>PLANTILLA!AA28</f>
        <v>5.5099999999999989</v>
      </c>
      <c r="I18" s="152">
        <f>PLANTILLA!AB28</f>
        <v>10.95</v>
      </c>
      <c r="J18" s="152">
        <f>PLANTILLA!AC28</f>
        <v>7.95</v>
      </c>
      <c r="K18" s="152">
        <f>PLANTILLA!AD28</f>
        <v>14</v>
      </c>
      <c r="L18" s="512">
        <f>1/6</f>
        <v>0.16666666666666666</v>
      </c>
      <c r="M18" s="297">
        <f t="shared" si="0"/>
        <v>8.3333333333333329E-2</v>
      </c>
      <c r="N18" s="297">
        <f t="shared" si="1"/>
        <v>2.0833333333333332E-2</v>
      </c>
      <c r="O18" s="148">
        <v>0</v>
      </c>
      <c r="P18" s="148">
        <f t="shared" si="2"/>
        <v>3.9333333333333331E-2</v>
      </c>
      <c r="Q18" s="148">
        <f t="shared" si="3"/>
        <v>6.0499999999999998E-2</v>
      </c>
      <c r="R18" s="148">
        <f t="shared" si="4"/>
        <v>2.75E-2</v>
      </c>
      <c r="S18" s="148">
        <f t="shared" si="5"/>
        <v>2.7833333333333335E-2</v>
      </c>
      <c r="T18" s="148">
        <f t="shared" si="6"/>
        <v>0.16666666666666666</v>
      </c>
      <c r="U18" s="148">
        <f t="shared" si="7"/>
        <v>0.14683333333333332</v>
      </c>
      <c r="V18" s="148">
        <f t="shared" si="8"/>
        <v>7.5833333333333336E-2</v>
      </c>
      <c r="W18" s="148">
        <f t="shared" si="9"/>
        <v>6.7666666666666667E-2</v>
      </c>
      <c r="X18" s="148">
        <f t="shared" si="10"/>
        <v>4.1666666666666664E-2</v>
      </c>
      <c r="Y18" s="345">
        <v>0</v>
      </c>
      <c r="Z18" s="345">
        <v>0</v>
      </c>
      <c r="AA18" s="345">
        <f t="shared" si="11"/>
        <v>0</v>
      </c>
    </row>
    <row r="19" spans="1:27" x14ac:dyDescent="0.25">
      <c r="A19" s="255" t="str">
        <f>PLANTILLA!A4</f>
        <v>#1</v>
      </c>
      <c r="B19" s="255" t="str">
        <f>PLANTILLA!D4</f>
        <v>D. Gehmacher</v>
      </c>
      <c r="C19" s="255">
        <f>PLANTILLA!E4</f>
        <v>34</v>
      </c>
      <c r="D19" s="255">
        <f ca="1">PLANTILLA!F4</f>
        <v>108</v>
      </c>
      <c r="E19" s="152">
        <f>PLANTILLA!X4</f>
        <v>16.666666666666668</v>
      </c>
      <c r="F19" s="152">
        <f>PLANTILLA!Y4</f>
        <v>11.95</v>
      </c>
      <c r="G19" s="152">
        <f>PLANTILLA!Z4</f>
        <v>2.0699999999999985</v>
      </c>
      <c r="H19" s="152">
        <f>PLANTILLA!AA4</f>
        <v>2.149999999999999</v>
      </c>
      <c r="I19" s="152">
        <f>PLANTILLA!AB4</f>
        <v>0.95</v>
      </c>
      <c r="J19" s="152">
        <f>PLANTILLA!AC4</f>
        <v>0</v>
      </c>
      <c r="K19" s="152">
        <f>PLANTILLA!AD4</f>
        <v>18.2</v>
      </c>
      <c r="L19" s="512">
        <v>0</v>
      </c>
      <c r="M19" s="297">
        <f t="shared" si="0"/>
        <v>0</v>
      </c>
      <c r="N19" s="297">
        <f t="shared" si="1"/>
        <v>0</v>
      </c>
      <c r="O19" s="148">
        <v>0</v>
      </c>
      <c r="P19" s="148">
        <f t="shared" si="2"/>
        <v>0</v>
      </c>
      <c r="Q19" s="148">
        <f t="shared" si="3"/>
        <v>0</v>
      </c>
      <c r="R19" s="148">
        <f t="shared" si="4"/>
        <v>0</v>
      </c>
      <c r="S19" s="148">
        <f t="shared" si="5"/>
        <v>0</v>
      </c>
      <c r="T19" s="148">
        <f t="shared" si="6"/>
        <v>0</v>
      </c>
      <c r="U19" s="148">
        <f t="shared" si="7"/>
        <v>0</v>
      </c>
      <c r="V19" s="148">
        <f t="shared" si="8"/>
        <v>0</v>
      </c>
      <c r="W19" s="148">
        <f t="shared" si="9"/>
        <v>0</v>
      </c>
      <c r="X19" s="148">
        <f t="shared" si="10"/>
        <v>0</v>
      </c>
      <c r="Y19" s="345">
        <f>O19</f>
        <v>0</v>
      </c>
      <c r="Z19" s="345">
        <f>O19</f>
        <v>0</v>
      </c>
      <c r="AA19" s="345">
        <f t="shared" si="11"/>
        <v>0</v>
      </c>
    </row>
    <row r="20" spans="1:27" x14ac:dyDescent="0.25">
      <c r="A20" s="255" t="str">
        <f>PLANTILLA!A5</f>
        <v>#25</v>
      </c>
      <c r="B20" s="255" t="str">
        <f>PLANTILLA!D5</f>
        <v>T. Hammond</v>
      </c>
      <c r="C20" s="255">
        <f>PLANTILLA!E5</f>
        <v>39</v>
      </c>
      <c r="D20" s="255">
        <f ca="1">PLANTILLA!F5</f>
        <v>5</v>
      </c>
      <c r="E20" s="152">
        <f>PLANTILLA!X5</f>
        <v>7.95</v>
      </c>
      <c r="F20" s="152">
        <f>PLANTILLA!Y5</f>
        <v>7.95</v>
      </c>
      <c r="G20" s="152">
        <f>PLANTILLA!Z5</f>
        <v>0.95</v>
      </c>
      <c r="H20" s="152">
        <f>PLANTILLA!AA5</f>
        <v>0.95</v>
      </c>
      <c r="I20" s="152">
        <f>PLANTILLA!AB5</f>
        <v>1.95</v>
      </c>
      <c r="J20" s="152">
        <f>PLANTILLA!AC5</f>
        <v>0</v>
      </c>
      <c r="K20" s="152">
        <f>PLANTILLA!AD5</f>
        <v>14.95</v>
      </c>
      <c r="L20" s="512"/>
      <c r="M20" s="297">
        <f t="shared" si="0"/>
        <v>0</v>
      </c>
      <c r="N20" s="297">
        <f t="shared" si="1"/>
        <v>0</v>
      </c>
      <c r="O20" s="148">
        <v>0</v>
      </c>
      <c r="P20" s="148">
        <f t="shared" si="2"/>
        <v>0</v>
      </c>
      <c r="Q20" s="148">
        <f t="shared" si="3"/>
        <v>0</v>
      </c>
      <c r="R20" s="148">
        <f t="shared" si="4"/>
        <v>0</v>
      </c>
      <c r="S20" s="148">
        <f t="shared" si="5"/>
        <v>0</v>
      </c>
      <c r="T20" s="148">
        <f t="shared" si="6"/>
        <v>0</v>
      </c>
      <c r="U20" s="148">
        <f t="shared" si="7"/>
        <v>0</v>
      </c>
      <c r="V20" s="148">
        <f t="shared" si="8"/>
        <v>0</v>
      </c>
      <c r="W20" s="148">
        <f t="shared" si="9"/>
        <v>0</v>
      </c>
      <c r="X20" s="148">
        <f t="shared" si="10"/>
        <v>0</v>
      </c>
      <c r="Y20" s="345"/>
      <c r="Z20" s="345"/>
      <c r="AA20" s="345">
        <f t="shared" si="11"/>
        <v>0</v>
      </c>
    </row>
    <row r="21" spans="1:27" x14ac:dyDescent="0.25">
      <c r="A21" s="255" t="str">
        <f>PLANTILLA!A8</f>
        <v>#13</v>
      </c>
      <c r="B21" s="255" t="str">
        <f>PLANTILLA!D8</f>
        <v>F. Lasprilla</v>
      </c>
      <c r="C21" s="255">
        <f>PLANTILLA!E8</f>
        <v>32</v>
      </c>
      <c r="D21" s="255">
        <f ca="1">PLANTILLA!F8</f>
        <v>15</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512"/>
      <c r="M21" s="297">
        <f t="shared" si="0"/>
        <v>0</v>
      </c>
      <c r="N21" s="297">
        <f t="shared" si="1"/>
        <v>0</v>
      </c>
      <c r="O21" s="148">
        <v>0</v>
      </c>
      <c r="P21" s="148">
        <f t="shared" si="2"/>
        <v>0</v>
      </c>
      <c r="Q21" s="148">
        <f t="shared" si="3"/>
        <v>0</v>
      </c>
      <c r="R21" s="148">
        <f t="shared" si="4"/>
        <v>0</v>
      </c>
      <c r="S21" s="148">
        <f t="shared" si="5"/>
        <v>0</v>
      </c>
      <c r="T21" s="148">
        <f t="shared" si="6"/>
        <v>0</v>
      </c>
      <c r="U21" s="148">
        <f t="shared" si="7"/>
        <v>0</v>
      </c>
      <c r="V21" s="148">
        <f t="shared" si="8"/>
        <v>0</v>
      </c>
      <c r="W21" s="148">
        <f t="shared" si="9"/>
        <v>0</v>
      </c>
      <c r="X21" s="148">
        <f t="shared" si="10"/>
        <v>0</v>
      </c>
      <c r="Y21" s="345"/>
      <c r="Z21" s="345"/>
      <c r="AA21" s="345">
        <f t="shared" si="11"/>
        <v>0</v>
      </c>
    </row>
    <row r="22" spans="1:27" x14ac:dyDescent="0.25">
      <c r="A22" s="255" t="str">
        <f>PLANTILLA!A13</f>
        <v>#23</v>
      </c>
      <c r="B22" s="255" t="str">
        <f>PLANTILLA!D13</f>
        <v>W. Gelifini</v>
      </c>
      <c r="C22" s="255">
        <f>PLANTILLA!E13</f>
        <v>33</v>
      </c>
      <c r="D22" s="255">
        <f ca="1">PLANTILLA!F13</f>
        <v>105</v>
      </c>
      <c r="E22" s="152">
        <f>PLANTILLA!X13</f>
        <v>0</v>
      </c>
      <c r="F22" s="152">
        <f>PLANTILLA!Y13</f>
        <v>5.6515555555555519</v>
      </c>
      <c r="G22" s="152">
        <f>PLANTILLA!Z13</f>
        <v>8.9499999999999993</v>
      </c>
      <c r="H22" s="152">
        <f>PLANTILLA!AA13</f>
        <v>6.95</v>
      </c>
      <c r="I22" s="152">
        <f>PLANTILLA!AB13</f>
        <v>9.2666666666666639</v>
      </c>
      <c r="J22" s="152">
        <f>PLANTILLA!AC13</f>
        <v>2.95</v>
      </c>
      <c r="K22" s="152">
        <f>PLANTILLA!AD13</f>
        <v>12.847222222222223</v>
      </c>
      <c r="L22" s="512"/>
      <c r="M22" s="297">
        <f t="shared" si="0"/>
        <v>0</v>
      </c>
      <c r="N22" s="297">
        <f t="shared" si="1"/>
        <v>0</v>
      </c>
      <c r="O22" s="148">
        <v>0</v>
      </c>
      <c r="P22" s="148">
        <f t="shared" si="2"/>
        <v>0</v>
      </c>
      <c r="Q22" s="148">
        <f t="shared" si="3"/>
        <v>0</v>
      </c>
      <c r="R22" s="148">
        <f t="shared" si="4"/>
        <v>0</v>
      </c>
      <c r="S22" s="148">
        <f t="shared" si="5"/>
        <v>0</v>
      </c>
      <c r="T22" s="148">
        <f t="shared" si="6"/>
        <v>0</v>
      </c>
      <c r="U22" s="148">
        <f t="shared" si="7"/>
        <v>0</v>
      </c>
      <c r="V22" s="148">
        <f t="shared" si="8"/>
        <v>0</v>
      </c>
      <c r="W22" s="148">
        <f t="shared" si="9"/>
        <v>0</v>
      </c>
      <c r="X22" s="148">
        <f t="shared" si="10"/>
        <v>0</v>
      </c>
      <c r="Y22" s="345"/>
      <c r="Z22" s="345"/>
      <c r="AA22" s="345">
        <f t="shared" si="11"/>
        <v>0</v>
      </c>
    </row>
    <row r="23" spans="1:27" x14ac:dyDescent="0.25">
      <c r="A23" s="255" t="e">
        <f>PLANTILLA!#REF!</f>
        <v>#REF!</v>
      </c>
      <c r="B23" s="255" t="e">
        <f>PLANTILLA!#REF!</f>
        <v>#REF!</v>
      </c>
      <c r="C23" s="255" t="e">
        <f>PLANTILLA!#REF!</f>
        <v>#REF!</v>
      </c>
      <c r="D23" s="25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c r="M23" s="297">
        <f t="shared" si="0"/>
        <v>0</v>
      </c>
      <c r="N23" s="297">
        <f t="shared" si="1"/>
        <v>0</v>
      </c>
      <c r="O23" s="148">
        <v>0</v>
      </c>
      <c r="P23" s="148">
        <f t="shared" si="2"/>
        <v>0</v>
      </c>
      <c r="Q23" s="148">
        <f t="shared" si="3"/>
        <v>0</v>
      </c>
      <c r="R23" s="148">
        <f t="shared" si="4"/>
        <v>0</v>
      </c>
      <c r="S23" s="148">
        <f t="shared" si="5"/>
        <v>0</v>
      </c>
      <c r="T23" s="148">
        <f t="shared" si="6"/>
        <v>0</v>
      </c>
      <c r="U23" s="148">
        <f t="shared" si="7"/>
        <v>0</v>
      </c>
      <c r="V23" s="148">
        <f t="shared" si="8"/>
        <v>0</v>
      </c>
      <c r="W23" s="148">
        <f t="shared" si="9"/>
        <v>0</v>
      </c>
      <c r="X23" s="148">
        <f t="shared" si="10"/>
        <v>0</v>
      </c>
      <c r="Y23" s="345"/>
      <c r="Z23" s="345"/>
      <c r="AA23" s="345">
        <f t="shared" si="11"/>
        <v>0</v>
      </c>
    </row>
    <row r="26" spans="1:27" x14ac:dyDescent="0.25">
      <c r="B26" s="258"/>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14" bestFit="1" customWidth="1"/>
    <col min="13" max="13" width="6.5703125" style="514" customWidth="1"/>
    <col min="14" max="14" width="8.28515625" style="514" bestFit="1" customWidth="1"/>
    <col min="15" max="15" width="4.5703125" style="51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8">
        <v>42585</v>
      </c>
      <c r="Y2" s="516">
        <f>SUM(Y4:Y22)</f>
        <v>0.24062111707736711</v>
      </c>
      <c r="Z2" s="516">
        <f>SUM(Z4:Z22)</f>
        <v>0.19504062465312466</v>
      </c>
      <c r="AA2" s="516"/>
      <c r="AD2" s="421" t="s">
        <v>247</v>
      </c>
      <c r="AE2" s="421" t="s">
        <v>174</v>
      </c>
      <c r="AG2" s="421" t="s">
        <v>247</v>
      </c>
      <c r="AH2" s="421" t="s">
        <v>174</v>
      </c>
    </row>
    <row r="3" spans="1:34" x14ac:dyDescent="0.25">
      <c r="A3" s="266" t="s">
        <v>694</v>
      </c>
      <c r="B3" s="266" t="str">
        <f>PLANTILLA!D3</f>
        <v>Jugador</v>
      </c>
      <c r="C3" s="266" t="str">
        <f>PLANTILLA!E3</f>
        <v>Anys</v>
      </c>
      <c r="D3" s="266" t="str">
        <f>PLANTILLA!F3</f>
        <v>Dias</v>
      </c>
      <c r="E3" s="266" t="str">
        <f>PLANTILLA!X3</f>
        <v>Po</v>
      </c>
      <c r="F3" s="266" t="str">
        <f>PLANTILLA!Y3</f>
        <v>De</v>
      </c>
      <c r="G3" s="266" t="str">
        <f>PLANTILLA!Z3</f>
        <v>Cr</v>
      </c>
      <c r="H3" s="266" t="str">
        <f>PLANTILLA!AA3</f>
        <v>Ex</v>
      </c>
      <c r="I3" s="266" t="str">
        <f>PLANTILLA!AB3</f>
        <v>Ps</v>
      </c>
      <c r="J3" s="266" t="str">
        <f>PLANTILLA!AC3</f>
        <v>An</v>
      </c>
      <c r="K3" s="266" t="str">
        <f>PLANTILLA!AD3</f>
        <v>PA</v>
      </c>
      <c r="L3" s="509">
        <v>1</v>
      </c>
      <c r="M3" s="509">
        <v>0.5</v>
      </c>
      <c r="N3" s="266" t="s">
        <v>672</v>
      </c>
      <c r="O3" s="511" t="s">
        <v>1</v>
      </c>
      <c r="P3" s="511" t="s">
        <v>638</v>
      </c>
      <c r="Q3" s="510" t="s">
        <v>665</v>
      </c>
      <c r="R3" s="510" t="s">
        <v>671</v>
      </c>
      <c r="S3" s="510" t="s">
        <v>666</v>
      </c>
      <c r="T3" s="510" t="s">
        <v>639</v>
      </c>
      <c r="U3" s="510" t="s">
        <v>411</v>
      </c>
      <c r="V3" s="510" t="s">
        <v>670</v>
      </c>
      <c r="W3" s="511" t="s">
        <v>468</v>
      </c>
      <c r="X3" s="511" t="s">
        <v>66</v>
      </c>
      <c r="Y3" s="513" t="s">
        <v>668</v>
      </c>
      <c r="Z3" s="513" t="s">
        <v>669</v>
      </c>
      <c r="AA3" s="513" t="s">
        <v>674</v>
      </c>
      <c r="AD3" t="s">
        <v>1</v>
      </c>
      <c r="AE3" t="s">
        <v>618</v>
      </c>
      <c r="AG3" t="s">
        <v>1</v>
      </c>
      <c r="AH3" t="s">
        <v>618</v>
      </c>
    </row>
    <row r="4" spans="1:34" x14ac:dyDescent="0.25">
      <c r="A4" s="255" t="str">
        <f>PLANTILLA!A27</f>
        <v>#9</v>
      </c>
      <c r="B4" s="562" t="str">
        <f>PLANTILLA!D27</f>
        <v>J. Limon</v>
      </c>
      <c r="C4" s="255">
        <f>PLANTILLA!E27</f>
        <v>34</v>
      </c>
      <c r="D4" s="255">
        <f ca="1">PLANTILLA!F27</f>
        <v>80</v>
      </c>
      <c r="E4" s="152">
        <f>PLANTILLA!X27</f>
        <v>0</v>
      </c>
      <c r="F4" s="152">
        <f>PLANTILLA!Y27</f>
        <v>6.8376190476190493</v>
      </c>
      <c r="G4" s="152">
        <f>PLANTILLA!Z27</f>
        <v>8.9499999999999993</v>
      </c>
      <c r="H4" s="152">
        <f>PLANTILLA!AA27</f>
        <v>8.7399999999999967</v>
      </c>
      <c r="I4" s="152">
        <f>PLANTILLA!AB27</f>
        <v>9.9499999999999993</v>
      </c>
      <c r="J4" s="152">
        <f>PLANTILLA!AC27</f>
        <v>7.95</v>
      </c>
      <c r="K4" s="152">
        <f>PLANTILLA!AD27</f>
        <v>18.999999999999993</v>
      </c>
      <c r="L4" s="297">
        <f>1/8</f>
        <v>0.125</v>
      </c>
      <c r="M4" s="297"/>
      <c r="N4" s="297">
        <f t="shared" ref="N4:N23" si="0">L4/6</f>
        <v>2.0833333333333332E-2</v>
      </c>
      <c r="O4" s="152">
        <v>0</v>
      </c>
      <c r="P4" s="148">
        <v>0</v>
      </c>
      <c r="Q4" s="148">
        <v>0</v>
      </c>
      <c r="R4" s="148">
        <v>0</v>
      </c>
      <c r="S4" s="148">
        <v>0</v>
      </c>
      <c r="T4" s="148">
        <f t="shared" ref="T4:T23" si="1">L4*(0.19*0.341+0.25*0.253+0.25*0.127)/(0.19+0.25)</f>
        <v>4.5394886363636359E-2</v>
      </c>
      <c r="U4" s="148">
        <f t="shared" ref="U4:U23" si="2">L4*(0.19*0.241+0.25*0.315)/(0.19+0.25)</f>
        <v>3.5380681818181818E-2</v>
      </c>
      <c r="V4" s="148">
        <f t="shared" ref="V4:V23" si="3">L4*(0.19*0.121+0.25*0.244)/(0.19+0.25)</f>
        <v>2.3860795454545454E-2</v>
      </c>
      <c r="W4" s="148">
        <f t="shared" ref="W4:W15" si="4">L4*(0.19*0.543+0.25*0.25)/(0.19+0.25)</f>
        <v>4.7065340909090911E-2</v>
      </c>
      <c r="X4" s="148">
        <f t="shared" ref="X4:X23" si="5">L4*(0.19*0.369+0.25*0.142)/(0.19+0.25)</f>
        <v>3.0002840909090913E-2</v>
      </c>
      <c r="Y4" s="345">
        <f>W4</f>
        <v>4.7065340909090911E-2</v>
      </c>
      <c r="Z4" s="345"/>
      <c r="AA4" s="345">
        <f t="shared" ref="AA4:AA23" si="6">MAX(Z4,Y4)</f>
        <v>4.7065340909090911E-2</v>
      </c>
      <c r="AD4" t="s">
        <v>637</v>
      </c>
      <c r="AE4" s="529" t="s">
        <v>683</v>
      </c>
      <c r="AG4" t="s">
        <v>637</v>
      </c>
      <c r="AH4" s="529" t="str">
        <f>AE4</f>
        <v>B. Pinczehelyi</v>
      </c>
    </row>
    <row r="5" spans="1:34" x14ac:dyDescent="0.25">
      <c r="A5" s="255" t="str">
        <f>PLANTILLA!A26</f>
        <v>#5</v>
      </c>
      <c r="B5" s="562" t="str">
        <f>PLANTILLA!D26</f>
        <v>L. Bauman</v>
      </c>
      <c r="C5" s="255">
        <f>PLANTILLA!E26</f>
        <v>35</v>
      </c>
      <c r="D5" s="255">
        <f ca="1">PLANTILLA!F26</f>
        <v>43</v>
      </c>
      <c r="E5" s="152">
        <f>PLANTILLA!X26</f>
        <v>0</v>
      </c>
      <c r="F5" s="152">
        <f>PLANTILLA!Y26</f>
        <v>5.95</v>
      </c>
      <c r="G5" s="152">
        <f>PLANTILLA!Z26</f>
        <v>14.1</v>
      </c>
      <c r="H5" s="152">
        <f>PLANTILLA!AA26</f>
        <v>2.95</v>
      </c>
      <c r="I5" s="152">
        <f>PLANTILLA!AB26</f>
        <v>8.9499999999999993</v>
      </c>
      <c r="J5" s="152">
        <f>PLANTILLA!AC26</f>
        <v>5.95</v>
      </c>
      <c r="K5" s="152">
        <f>PLANTILLA!AD26</f>
        <v>16.95</v>
      </c>
      <c r="L5" s="297">
        <f>1/9</f>
        <v>0.1111111111111111</v>
      </c>
      <c r="M5" s="297"/>
      <c r="N5" s="297">
        <f t="shared" si="0"/>
        <v>1.8518518518518517E-2</v>
      </c>
      <c r="O5" s="152">
        <v>0</v>
      </c>
      <c r="P5" s="148">
        <v>0</v>
      </c>
      <c r="Q5" s="148">
        <v>0</v>
      </c>
      <c r="R5" s="148">
        <v>0</v>
      </c>
      <c r="S5" s="148">
        <v>0</v>
      </c>
      <c r="T5" s="148">
        <f t="shared" si="1"/>
        <v>4.0351010101010096E-2</v>
      </c>
      <c r="U5" s="148">
        <f t="shared" si="2"/>
        <v>3.1449494949494949E-2</v>
      </c>
      <c r="V5" s="148">
        <f t="shared" si="3"/>
        <v>2.1209595959595956E-2</v>
      </c>
      <c r="W5" s="148">
        <f t="shared" si="4"/>
        <v>4.183585858585858E-2</v>
      </c>
      <c r="X5" s="148">
        <f t="shared" si="5"/>
        <v>2.6669191919191919E-2</v>
      </c>
      <c r="Y5" s="345">
        <f>T5</f>
        <v>4.0351010101010096E-2</v>
      </c>
      <c r="Z5" s="345">
        <f>W5</f>
        <v>4.183585858585858E-2</v>
      </c>
      <c r="AA5" s="345">
        <f t="shared" si="6"/>
        <v>4.183585858585858E-2</v>
      </c>
      <c r="AD5" t="s">
        <v>638</v>
      </c>
      <c r="AE5" t="s">
        <v>244</v>
      </c>
      <c r="AG5" t="s">
        <v>649</v>
      </c>
      <c r="AH5" t="s">
        <v>245</v>
      </c>
    </row>
    <row r="6" spans="1:34" x14ac:dyDescent="0.25">
      <c r="A6" s="255" t="str">
        <f>PLANTILLA!A10</f>
        <v>#6</v>
      </c>
      <c r="B6" s="562" t="str">
        <f>PLANTILLA!D10</f>
        <v>S. Buschelman</v>
      </c>
      <c r="C6" s="255">
        <f>PLANTILLA!E10</f>
        <v>34</v>
      </c>
      <c r="D6" s="255">
        <f ca="1">PLANTILLA!F10</f>
        <v>40</v>
      </c>
      <c r="E6" s="152">
        <f>PLANTILLA!X10</f>
        <v>0</v>
      </c>
      <c r="F6" s="152">
        <f>PLANTILLA!Y10</f>
        <v>9.3036666666666648</v>
      </c>
      <c r="G6" s="152">
        <f>PLANTILLA!Z10</f>
        <v>14</v>
      </c>
      <c r="H6" s="152">
        <f>PLANTILLA!AA10</f>
        <v>12.945</v>
      </c>
      <c r="I6" s="152">
        <f>PLANTILLA!AB10</f>
        <v>9.9499999999999993</v>
      </c>
      <c r="J6" s="152">
        <f>PLANTILLA!AC10</f>
        <v>3.95</v>
      </c>
      <c r="K6" s="152">
        <f>PLANTILLA!AD10</f>
        <v>16</v>
      </c>
      <c r="L6" s="297">
        <f>1/8</f>
        <v>0.125</v>
      </c>
      <c r="M6" s="297"/>
      <c r="N6" s="297">
        <f t="shared" si="0"/>
        <v>2.0833333333333332E-2</v>
      </c>
      <c r="O6" s="152">
        <v>0</v>
      </c>
      <c r="P6" s="148">
        <v>0</v>
      </c>
      <c r="Q6" s="148">
        <v>0</v>
      </c>
      <c r="R6" s="148">
        <v>0</v>
      </c>
      <c r="S6" s="148">
        <v>0</v>
      </c>
      <c r="T6" s="148">
        <f t="shared" si="1"/>
        <v>4.5394886363636359E-2</v>
      </c>
      <c r="U6" s="148">
        <f t="shared" si="2"/>
        <v>3.5380681818181818E-2</v>
      </c>
      <c r="V6" s="148">
        <f t="shared" si="3"/>
        <v>2.3860795454545454E-2</v>
      </c>
      <c r="W6" s="148">
        <f t="shared" si="4"/>
        <v>4.7065340909090911E-2</v>
      </c>
      <c r="X6" s="148">
        <f t="shared" si="5"/>
        <v>3.0002840909090913E-2</v>
      </c>
      <c r="Y6" s="345">
        <f>U6</f>
        <v>3.5380681818181818E-2</v>
      </c>
      <c r="Z6" s="345">
        <f>U6</f>
        <v>3.5380681818181818E-2</v>
      </c>
      <c r="AA6" s="345">
        <f t="shared" si="6"/>
        <v>3.5380681818181818E-2</v>
      </c>
      <c r="AD6" t="s">
        <v>637</v>
      </c>
      <c r="AE6" t="s">
        <v>242</v>
      </c>
      <c r="AG6" t="s">
        <v>648</v>
      </c>
      <c r="AH6" t="s">
        <v>242</v>
      </c>
    </row>
    <row r="7" spans="1:34" x14ac:dyDescent="0.25">
      <c r="A7" s="255" t="e">
        <f>PLANTILLA!#REF!</f>
        <v>#REF!</v>
      </c>
      <c r="B7" s="562" t="e">
        <f>PLANTILLA!#REF!</f>
        <v>#REF!</v>
      </c>
      <c r="C7" s="255" t="e">
        <f>PLANTILLA!#REF!</f>
        <v>#REF!</v>
      </c>
      <c r="D7" s="255" t="e">
        <f>PLANTILLA!#REF!</f>
        <v>#REF!</v>
      </c>
      <c r="E7" s="152" t="e">
        <f>PLANTILLA!#REF!</f>
        <v>#REF!</v>
      </c>
      <c r="F7" s="152" t="e">
        <f>PLANTILLA!#REF!</f>
        <v>#REF!</v>
      </c>
      <c r="G7" s="152" t="e">
        <f>PLANTILLA!#REF!</f>
        <v>#REF!</v>
      </c>
      <c r="H7" s="152" t="e">
        <f>PLANTILLA!#REF!</f>
        <v>#REF!</v>
      </c>
      <c r="I7" s="152" t="e">
        <f>PLANTILLA!#REF!</f>
        <v>#REF!</v>
      </c>
      <c r="J7" s="152" t="e">
        <f>PLANTILLA!#REF!</f>
        <v>#REF!</v>
      </c>
      <c r="K7" s="152" t="e">
        <f>PLANTILLA!#REF!</f>
        <v>#REF!</v>
      </c>
      <c r="L7" s="297">
        <f>1/14</f>
        <v>7.1428571428571425E-2</v>
      </c>
      <c r="M7" s="297"/>
      <c r="N7" s="297">
        <f t="shared" si="0"/>
        <v>1.1904761904761904E-2</v>
      </c>
      <c r="O7" s="152">
        <v>0</v>
      </c>
      <c r="P7" s="148">
        <v>0</v>
      </c>
      <c r="Q7" s="148">
        <v>0</v>
      </c>
      <c r="R7" s="148">
        <v>0</v>
      </c>
      <c r="S7" s="148">
        <v>0</v>
      </c>
      <c r="T7" s="148">
        <f t="shared" si="1"/>
        <v>2.5939935064935062E-2</v>
      </c>
      <c r="U7" s="148">
        <f t="shared" si="2"/>
        <v>2.0217532467532464E-2</v>
      </c>
      <c r="V7" s="148">
        <f t="shared" si="3"/>
        <v>1.3634740259740258E-2</v>
      </c>
      <c r="W7" s="148">
        <f t="shared" si="4"/>
        <v>2.6894480519480523E-2</v>
      </c>
      <c r="X7" s="148">
        <f t="shared" si="5"/>
        <v>1.7144480519480521E-2</v>
      </c>
      <c r="Y7" s="345">
        <f>W7</f>
        <v>2.6894480519480523E-2</v>
      </c>
      <c r="Z7" s="345">
        <f>W7</f>
        <v>2.6894480519480523E-2</v>
      </c>
      <c r="AA7" s="345">
        <f t="shared" si="6"/>
        <v>2.6894480519480523E-2</v>
      </c>
      <c r="AD7" t="s">
        <v>411</v>
      </c>
      <c r="AE7" t="s">
        <v>482</v>
      </c>
      <c r="AG7" t="s">
        <v>649</v>
      </c>
      <c r="AH7" t="s">
        <v>246</v>
      </c>
    </row>
    <row r="8" spans="1:34" x14ac:dyDescent="0.25">
      <c r="A8" s="255" t="str">
        <f>PLANTILLA!A11</f>
        <v>#4</v>
      </c>
      <c r="B8" s="562" t="str">
        <f>PLANTILLA!D11</f>
        <v>C. Rojas</v>
      </c>
      <c r="C8" s="255">
        <f>PLANTILLA!E11</f>
        <v>36</v>
      </c>
      <c r="D8" s="255">
        <f ca="1">PLANTILLA!F11</f>
        <v>74</v>
      </c>
      <c r="E8" s="152">
        <f>PLANTILLA!X11</f>
        <v>0</v>
      </c>
      <c r="F8" s="152">
        <f>PLANTILLA!Y11</f>
        <v>7.95</v>
      </c>
      <c r="G8" s="152">
        <f>PLANTILLA!Z11</f>
        <v>13.95</v>
      </c>
      <c r="H8" s="152">
        <f>PLANTILLA!AA11</f>
        <v>8.9499999999999993</v>
      </c>
      <c r="I8" s="152">
        <f>PLANTILLA!AB11</f>
        <v>9.9499999999999993</v>
      </c>
      <c r="J8" s="152">
        <f>PLANTILLA!AC11</f>
        <v>1.95</v>
      </c>
      <c r="K8" s="152">
        <f>PLANTILLA!AD11</f>
        <v>16.95</v>
      </c>
      <c r="L8" s="297">
        <f>1/12</f>
        <v>8.3333333333333329E-2</v>
      </c>
      <c r="M8" s="297"/>
      <c r="N8" s="297">
        <f t="shared" si="0"/>
        <v>1.3888888888888888E-2</v>
      </c>
      <c r="O8" s="152">
        <v>0</v>
      </c>
      <c r="P8" s="148">
        <v>0</v>
      </c>
      <c r="Q8" s="148">
        <v>0</v>
      </c>
      <c r="R8" s="148">
        <v>0</v>
      </c>
      <c r="S8" s="148">
        <v>0</v>
      </c>
      <c r="T8" s="148">
        <f t="shared" si="1"/>
        <v>3.0263257575757572E-2</v>
      </c>
      <c r="U8" s="148">
        <f t="shared" si="2"/>
        <v>2.3587121212121212E-2</v>
      </c>
      <c r="V8" s="148">
        <f t="shared" si="3"/>
        <v>1.5907196969696967E-2</v>
      </c>
      <c r="W8" s="148">
        <f t="shared" si="4"/>
        <v>3.1376893939393941E-2</v>
      </c>
      <c r="X8" s="148">
        <f t="shared" si="5"/>
        <v>2.0001893939393941E-2</v>
      </c>
      <c r="Y8" s="345">
        <f>U8</f>
        <v>2.3587121212121212E-2</v>
      </c>
      <c r="Z8" s="345">
        <f>U8</f>
        <v>2.3587121212121212E-2</v>
      </c>
      <c r="AA8" s="345">
        <f t="shared" si="6"/>
        <v>2.3587121212121212E-2</v>
      </c>
      <c r="AD8" t="s">
        <v>639</v>
      </c>
      <c r="AE8" t="s">
        <v>345</v>
      </c>
      <c r="AG8" t="s">
        <v>637</v>
      </c>
      <c r="AH8" t="s">
        <v>650</v>
      </c>
    </row>
    <row r="9" spans="1:34" x14ac:dyDescent="0.25">
      <c r="A9" s="255" t="str">
        <f>PLANTILLA!A24</f>
        <v>#11</v>
      </c>
      <c r="B9" s="562" t="str">
        <f>PLANTILLA!D24</f>
        <v>K. Helms</v>
      </c>
      <c r="C9" s="255">
        <f>PLANTILLA!E24</f>
        <v>35</v>
      </c>
      <c r="D9" s="255">
        <f ca="1">PLANTILLA!F24</f>
        <v>28</v>
      </c>
      <c r="E9" s="152">
        <f>PLANTILLA!X24</f>
        <v>0</v>
      </c>
      <c r="F9" s="152">
        <f>PLANTILLA!Y24</f>
        <v>7.2503030303030309</v>
      </c>
      <c r="G9" s="152">
        <f>PLANTILLA!Z24</f>
        <v>10.600000000000005</v>
      </c>
      <c r="H9" s="152">
        <f>PLANTILLA!AA24</f>
        <v>12.95</v>
      </c>
      <c r="I9" s="152">
        <f>PLANTILLA!AB24</f>
        <v>9.9499999999999993</v>
      </c>
      <c r="J9" s="152">
        <f>PLANTILLA!AC24</f>
        <v>3.95</v>
      </c>
      <c r="K9" s="152">
        <f>PLANTILLA!AD24</f>
        <v>18</v>
      </c>
      <c r="L9" s="297">
        <f>1/10</f>
        <v>0.1</v>
      </c>
      <c r="M9" s="297"/>
      <c r="N9" s="297">
        <f t="shared" si="0"/>
        <v>1.6666666666666666E-2</v>
      </c>
      <c r="O9" s="152">
        <v>0</v>
      </c>
      <c r="P9" s="148">
        <v>0</v>
      </c>
      <c r="Q9" s="148">
        <v>0</v>
      </c>
      <c r="R9" s="148">
        <v>0</v>
      </c>
      <c r="S9" s="148">
        <v>0</v>
      </c>
      <c r="T9" s="148">
        <f t="shared" si="1"/>
        <v>3.6315909090909093E-2</v>
      </c>
      <c r="U9" s="148">
        <f t="shared" si="2"/>
        <v>2.8304545454545454E-2</v>
      </c>
      <c r="V9" s="148">
        <f t="shared" si="3"/>
        <v>1.9088636363636363E-2</v>
      </c>
      <c r="W9" s="148">
        <f t="shared" si="4"/>
        <v>3.7652272727272729E-2</v>
      </c>
      <c r="X9" s="148">
        <f t="shared" si="5"/>
        <v>2.400227272727273E-2</v>
      </c>
      <c r="Y9" s="345">
        <f>V9</f>
        <v>1.9088636363636363E-2</v>
      </c>
      <c r="Z9" s="345">
        <f>V9</f>
        <v>1.9088636363636363E-2</v>
      </c>
      <c r="AA9" s="345">
        <f t="shared" si="6"/>
        <v>1.9088636363636363E-2</v>
      </c>
      <c r="AD9" t="s">
        <v>411</v>
      </c>
      <c r="AE9" t="s">
        <v>248</v>
      </c>
      <c r="AG9" t="s">
        <v>411</v>
      </c>
      <c r="AH9" t="s">
        <v>248</v>
      </c>
    </row>
    <row r="10" spans="1:34" x14ac:dyDescent="0.25">
      <c r="A10" s="255" t="str">
        <f>PLANTILLA!A25</f>
        <v>#10</v>
      </c>
      <c r="B10" s="562" t="str">
        <f>PLANTILLA!D25</f>
        <v>S. Zobbe</v>
      </c>
      <c r="C10" s="255">
        <f>PLANTILLA!E25</f>
        <v>32</v>
      </c>
      <c r="D10" s="255">
        <f ca="1">PLANTILLA!F25</f>
        <v>43</v>
      </c>
      <c r="E10" s="152">
        <f>PLANTILLA!X25</f>
        <v>0</v>
      </c>
      <c r="F10" s="152">
        <f>PLANTILLA!Y25</f>
        <v>8.3599999999999977</v>
      </c>
      <c r="G10" s="152">
        <f>PLANTILLA!Z25</f>
        <v>12.253412698412699</v>
      </c>
      <c r="H10" s="152">
        <f>PLANTILLA!AA25</f>
        <v>12.95</v>
      </c>
      <c r="I10" s="152">
        <f>PLANTILLA!AB25</f>
        <v>10.24</v>
      </c>
      <c r="J10" s="152">
        <f>PLANTILLA!AC25</f>
        <v>6.95</v>
      </c>
      <c r="K10" s="152">
        <f>PLANTILLA!AD25</f>
        <v>16</v>
      </c>
      <c r="L10" s="297">
        <f>1/10</f>
        <v>0.1</v>
      </c>
      <c r="M10" s="297"/>
      <c r="N10" s="297">
        <f t="shared" si="0"/>
        <v>1.6666666666666666E-2</v>
      </c>
      <c r="O10" s="152">
        <v>0</v>
      </c>
      <c r="P10" s="148">
        <v>0</v>
      </c>
      <c r="Q10" s="148">
        <v>0</v>
      </c>
      <c r="R10" s="148">
        <v>0</v>
      </c>
      <c r="S10" s="148">
        <v>0</v>
      </c>
      <c r="T10" s="148">
        <f t="shared" si="1"/>
        <v>3.6315909090909093E-2</v>
      </c>
      <c r="U10" s="148">
        <f t="shared" si="2"/>
        <v>2.8304545454545454E-2</v>
      </c>
      <c r="V10" s="148">
        <f t="shared" si="3"/>
        <v>1.9088636363636363E-2</v>
      </c>
      <c r="W10" s="148">
        <f t="shared" si="4"/>
        <v>3.7652272727272729E-2</v>
      </c>
      <c r="X10" s="148">
        <f t="shared" si="5"/>
        <v>2.400227272727273E-2</v>
      </c>
      <c r="Y10" s="345">
        <f>V10</f>
        <v>1.9088636363636363E-2</v>
      </c>
      <c r="Z10" s="345">
        <f>V10</f>
        <v>1.9088636363636363E-2</v>
      </c>
      <c r="AA10" s="345">
        <f t="shared" si="6"/>
        <v>1.9088636363636363E-2</v>
      </c>
      <c r="AD10" t="s">
        <v>640</v>
      </c>
      <c r="AE10" t="s">
        <v>650</v>
      </c>
      <c r="AG10" t="s">
        <v>411</v>
      </c>
      <c r="AH10" t="s">
        <v>482</v>
      </c>
    </row>
    <row r="11" spans="1:34" x14ac:dyDescent="0.25">
      <c r="A11" s="255" t="str">
        <f>PLANTILLA!A9</f>
        <v>#7</v>
      </c>
      <c r="B11" s="562" t="str">
        <f>PLANTILLA!D9</f>
        <v>E. Romweber</v>
      </c>
      <c r="C11" s="255">
        <f>PLANTILLA!E9</f>
        <v>35</v>
      </c>
      <c r="D11" s="255">
        <f ca="1">PLANTILLA!F9</f>
        <v>81</v>
      </c>
      <c r="E11" s="152">
        <f>PLANTILLA!X9</f>
        <v>0</v>
      </c>
      <c r="F11" s="152">
        <f>PLANTILLA!Y9</f>
        <v>11.95</v>
      </c>
      <c r="G11" s="152">
        <f>PLANTILLA!Z9</f>
        <v>12.614111111111114</v>
      </c>
      <c r="H11" s="152">
        <f>PLANTILLA!AA9</f>
        <v>12.95</v>
      </c>
      <c r="I11" s="152">
        <f>PLANTILLA!AB9</f>
        <v>10.95</v>
      </c>
      <c r="J11" s="152">
        <f>PLANTILLA!AC9</f>
        <v>5.95</v>
      </c>
      <c r="K11" s="152">
        <f>PLANTILLA!AD9</f>
        <v>17.529999999999998</v>
      </c>
      <c r="L11" s="297">
        <f>1/13</f>
        <v>7.6923076923076927E-2</v>
      </c>
      <c r="M11" s="297"/>
      <c r="N11" s="297">
        <f t="shared" si="0"/>
        <v>1.2820512820512822E-2</v>
      </c>
      <c r="O11" s="152">
        <v>0</v>
      </c>
      <c r="P11" s="148">
        <v>0</v>
      </c>
      <c r="Q11" s="148">
        <v>0</v>
      </c>
      <c r="R11" s="148">
        <v>0</v>
      </c>
      <c r="S11" s="148">
        <v>0</v>
      </c>
      <c r="T11" s="148">
        <f t="shared" si="1"/>
        <v>2.7935314685314686E-2</v>
      </c>
      <c r="U11" s="148">
        <f t="shared" si="2"/>
        <v>2.1772727272727273E-2</v>
      </c>
      <c r="V11" s="148">
        <f t="shared" si="3"/>
        <v>1.4683566433566433E-2</v>
      </c>
      <c r="W11" s="148">
        <f t="shared" si="4"/>
        <v>2.8963286713286719E-2</v>
      </c>
      <c r="X11" s="148">
        <f t="shared" si="5"/>
        <v>1.8463286713286717E-2</v>
      </c>
      <c r="Y11" s="345">
        <f>V11</f>
        <v>1.4683566433566433E-2</v>
      </c>
      <c r="Z11" s="345">
        <f>V11</f>
        <v>1.4683566433566433E-2</v>
      </c>
      <c r="AA11" s="345">
        <f t="shared" si="6"/>
        <v>1.4683566433566433E-2</v>
      </c>
      <c r="AD11" t="s">
        <v>640</v>
      </c>
      <c r="AE11" t="s">
        <v>254</v>
      </c>
      <c r="AG11" t="s">
        <v>640</v>
      </c>
      <c r="AH11" t="s">
        <v>254</v>
      </c>
    </row>
    <row r="12" spans="1:34" x14ac:dyDescent="0.25">
      <c r="A12" s="255" t="e">
        <f>PLANTILLA!#REF!</f>
        <v>#REF!</v>
      </c>
      <c r="B12" s="562" t="e">
        <f>PLANTILLA!#REF!</f>
        <v>#REF!</v>
      </c>
      <c r="C12" s="255" t="e">
        <f>PLANTILLA!#REF!</f>
        <v>#REF!</v>
      </c>
      <c r="D12" s="255"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297">
        <f>1/26</f>
        <v>3.8461538461538464E-2</v>
      </c>
      <c r="M12" s="297"/>
      <c r="N12" s="297">
        <f t="shared" si="0"/>
        <v>6.4102564102564109E-3</v>
      </c>
      <c r="O12" s="152">
        <v>0</v>
      </c>
      <c r="P12" s="148">
        <v>0</v>
      </c>
      <c r="Q12" s="148">
        <v>0</v>
      </c>
      <c r="R12" s="148">
        <v>0</v>
      </c>
      <c r="S12" s="148">
        <v>0</v>
      </c>
      <c r="T12" s="148">
        <f t="shared" si="1"/>
        <v>1.3967657342657343E-2</v>
      </c>
      <c r="U12" s="148">
        <f t="shared" si="2"/>
        <v>1.0886363636363637E-2</v>
      </c>
      <c r="V12" s="148">
        <f t="shared" si="3"/>
        <v>7.3417832167832165E-3</v>
      </c>
      <c r="W12" s="148">
        <f t="shared" si="4"/>
        <v>1.448164335664336E-2</v>
      </c>
      <c r="X12" s="148">
        <f t="shared" si="5"/>
        <v>9.2316433566433584E-3</v>
      </c>
      <c r="Y12" s="345">
        <f>W12</f>
        <v>1.448164335664336E-2</v>
      </c>
      <c r="Z12" s="345">
        <f>W12</f>
        <v>1.448164335664336E-2</v>
      </c>
      <c r="AA12" s="345">
        <f t="shared" si="6"/>
        <v>1.448164335664336E-2</v>
      </c>
      <c r="AD12" t="s">
        <v>66</v>
      </c>
      <c r="AE12" t="s">
        <v>249</v>
      </c>
      <c r="AG12" t="s">
        <v>640</v>
      </c>
      <c r="AH12" t="s">
        <v>415</v>
      </c>
    </row>
    <row r="13" spans="1:34" x14ac:dyDescent="0.25">
      <c r="A13" s="255" t="str">
        <f>PLANTILLA!A28</f>
        <v>#15</v>
      </c>
      <c r="B13" s="562" t="str">
        <f>PLANTILLA!D28</f>
        <v>P .Trivadi</v>
      </c>
      <c r="C13" s="255">
        <f>PLANTILLA!E28</f>
        <v>31</v>
      </c>
      <c r="D13" s="255">
        <f ca="1">PLANTILLA!F28</f>
        <v>111</v>
      </c>
      <c r="E13" s="152">
        <f>PLANTILLA!X28</f>
        <v>0</v>
      </c>
      <c r="F13" s="152">
        <f>PLANTILLA!Y28</f>
        <v>4.0199999999999996</v>
      </c>
      <c r="G13" s="152">
        <f>PLANTILLA!Z28</f>
        <v>5.95</v>
      </c>
      <c r="H13" s="152">
        <f>PLANTILLA!AA28</f>
        <v>5.5099999999999989</v>
      </c>
      <c r="I13" s="152">
        <f>PLANTILLA!AB28</f>
        <v>10.95</v>
      </c>
      <c r="J13" s="152">
        <f>PLANTILLA!AC28</f>
        <v>7.95</v>
      </c>
      <c r="K13" s="152">
        <f>PLANTILLA!AD28</f>
        <v>14</v>
      </c>
      <c r="L13" s="297">
        <f>1/9</f>
        <v>0.1111111111111111</v>
      </c>
      <c r="M13" s="297"/>
      <c r="N13" s="297">
        <f t="shared" si="0"/>
        <v>1.8518518518518517E-2</v>
      </c>
      <c r="O13" s="152">
        <v>0</v>
      </c>
      <c r="P13" s="148">
        <v>0</v>
      </c>
      <c r="Q13" s="148">
        <v>0</v>
      </c>
      <c r="R13" s="148">
        <v>0</v>
      </c>
      <c r="S13" s="148">
        <v>0</v>
      </c>
      <c r="T13" s="148">
        <f t="shared" si="1"/>
        <v>4.0351010101010096E-2</v>
      </c>
      <c r="U13" s="148">
        <f t="shared" si="2"/>
        <v>3.1449494949494949E-2</v>
      </c>
      <c r="V13" s="148">
        <f t="shared" si="3"/>
        <v>2.1209595959595956E-2</v>
      </c>
      <c r="W13" s="148">
        <f t="shared" si="4"/>
        <v>4.183585858585858E-2</v>
      </c>
      <c r="X13" s="148">
        <f t="shared" si="5"/>
        <v>2.6669191919191919E-2</v>
      </c>
      <c r="Y13" s="345">
        <v>0</v>
      </c>
      <c r="Z13" s="345">
        <v>0</v>
      </c>
      <c r="AA13" s="345">
        <f t="shared" si="6"/>
        <v>0</v>
      </c>
      <c r="AD13" t="s">
        <v>66</v>
      </c>
      <c r="AE13" t="s">
        <v>415</v>
      </c>
      <c r="AG13" t="s">
        <v>66</v>
      </c>
      <c r="AH13" t="s">
        <v>249</v>
      </c>
    </row>
    <row r="14" spans="1:34" x14ac:dyDescent="0.25">
      <c r="A14" s="255" t="str">
        <f>PLANTILLA!A4</f>
        <v>#1</v>
      </c>
      <c r="B14" s="255" t="str">
        <f>PLANTILLA!D4</f>
        <v>D. Gehmacher</v>
      </c>
      <c r="C14" s="255">
        <f>PLANTILLA!E4</f>
        <v>34</v>
      </c>
      <c r="D14" s="255">
        <f ca="1">PLANTILLA!F4</f>
        <v>108</v>
      </c>
      <c r="E14" s="152">
        <f>PLANTILLA!X4</f>
        <v>16.666666666666668</v>
      </c>
      <c r="F14" s="152">
        <f>PLANTILLA!Y4</f>
        <v>11.95</v>
      </c>
      <c r="G14" s="152">
        <f>PLANTILLA!Z4</f>
        <v>2.0699999999999985</v>
      </c>
      <c r="H14" s="152">
        <f>PLANTILLA!AA4</f>
        <v>2.149999999999999</v>
      </c>
      <c r="I14" s="152">
        <f>PLANTILLA!AB4</f>
        <v>0.95</v>
      </c>
      <c r="J14" s="152">
        <f>PLANTILLA!AC4</f>
        <v>0</v>
      </c>
      <c r="K14" s="152">
        <f>PLANTILLA!AD4</f>
        <v>18.2</v>
      </c>
      <c r="L14" s="297">
        <v>0</v>
      </c>
      <c r="M14" s="297"/>
      <c r="N14" s="297">
        <f t="shared" si="0"/>
        <v>0</v>
      </c>
      <c r="O14" s="152">
        <v>0</v>
      </c>
      <c r="P14" s="148">
        <v>0</v>
      </c>
      <c r="Q14" s="148">
        <v>0</v>
      </c>
      <c r="R14" s="148">
        <v>0</v>
      </c>
      <c r="S14" s="148">
        <v>0</v>
      </c>
      <c r="T14" s="148">
        <f t="shared" si="1"/>
        <v>0</v>
      </c>
      <c r="U14" s="148">
        <f t="shared" si="2"/>
        <v>0</v>
      </c>
      <c r="V14" s="148">
        <f t="shared" si="3"/>
        <v>0</v>
      </c>
      <c r="W14" s="148">
        <f t="shared" si="4"/>
        <v>0</v>
      </c>
      <c r="X14" s="148">
        <f t="shared" si="5"/>
        <v>0</v>
      </c>
      <c r="Y14" s="345">
        <f>L14</f>
        <v>0</v>
      </c>
      <c r="Z14" s="345">
        <f>L14</f>
        <v>0</v>
      </c>
      <c r="AA14" s="345">
        <f t="shared" si="6"/>
        <v>0</v>
      </c>
    </row>
    <row r="15" spans="1:34" x14ac:dyDescent="0.25">
      <c r="A15" s="255" t="e">
        <f>PLANTILLA!#REF!</f>
        <v>#REF!</v>
      </c>
      <c r="B15" s="562" t="e">
        <f>PLANTILLA!#REF!</f>
        <v>#REF!</v>
      </c>
      <c r="C15" s="255" t="e">
        <f>PLANTILLA!#REF!</f>
        <v>#REF!</v>
      </c>
      <c r="D15" s="255"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297">
        <f>1/10</f>
        <v>0.1</v>
      </c>
      <c r="M15" s="297"/>
      <c r="N15" s="297">
        <f t="shared" si="0"/>
        <v>1.6666666666666666E-2</v>
      </c>
      <c r="O15" s="152">
        <v>0</v>
      </c>
      <c r="P15" s="148">
        <v>0</v>
      </c>
      <c r="Q15" s="148">
        <v>0</v>
      </c>
      <c r="R15" s="148">
        <v>0</v>
      </c>
      <c r="S15" s="148">
        <v>0</v>
      </c>
      <c r="T15" s="148">
        <f t="shared" si="1"/>
        <v>3.6315909090909093E-2</v>
      </c>
      <c r="U15" s="148">
        <f t="shared" si="2"/>
        <v>2.8304545454545454E-2</v>
      </c>
      <c r="V15" s="148">
        <f t="shared" si="3"/>
        <v>1.9088636363636363E-2</v>
      </c>
      <c r="W15" s="148">
        <f t="shared" si="4"/>
        <v>3.7652272727272729E-2</v>
      </c>
      <c r="X15" s="148">
        <f t="shared" si="5"/>
        <v>2.400227272727273E-2</v>
      </c>
      <c r="Y15" s="345">
        <v>0</v>
      </c>
      <c r="Z15" s="345">
        <v>0</v>
      </c>
      <c r="AA15" s="345">
        <f t="shared" si="6"/>
        <v>0</v>
      </c>
    </row>
    <row r="16" spans="1:34" x14ac:dyDescent="0.25">
      <c r="A16" s="255" t="e">
        <f>PLANTILLA!#REF!</f>
        <v>#REF!</v>
      </c>
      <c r="B16" s="562" t="e">
        <f>PLANTILLA!#REF!</f>
        <v>#REF!</v>
      </c>
      <c r="C16" s="255" t="e">
        <f>PLANTILLA!#REF!</f>
        <v>#REF!</v>
      </c>
      <c r="D16" s="255"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297">
        <f>1/8</f>
        <v>0.125</v>
      </c>
      <c r="M16" s="297"/>
      <c r="N16" s="297">
        <f t="shared" si="0"/>
        <v>2.0833333333333332E-2</v>
      </c>
      <c r="O16" s="152">
        <v>0</v>
      </c>
      <c r="P16" s="148">
        <v>0</v>
      </c>
      <c r="Q16" s="148">
        <v>0</v>
      </c>
      <c r="R16" s="148">
        <v>0</v>
      </c>
      <c r="S16" s="148">
        <v>0</v>
      </c>
      <c r="T16" s="148">
        <f t="shared" si="1"/>
        <v>4.5394886363636359E-2</v>
      </c>
      <c r="U16" s="148">
        <f t="shared" si="2"/>
        <v>3.5380681818181818E-2</v>
      </c>
      <c r="V16" s="148">
        <f t="shared" si="3"/>
        <v>2.3860795454545454E-2</v>
      </c>
      <c r="W16" s="148">
        <f>L16*(0.19*0.543+0.25*0.324)/(0.19+0.25)</f>
        <v>5.232102272727273E-2</v>
      </c>
      <c r="X16" s="148">
        <f t="shared" si="5"/>
        <v>3.0002840909090913E-2</v>
      </c>
      <c r="Y16" s="345">
        <v>0</v>
      </c>
      <c r="Z16" s="345">
        <v>0</v>
      </c>
      <c r="AA16" s="345">
        <f t="shared" si="6"/>
        <v>0</v>
      </c>
    </row>
    <row r="17" spans="1:27" x14ac:dyDescent="0.25">
      <c r="A17" s="255" t="str">
        <f>PLANTILLA!A6</f>
        <v>#2</v>
      </c>
      <c r="B17" s="562" t="str">
        <f>PLANTILLA!D6</f>
        <v>E. Toney</v>
      </c>
      <c r="C17" s="255">
        <f>PLANTILLA!E6</f>
        <v>36</v>
      </c>
      <c r="D17" s="255">
        <f ca="1">PLANTILLA!F6</f>
        <v>7</v>
      </c>
      <c r="E17" s="152">
        <f>PLANTILLA!X6</f>
        <v>0</v>
      </c>
      <c r="F17" s="152">
        <f>PLANTILLA!Y6</f>
        <v>11.95</v>
      </c>
      <c r="G17" s="152">
        <f>PLANTILLA!Z6</f>
        <v>12.95</v>
      </c>
      <c r="H17" s="152">
        <f>PLANTILLA!AA6</f>
        <v>8.9499999999999993</v>
      </c>
      <c r="I17" s="152">
        <f>PLANTILLA!AB6</f>
        <v>8.9499999999999993</v>
      </c>
      <c r="J17" s="152">
        <f>PLANTILLA!AC6</f>
        <v>1.95</v>
      </c>
      <c r="K17" s="152">
        <f>PLANTILLA!AD6</f>
        <v>17.177777777777774</v>
      </c>
      <c r="L17" s="297">
        <f>1/11</f>
        <v>9.0909090909090912E-2</v>
      </c>
      <c r="M17" s="297"/>
      <c r="N17" s="297">
        <f t="shared" si="0"/>
        <v>1.5151515151515152E-2</v>
      </c>
      <c r="O17" s="152">
        <v>0</v>
      </c>
      <c r="P17" s="148">
        <v>0</v>
      </c>
      <c r="Q17" s="148">
        <v>0</v>
      </c>
      <c r="R17" s="148">
        <v>0</v>
      </c>
      <c r="S17" s="148">
        <v>0</v>
      </c>
      <c r="T17" s="148">
        <f t="shared" si="1"/>
        <v>3.3014462809917357E-2</v>
      </c>
      <c r="U17" s="148">
        <f t="shared" si="2"/>
        <v>2.5731404958677685E-2</v>
      </c>
      <c r="V17" s="148">
        <f t="shared" si="3"/>
        <v>1.7353305785123965E-2</v>
      </c>
      <c r="W17" s="148">
        <f>L17*(0.19*0.543+0.25*0.324)/(0.19+0.25)</f>
        <v>3.8051652892561988E-2</v>
      </c>
      <c r="X17" s="148">
        <f t="shared" si="5"/>
        <v>2.1820247933884301E-2</v>
      </c>
      <c r="Y17" s="345">
        <f>S17</f>
        <v>0</v>
      </c>
      <c r="Z17" s="345">
        <f>S17</f>
        <v>0</v>
      </c>
      <c r="AA17" s="345">
        <f t="shared" si="6"/>
        <v>0</v>
      </c>
    </row>
    <row r="18" spans="1:27" x14ac:dyDescent="0.25">
      <c r="A18" s="255" t="str">
        <f>PLANTILLA!A12</f>
        <v>#12</v>
      </c>
      <c r="B18" s="562" t="str">
        <f>PLANTILLA!D12</f>
        <v>E. Gross</v>
      </c>
      <c r="C18" s="255">
        <f>PLANTILLA!E12</f>
        <v>35</v>
      </c>
      <c r="D18" s="255">
        <f ca="1">PLANTILLA!F12</f>
        <v>68</v>
      </c>
      <c r="E18" s="152">
        <f>PLANTILLA!X12</f>
        <v>0</v>
      </c>
      <c r="F18" s="152">
        <f>PLANTILLA!Y12</f>
        <v>10.549999999999995</v>
      </c>
      <c r="G18" s="152">
        <f>PLANTILLA!Z12</f>
        <v>12.95</v>
      </c>
      <c r="H18" s="152">
        <f>PLANTILLA!AA12</f>
        <v>4.95</v>
      </c>
      <c r="I18" s="152">
        <f>PLANTILLA!AB12</f>
        <v>8.9499999999999993</v>
      </c>
      <c r="J18" s="152">
        <f>PLANTILLA!AC12</f>
        <v>0.95</v>
      </c>
      <c r="K18" s="152">
        <f>PLANTILLA!AD12</f>
        <v>17.3</v>
      </c>
      <c r="L18" s="297">
        <f>1/10</f>
        <v>0.1</v>
      </c>
      <c r="M18" s="297"/>
      <c r="N18" s="297">
        <f t="shared" si="0"/>
        <v>1.6666666666666666E-2</v>
      </c>
      <c r="O18" s="152">
        <v>0</v>
      </c>
      <c r="P18" s="148">
        <v>0</v>
      </c>
      <c r="Q18" s="148">
        <v>0</v>
      </c>
      <c r="R18" s="148">
        <v>0</v>
      </c>
      <c r="S18" s="148">
        <v>0</v>
      </c>
      <c r="T18" s="148">
        <f t="shared" si="1"/>
        <v>3.6315909090909093E-2</v>
      </c>
      <c r="U18" s="148">
        <f t="shared" si="2"/>
        <v>2.8304545454545454E-2</v>
      </c>
      <c r="V18" s="148">
        <f t="shared" si="3"/>
        <v>1.9088636363636363E-2</v>
      </c>
      <c r="W18" s="148">
        <f>L18*(0.19*0.543+0.25*0.25)/(0.19+0.25)</f>
        <v>3.7652272727272729E-2</v>
      </c>
      <c r="X18" s="148">
        <f t="shared" si="5"/>
        <v>2.400227272727273E-2</v>
      </c>
      <c r="Y18" s="345">
        <v>0</v>
      </c>
      <c r="Z18" s="345">
        <v>0</v>
      </c>
      <c r="AA18" s="345">
        <f t="shared" si="6"/>
        <v>0</v>
      </c>
    </row>
    <row r="19" spans="1:27" x14ac:dyDescent="0.25">
      <c r="A19" s="255" t="str">
        <f>PLANTILLA!A7</f>
        <v>#24</v>
      </c>
      <c r="B19" s="562" t="str">
        <f>PLANTILLA!D7</f>
        <v>B. Bartolache</v>
      </c>
      <c r="C19" s="255">
        <f>PLANTILLA!E7</f>
        <v>35</v>
      </c>
      <c r="D19" s="255">
        <f ca="1">PLANTILLA!F7</f>
        <v>104</v>
      </c>
      <c r="E19" s="152">
        <f>PLANTILLA!X7</f>
        <v>0</v>
      </c>
      <c r="F19" s="152">
        <f>PLANTILLA!Y7</f>
        <v>11.95</v>
      </c>
      <c r="G19" s="152">
        <f>PLANTILLA!Z7</f>
        <v>5.95</v>
      </c>
      <c r="H19" s="152">
        <f>PLANTILLA!AA7</f>
        <v>6.95</v>
      </c>
      <c r="I19" s="152">
        <f>PLANTILLA!AB7</f>
        <v>7.95</v>
      </c>
      <c r="J19" s="152">
        <f>PLANTILLA!AC7</f>
        <v>2.95</v>
      </c>
      <c r="K19" s="152">
        <f>PLANTILLA!AD7</f>
        <v>16</v>
      </c>
      <c r="L19" s="297">
        <f>1/10</f>
        <v>0.1</v>
      </c>
      <c r="M19" s="297"/>
      <c r="N19" s="297">
        <f t="shared" si="0"/>
        <v>1.6666666666666666E-2</v>
      </c>
      <c r="O19" s="152">
        <v>0</v>
      </c>
      <c r="P19" s="148">
        <v>0</v>
      </c>
      <c r="Q19" s="148">
        <v>0</v>
      </c>
      <c r="R19" s="148">
        <v>0</v>
      </c>
      <c r="S19" s="148">
        <v>0</v>
      </c>
      <c r="T19" s="148">
        <f t="shared" si="1"/>
        <v>3.6315909090909093E-2</v>
      </c>
      <c r="U19" s="148">
        <f t="shared" si="2"/>
        <v>2.8304545454545454E-2</v>
      </c>
      <c r="V19" s="148">
        <f t="shared" si="3"/>
        <v>1.9088636363636363E-2</v>
      </c>
      <c r="W19" s="148">
        <f>L19*(0.19*0.543+0.25*0.324)/(0.19+0.25)</f>
        <v>4.1856818181818183E-2</v>
      </c>
      <c r="X19" s="148">
        <f t="shared" si="5"/>
        <v>2.400227272727273E-2</v>
      </c>
      <c r="Y19" s="345">
        <v>0</v>
      </c>
      <c r="Z19" s="345">
        <f>S19</f>
        <v>0</v>
      </c>
      <c r="AA19" s="345">
        <f t="shared" si="6"/>
        <v>0</v>
      </c>
    </row>
    <row r="20" spans="1:27" x14ac:dyDescent="0.25">
      <c r="A20" s="255" t="str">
        <f>PLANTILLA!A5</f>
        <v>#25</v>
      </c>
      <c r="B20" s="255" t="str">
        <f>PLANTILLA!D5</f>
        <v>T. Hammond</v>
      </c>
      <c r="C20" s="255">
        <f>PLANTILLA!E5</f>
        <v>39</v>
      </c>
      <c r="D20" s="255">
        <f ca="1">PLANTILLA!F5</f>
        <v>5</v>
      </c>
      <c r="E20" s="152">
        <f>PLANTILLA!X5</f>
        <v>7.95</v>
      </c>
      <c r="F20" s="152">
        <f>PLANTILLA!Y5</f>
        <v>7.95</v>
      </c>
      <c r="G20" s="152">
        <f>PLANTILLA!Z5</f>
        <v>0.95</v>
      </c>
      <c r="H20" s="152">
        <f>PLANTILLA!AA5</f>
        <v>0.95</v>
      </c>
      <c r="I20" s="152">
        <f>PLANTILLA!AB5</f>
        <v>1.95</v>
      </c>
      <c r="J20" s="152">
        <f>PLANTILLA!AC5</f>
        <v>0</v>
      </c>
      <c r="K20" s="152">
        <f>PLANTILLA!AD5</f>
        <v>14.95</v>
      </c>
      <c r="L20" s="297"/>
      <c r="M20" s="297"/>
      <c r="N20" s="297">
        <f t="shared" si="0"/>
        <v>0</v>
      </c>
      <c r="O20" s="152">
        <v>0</v>
      </c>
      <c r="P20" s="148">
        <v>0</v>
      </c>
      <c r="Q20" s="148">
        <v>0</v>
      </c>
      <c r="R20" s="148">
        <v>0</v>
      </c>
      <c r="S20" s="148">
        <v>0</v>
      </c>
      <c r="T20" s="148">
        <f t="shared" si="1"/>
        <v>0</v>
      </c>
      <c r="U20" s="148">
        <f t="shared" si="2"/>
        <v>0</v>
      </c>
      <c r="V20" s="148">
        <f t="shared" si="3"/>
        <v>0</v>
      </c>
      <c r="W20" s="148">
        <f>L20*(0.19*0.543+0.25*0.25)/(0.19+0.25)</f>
        <v>0</v>
      </c>
      <c r="X20" s="148">
        <f t="shared" si="5"/>
        <v>0</v>
      </c>
      <c r="Y20" s="345"/>
      <c r="Z20" s="345"/>
      <c r="AA20" s="345">
        <f t="shared" si="6"/>
        <v>0</v>
      </c>
    </row>
    <row r="21" spans="1:27" x14ac:dyDescent="0.25">
      <c r="A21" s="255" t="str">
        <f>PLANTILLA!A8</f>
        <v>#13</v>
      </c>
      <c r="B21" s="255" t="str">
        <f>PLANTILLA!D8</f>
        <v>F. Lasprilla</v>
      </c>
      <c r="C21" s="255">
        <f>PLANTILLA!E8</f>
        <v>32</v>
      </c>
      <c r="D21" s="255">
        <f ca="1">PLANTILLA!F8</f>
        <v>15</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297"/>
      <c r="M21" s="297"/>
      <c r="N21" s="297">
        <f t="shared" si="0"/>
        <v>0</v>
      </c>
      <c r="O21" s="152">
        <v>0</v>
      </c>
      <c r="P21" s="148">
        <v>0</v>
      </c>
      <c r="Q21" s="148">
        <v>0</v>
      </c>
      <c r="R21" s="148">
        <v>0</v>
      </c>
      <c r="S21" s="148">
        <v>0</v>
      </c>
      <c r="T21" s="148">
        <f t="shared" si="1"/>
        <v>0</v>
      </c>
      <c r="U21" s="148">
        <f t="shared" si="2"/>
        <v>0</v>
      </c>
      <c r="V21" s="148">
        <f t="shared" si="3"/>
        <v>0</v>
      </c>
      <c r="W21" s="148">
        <f>L21*(0.19*0.543+0.25*0.25)/(0.19+0.25)</f>
        <v>0</v>
      </c>
      <c r="X21" s="148">
        <f t="shared" si="5"/>
        <v>0</v>
      </c>
      <c r="Y21" s="345"/>
      <c r="Z21" s="345"/>
      <c r="AA21" s="345">
        <f t="shared" si="6"/>
        <v>0</v>
      </c>
    </row>
    <row r="22" spans="1:27" x14ac:dyDescent="0.25">
      <c r="A22" s="255" t="str">
        <f>PLANTILLA!A13</f>
        <v>#23</v>
      </c>
      <c r="B22" s="255" t="str">
        <f>PLANTILLA!D13</f>
        <v>W. Gelifini</v>
      </c>
      <c r="C22" s="255">
        <f>PLANTILLA!E13</f>
        <v>33</v>
      </c>
      <c r="D22" s="255">
        <f ca="1">PLANTILLA!F13</f>
        <v>105</v>
      </c>
      <c r="E22" s="152">
        <f>PLANTILLA!X13</f>
        <v>0</v>
      </c>
      <c r="F22" s="152">
        <f>PLANTILLA!Y13</f>
        <v>5.6515555555555519</v>
      </c>
      <c r="G22" s="152">
        <f>PLANTILLA!Z13</f>
        <v>8.9499999999999993</v>
      </c>
      <c r="H22" s="152">
        <f>PLANTILLA!AA13</f>
        <v>6.95</v>
      </c>
      <c r="I22" s="152">
        <f>PLANTILLA!AB13</f>
        <v>9.2666666666666639</v>
      </c>
      <c r="J22" s="152">
        <f>PLANTILLA!AC13</f>
        <v>2.95</v>
      </c>
      <c r="K22" s="152">
        <f>PLANTILLA!AD13</f>
        <v>12.847222222222223</v>
      </c>
      <c r="L22" s="297"/>
      <c r="M22" s="297"/>
      <c r="N22" s="297">
        <f t="shared" si="0"/>
        <v>0</v>
      </c>
      <c r="O22" s="152">
        <v>0</v>
      </c>
      <c r="P22" s="148">
        <v>0</v>
      </c>
      <c r="Q22" s="148">
        <v>0</v>
      </c>
      <c r="R22" s="148">
        <v>0</v>
      </c>
      <c r="S22" s="148">
        <v>0</v>
      </c>
      <c r="T22" s="148">
        <f t="shared" si="1"/>
        <v>0</v>
      </c>
      <c r="U22" s="148">
        <f t="shared" si="2"/>
        <v>0</v>
      </c>
      <c r="V22" s="148">
        <f t="shared" si="3"/>
        <v>0</v>
      </c>
      <c r="W22" s="148">
        <f>L22*(0.19*0.543+0.25*0.25)/(0.19+0.25)</f>
        <v>0</v>
      </c>
      <c r="X22" s="148">
        <f t="shared" si="5"/>
        <v>0</v>
      </c>
      <c r="Y22" s="345"/>
      <c r="Z22" s="345"/>
      <c r="AA22" s="345">
        <f t="shared" si="6"/>
        <v>0</v>
      </c>
    </row>
    <row r="23" spans="1:27" x14ac:dyDescent="0.25">
      <c r="A23" s="255" t="e">
        <f>PLANTILLA!#REF!</f>
        <v>#REF!</v>
      </c>
      <c r="B23" s="255" t="e">
        <f>PLANTILLA!#REF!</f>
        <v>#REF!</v>
      </c>
      <c r="C23" s="255" t="e">
        <f>PLANTILLA!#REF!</f>
        <v>#REF!</v>
      </c>
      <c r="D23" s="25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97"/>
      <c r="M23" s="297"/>
      <c r="N23" s="297">
        <f t="shared" si="0"/>
        <v>0</v>
      </c>
      <c r="O23" s="152">
        <v>0</v>
      </c>
      <c r="P23" s="148">
        <v>0</v>
      </c>
      <c r="Q23" s="148">
        <v>0</v>
      </c>
      <c r="R23" s="148">
        <v>0</v>
      </c>
      <c r="S23" s="148">
        <v>0</v>
      </c>
      <c r="T23" s="148">
        <f t="shared" si="1"/>
        <v>0</v>
      </c>
      <c r="U23" s="148">
        <f t="shared" si="2"/>
        <v>0</v>
      </c>
      <c r="V23" s="148">
        <f t="shared" si="3"/>
        <v>0</v>
      </c>
      <c r="W23" s="148">
        <f>L23*(0.19*0.543+0.25*0.25)/(0.19+0.25)</f>
        <v>0</v>
      </c>
      <c r="X23" s="148">
        <f t="shared" si="5"/>
        <v>0</v>
      </c>
      <c r="Y23" s="345"/>
      <c r="Z23" s="345"/>
      <c r="AA23" s="345">
        <f t="shared" si="6"/>
        <v>0</v>
      </c>
    </row>
    <row r="26" spans="1:27" x14ac:dyDescent="0.25">
      <c r="B26" s="258"/>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14" bestFit="1" customWidth="1"/>
    <col min="13" max="13" width="6.5703125" style="514" customWidth="1"/>
    <col min="14" max="14" width="8.28515625" style="514" bestFit="1" customWidth="1"/>
    <col min="15" max="15" width="4.5703125" style="51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8">
        <v>43060</v>
      </c>
      <c r="Y2" s="516">
        <f>SUM(Y4:Y22)</f>
        <v>0.35961805555555554</v>
      </c>
      <c r="Z2" s="516">
        <f>SUM(Z4:Z22)</f>
        <v>0.49770896464646464</v>
      </c>
      <c r="AA2" s="516"/>
      <c r="AD2" s="421" t="s">
        <v>247</v>
      </c>
      <c r="AE2" s="421" t="s">
        <v>174</v>
      </c>
      <c r="AG2" s="421" t="s">
        <v>247</v>
      </c>
      <c r="AH2" s="421" t="s">
        <v>174</v>
      </c>
    </row>
    <row r="3" spans="1:34" x14ac:dyDescent="0.25">
      <c r="A3" s="266" t="s">
        <v>694</v>
      </c>
      <c r="B3" s="266" t="str">
        <f>PLANTILLA!D3</f>
        <v>Jugador</v>
      </c>
      <c r="C3" s="266" t="str">
        <f>PLANTILLA!E3</f>
        <v>Anys</v>
      </c>
      <c r="D3" s="266" t="str">
        <f>PLANTILLA!F3</f>
        <v>Dias</v>
      </c>
      <c r="E3" s="266" t="str">
        <f>PLANTILLA!X3</f>
        <v>Po</v>
      </c>
      <c r="F3" s="266" t="str">
        <f>PLANTILLA!Y3</f>
        <v>De</v>
      </c>
      <c r="G3" s="266" t="str">
        <f>PLANTILLA!Z3</f>
        <v>Cr</v>
      </c>
      <c r="H3" s="266" t="str">
        <f>PLANTILLA!AA3</f>
        <v>Ex</v>
      </c>
      <c r="I3" s="266" t="str">
        <f>PLANTILLA!AB3</f>
        <v>Ps</v>
      </c>
      <c r="J3" s="266" t="str">
        <f>PLANTILLA!AC3</f>
        <v>An</v>
      </c>
      <c r="K3" s="266" t="str">
        <f>PLANTILLA!AD3</f>
        <v>PA</v>
      </c>
      <c r="L3" s="509">
        <v>1</v>
      </c>
      <c r="M3" s="509">
        <v>0.5</v>
      </c>
      <c r="N3" s="266" t="s">
        <v>672</v>
      </c>
      <c r="O3" s="511" t="s">
        <v>1</v>
      </c>
      <c r="P3" s="511" t="s">
        <v>638</v>
      </c>
      <c r="Q3" s="510" t="s">
        <v>665</v>
      </c>
      <c r="R3" s="510" t="s">
        <v>671</v>
      </c>
      <c r="S3" s="510" t="s">
        <v>666</v>
      </c>
      <c r="T3" s="510" t="s">
        <v>639</v>
      </c>
      <c r="U3" s="510" t="s">
        <v>411</v>
      </c>
      <c r="V3" s="510" t="s">
        <v>670</v>
      </c>
      <c r="W3" s="511" t="s">
        <v>468</v>
      </c>
      <c r="X3" s="511" t="s">
        <v>66</v>
      </c>
      <c r="Y3" s="513" t="s">
        <v>668</v>
      </c>
      <c r="Z3" s="513" t="s">
        <v>669</v>
      </c>
      <c r="AA3" s="513" t="s">
        <v>674</v>
      </c>
      <c r="AD3" t="s">
        <v>1</v>
      </c>
      <c r="AE3" t="s">
        <v>618</v>
      </c>
      <c r="AG3" t="s">
        <v>1</v>
      </c>
      <c r="AH3" t="s">
        <v>618</v>
      </c>
    </row>
    <row r="4" spans="1:34" x14ac:dyDescent="0.25">
      <c r="A4" s="255" t="e">
        <f>PLANTILLA!#REF!</f>
        <v>#REF!</v>
      </c>
      <c r="B4" s="562" t="e">
        <f>PLANTILLA!#REF!</f>
        <v>#REF!</v>
      </c>
      <c r="C4" s="255" t="e">
        <f>PLANTILLA!#REF!</f>
        <v>#REF!</v>
      </c>
      <c r="D4" s="255" t="e">
        <f>PLANTILLA!#REF!</f>
        <v>#REF!</v>
      </c>
      <c r="E4" s="152" t="e">
        <f>PLANTILLA!#REF!</f>
        <v>#REF!</v>
      </c>
      <c r="F4" s="152" t="e">
        <f>PLANTILLA!#REF!</f>
        <v>#REF!</v>
      </c>
      <c r="G4" s="152" t="e">
        <f>PLANTILLA!#REF!</f>
        <v>#REF!</v>
      </c>
      <c r="H4" s="152" t="e">
        <f>PLANTILLA!#REF!</f>
        <v>#REF!</v>
      </c>
      <c r="I4" s="152" t="e">
        <f>PLANTILLA!#REF!</f>
        <v>#REF!</v>
      </c>
      <c r="J4" s="152" t="e">
        <f>PLANTILLA!#REF!</f>
        <v>#REF!</v>
      </c>
      <c r="K4" s="152" t="e">
        <f>PLANTILLA!#REF!</f>
        <v>#REF!</v>
      </c>
      <c r="L4" s="297">
        <f>1/4</f>
        <v>0.25</v>
      </c>
      <c r="M4" s="297">
        <f t="shared" ref="M4:M23" si="0">L4/2</f>
        <v>0.125</v>
      </c>
      <c r="N4" s="297">
        <f t="shared" ref="N4:N23" si="1">L4/8</f>
        <v>3.125E-2</v>
      </c>
      <c r="O4" s="152">
        <v>0</v>
      </c>
      <c r="P4" s="148">
        <v>0</v>
      </c>
      <c r="Q4" s="148">
        <v>0</v>
      </c>
      <c r="R4" s="148">
        <f t="shared" ref="R4:R23" si="2">L4*0.286</f>
        <v>7.1499999999999994E-2</v>
      </c>
      <c r="S4" s="148">
        <f t="shared" ref="S4:S23" si="3">L4*(0.588*0.25+0.19*0)/(0.25+0.19)</f>
        <v>8.3522727272727262E-2</v>
      </c>
      <c r="T4" s="148">
        <v>0</v>
      </c>
      <c r="U4" s="148">
        <f t="shared" ref="U4:U23" si="4">L4*(0.574*0.25+0.19*0)/(0.25+0.19)</f>
        <v>8.1534090909090903E-2</v>
      </c>
      <c r="V4" s="148">
        <f t="shared" ref="V4:V23" si="5">L4*(0.864*0.25+0.19*0)/(0.25+0.19)</f>
        <v>0.12272727272727273</v>
      </c>
      <c r="W4" s="148">
        <f t="shared" ref="W4:W23" si="6">L4*(0.144*0.25+0.19*0)/(0.25+0.19)</f>
        <v>2.0454545454545454E-2</v>
      </c>
      <c r="X4" s="148">
        <f t="shared" ref="X4:X23" si="7">L4*(0.221*0.25+0.19*0)/(0.25+0.19)</f>
        <v>3.1392045454545457E-2</v>
      </c>
      <c r="Y4" s="345"/>
      <c r="Z4" s="345">
        <f>R4</f>
        <v>7.1499999999999994E-2</v>
      </c>
      <c r="AA4" s="345">
        <f t="shared" ref="AA4:AA23" si="8">MAX(Z4,Y4)</f>
        <v>7.1499999999999994E-2</v>
      </c>
      <c r="AD4" t="s">
        <v>637</v>
      </c>
      <c r="AE4" s="529" t="s">
        <v>683</v>
      </c>
      <c r="AG4" t="s">
        <v>637</v>
      </c>
      <c r="AH4" s="529" t="str">
        <f>AE4</f>
        <v>B. Pinczehelyi</v>
      </c>
    </row>
    <row r="5" spans="1:34" x14ac:dyDescent="0.25">
      <c r="A5" s="255" t="str">
        <f>PLANTILLA!A7</f>
        <v>#24</v>
      </c>
      <c r="B5" s="562" t="str">
        <f>PLANTILLA!D7</f>
        <v>B. Bartolache</v>
      </c>
      <c r="C5" s="255">
        <f>PLANTILLA!E7</f>
        <v>35</v>
      </c>
      <c r="D5" s="255">
        <f ca="1">PLANTILLA!F7</f>
        <v>104</v>
      </c>
      <c r="E5" s="152">
        <f>PLANTILLA!X7</f>
        <v>0</v>
      </c>
      <c r="F5" s="152">
        <f>PLANTILLA!Y7</f>
        <v>11.95</v>
      </c>
      <c r="G5" s="152">
        <f>PLANTILLA!Z7</f>
        <v>5.95</v>
      </c>
      <c r="H5" s="152">
        <f>PLANTILLA!AA7</f>
        <v>6.95</v>
      </c>
      <c r="I5" s="152">
        <f>PLANTILLA!AB7</f>
        <v>7.95</v>
      </c>
      <c r="J5" s="152">
        <f>PLANTILLA!AC7</f>
        <v>2.95</v>
      </c>
      <c r="K5" s="152">
        <f>PLANTILLA!AD7</f>
        <v>16</v>
      </c>
      <c r="L5" s="297">
        <f>1/6</f>
        <v>0.16666666666666666</v>
      </c>
      <c r="M5" s="297">
        <f t="shared" si="0"/>
        <v>8.3333333333333329E-2</v>
      </c>
      <c r="N5" s="297">
        <f t="shared" si="1"/>
        <v>2.0833333333333332E-2</v>
      </c>
      <c r="O5" s="152">
        <v>0</v>
      </c>
      <c r="P5" s="148">
        <v>0</v>
      </c>
      <c r="Q5" s="148">
        <v>0</v>
      </c>
      <c r="R5" s="148">
        <f t="shared" si="2"/>
        <v>4.7666666666666663E-2</v>
      </c>
      <c r="S5" s="148">
        <f t="shared" si="3"/>
        <v>5.5681818181818173E-2</v>
      </c>
      <c r="T5" s="148">
        <v>0</v>
      </c>
      <c r="U5" s="148">
        <f t="shared" si="4"/>
        <v>5.4356060606060595E-2</v>
      </c>
      <c r="V5" s="148">
        <f t="shared" si="5"/>
        <v>8.1818181818181818E-2</v>
      </c>
      <c r="W5" s="148">
        <f t="shared" si="6"/>
        <v>1.3636363636363634E-2</v>
      </c>
      <c r="X5" s="148">
        <f t="shared" si="7"/>
        <v>2.0928030303030299E-2</v>
      </c>
      <c r="Y5" s="345"/>
      <c r="Z5" s="345">
        <f>S5</f>
        <v>5.5681818181818173E-2</v>
      </c>
      <c r="AA5" s="345">
        <f t="shared" si="8"/>
        <v>5.5681818181818173E-2</v>
      </c>
      <c r="AD5" t="s">
        <v>638</v>
      </c>
      <c r="AE5" t="s">
        <v>244</v>
      </c>
      <c r="AG5" t="s">
        <v>649</v>
      </c>
      <c r="AH5" t="s">
        <v>245</v>
      </c>
    </row>
    <row r="6" spans="1:34" x14ac:dyDescent="0.25">
      <c r="A6" s="255" t="str">
        <f>PLANTILLA!A25</f>
        <v>#10</v>
      </c>
      <c r="B6" s="562" t="str">
        <f>PLANTILLA!D25</f>
        <v>S. Zobbe</v>
      </c>
      <c r="C6" s="255">
        <f>PLANTILLA!E25</f>
        <v>32</v>
      </c>
      <c r="D6" s="255">
        <f ca="1">PLANTILLA!F25</f>
        <v>43</v>
      </c>
      <c r="E6" s="152">
        <f>PLANTILLA!X25</f>
        <v>0</v>
      </c>
      <c r="F6" s="152">
        <f>PLANTILLA!Y25</f>
        <v>8.3599999999999977</v>
      </c>
      <c r="G6" s="152">
        <f>PLANTILLA!Z25</f>
        <v>12.253412698412699</v>
      </c>
      <c r="H6" s="152">
        <f>PLANTILLA!AA25</f>
        <v>12.95</v>
      </c>
      <c r="I6" s="152">
        <f>PLANTILLA!AB25</f>
        <v>10.24</v>
      </c>
      <c r="J6" s="152">
        <f>PLANTILLA!AC25</f>
        <v>6.95</v>
      </c>
      <c r="K6" s="152">
        <f>PLANTILLA!AD25</f>
        <v>16</v>
      </c>
      <c r="L6" s="297">
        <f>1/9</f>
        <v>0.1111111111111111</v>
      </c>
      <c r="M6" s="297">
        <f t="shared" si="0"/>
        <v>5.5555555555555552E-2</v>
      </c>
      <c r="N6" s="297">
        <f t="shared" si="1"/>
        <v>1.3888888888888888E-2</v>
      </c>
      <c r="O6" s="152">
        <v>0</v>
      </c>
      <c r="P6" s="148">
        <v>0</v>
      </c>
      <c r="Q6" s="148">
        <v>0</v>
      </c>
      <c r="R6" s="148">
        <f t="shared" si="2"/>
        <v>3.1777777777777773E-2</v>
      </c>
      <c r="S6" s="148">
        <f t="shared" si="3"/>
        <v>3.7121212121212117E-2</v>
      </c>
      <c r="T6" s="148">
        <v>0</v>
      </c>
      <c r="U6" s="148">
        <f t="shared" si="4"/>
        <v>3.6237373737373728E-2</v>
      </c>
      <c r="V6" s="148">
        <f t="shared" si="5"/>
        <v>5.4545454545454536E-2</v>
      </c>
      <c r="W6" s="148">
        <f t="shared" si="6"/>
        <v>9.0909090909090887E-3</v>
      </c>
      <c r="X6" s="148">
        <f t="shared" si="7"/>
        <v>1.39520202020202E-2</v>
      </c>
      <c r="Y6" s="345">
        <f>V6</f>
        <v>5.4545454545454536E-2</v>
      </c>
      <c r="Z6" s="345">
        <f>V6</f>
        <v>5.4545454545454536E-2</v>
      </c>
      <c r="AA6" s="345">
        <f t="shared" si="8"/>
        <v>5.4545454545454536E-2</v>
      </c>
      <c r="AD6" t="s">
        <v>637</v>
      </c>
      <c r="AE6" t="s">
        <v>242</v>
      </c>
      <c r="AG6" t="s">
        <v>648</v>
      </c>
      <c r="AH6" t="s">
        <v>242</v>
      </c>
    </row>
    <row r="7" spans="1:34" x14ac:dyDescent="0.25">
      <c r="A7" s="255" t="str">
        <f>PLANTILLA!A6</f>
        <v>#2</v>
      </c>
      <c r="B7" s="562" t="str">
        <f>PLANTILLA!D6</f>
        <v>E. Toney</v>
      </c>
      <c r="C7" s="255">
        <f>PLANTILLA!E6</f>
        <v>36</v>
      </c>
      <c r="D7" s="255">
        <f ca="1">PLANTILLA!F6</f>
        <v>7</v>
      </c>
      <c r="E7" s="152">
        <f>PLANTILLA!X6</f>
        <v>0</v>
      </c>
      <c r="F7" s="152">
        <f>PLANTILLA!Y6</f>
        <v>11.95</v>
      </c>
      <c r="G7" s="152">
        <f>PLANTILLA!Z6</f>
        <v>12.95</v>
      </c>
      <c r="H7" s="152">
        <f>PLANTILLA!AA6</f>
        <v>8.9499999999999993</v>
      </c>
      <c r="I7" s="152">
        <f>PLANTILLA!AB6</f>
        <v>8.9499999999999993</v>
      </c>
      <c r="J7" s="152">
        <f>PLANTILLA!AC6</f>
        <v>1.95</v>
      </c>
      <c r="K7" s="152">
        <f>PLANTILLA!AD6</f>
        <v>17.177777777777774</v>
      </c>
      <c r="L7" s="297">
        <f>1/7</f>
        <v>0.14285714285714285</v>
      </c>
      <c r="M7" s="297">
        <f t="shared" si="0"/>
        <v>7.1428571428571425E-2</v>
      </c>
      <c r="N7" s="297">
        <f t="shared" si="1"/>
        <v>1.7857142857142856E-2</v>
      </c>
      <c r="O7" s="152">
        <v>0</v>
      </c>
      <c r="P7" s="148">
        <v>0</v>
      </c>
      <c r="Q7" s="148">
        <v>0</v>
      </c>
      <c r="R7" s="148">
        <f t="shared" si="2"/>
        <v>4.0857142857142849E-2</v>
      </c>
      <c r="S7" s="148">
        <f t="shared" si="3"/>
        <v>4.7727272727272722E-2</v>
      </c>
      <c r="T7" s="148">
        <v>0</v>
      </c>
      <c r="U7" s="148">
        <f t="shared" si="4"/>
        <v>4.6590909090909086E-2</v>
      </c>
      <c r="V7" s="148">
        <f t="shared" si="5"/>
        <v>7.0129870129870125E-2</v>
      </c>
      <c r="W7" s="148">
        <f t="shared" si="6"/>
        <v>1.1688311688311687E-2</v>
      </c>
      <c r="X7" s="148">
        <f t="shared" si="7"/>
        <v>1.7938311688311687E-2</v>
      </c>
      <c r="Y7" s="345">
        <f>S7</f>
        <v>4.7727272727272722E-2</v>
      </c>
      <c r="Z7" s="345">
        <f>S7</f>
        <v>4.7727272727272722E-2</v>
      </c>
      <c r="AA7" s="345">
        <f t="shared" si="8"/>
        <v>4.7727272727272722E-2</v>
      </c>
      <c r="AD7" t="s">
        <v>411</v>
      </c>
      <c r="AE7" t="s">
        <v>482</v>
      </c>
      <c r="AG7" t="s">
        <v>649</v>
      </c>
      <c r="AH7" t="s">
        <v>246</v>
      </c>
    </row>
    <row r="8" spans="1:34" x14ac:dyDescent="0.25">
      <c r="A8" s="255" t="str">
        <f>PLANTILLA!A9</f>
        <v>#7</v>
      </c>
      <c r="B8" s="563" t="str">
        <f>PLANTILLA!D9</f>
        <v>E. Romweber</v>
      </c>
      <c r="C8" s="255">
        <f>PLANTILLA!E9</f>
        <v>35</v>
      </c>
      <c r="D8" s="255">
        <f ca="1">PLANTILLA!F9</f>
        <v>81</v>
      </c>
      <c r="E8" s="152">
        <f>PLANTILLA!X9</f>
        <v>0</v>
      </c>
      <c r="F8" s="152">
        <f>PLANTILLA!Y9</f>
        <v>11.95</v>
      </c>
      <c r="G8" s="152">
        <f>PLANTILLA!Z9</f>
        <v>12.614111111111114</v>
      </c>
      <c r="H8" s="152">
        <f>PLANTILLA!AA9</f>
        <v>12.95</v>
      </c>
      <c r="I8" s="152">
        <f>PLANTILLA!AB9</f>
        <v>10.95</v>
      </c>
      <c r="J8" s="152">
        <f>PLANTILLA!AC9</f>
        <v>5.95</v>
      </c>
      <c r="K8" s="152">
        <f>PLANTILLA!AD9</f>
        <v>17.529999999999998</v>
      </c>
      <c r="L8" s="297">
        <f>1/12</f>
        <v>8.3333333333333329E-2</v>
      </c>
      <c r="M8" s="297">
        <f t="shared" si="0"/>
        <v>4.1666666666666664E-2</v>
      </c>
      <c r="N8" s="297">
        <f t="shared" si="1"/>
        <v>1.0416666666666666E-2</v>
      </c>
      <c r="O8" s="152">
        <v>0</v>
      </c>
      <c r="P8" s="148">
        <v>0</v>
      </c>
      <c r="Q8" s="148">
        <v>0</v>
      </c>
      <c r="R8" s="148">
        <f t="shared" si="2"/>
        <v>2.3833333333333331E-2</v>
      </c>
      <c r="S8" s="148">
        <f t="shared" si="3"/>
        <v>2.7840909090909086E-2</v>
      </c>
      <c r="T8" s="148">
        <v>0</v>
      </c>
      <c r="U8" s="148">
        <f t="shared" si="4"/>
        <v>2.7178030303030298E-2</v>
      </c>
      <c r="V8" s="148">
        <f t="shared" si="5"/>
        <v>4.0909090909090909E-2</v>
      </c>
      <c r="W8" s="148">
        <f t="shared" si="6"/>
        <v>6.818181818181817E-3</v>
      </c>
      <c r="X8" s="148">
        <f t="shared" si="7"/>
        <v>1.046401515151515E-2</v>
      </c>
      <c r="Y8" s="345">
        <f>V8</f>
        <v>4.0909090909090909E-2</v>
      </c>
      <c r="Z8" s="345">
        <f>V8</f>
        <v>4.0909090909090909E-2</v>
      </c>
      <c r="AA8" s="345">
        <f t="shared" si="8"/>
        <v>4.0909090909090909E-2</v>
      </c>
      <c r="AD8" t="s">
        <v>639</v>
      </c>
      <c r="AE8" t="s">
        <v>345</v>
      </c>
      <c r="AG8" t="s">
        <v>637</v>
      </c>
      <c r="AH8" t="s">
        <v>650</v>
      </c>
    </row>
    <row r="9" spans="1:34" x14ac:dyDescent="0.25">
      <c r="A9" s="255" t="str">
        <f>PLANTILLA!A24</f>
        <v>#11</v>
      </c>
      <c r="B9" s="563" t="str">
        <f>PLANTILLA!D24</f>
        <v>K. Helms</v>
      </c>
      <c r="C9" s="255">
        <f>PLANTILLA!E24</f>
        <v>35</v>
      </c>
      <c r="D9" s="255">
        <f ca="1">PLANTILLA!F24</f>
        <v>28</v>
      </c>
      <c r="E9" s="152">
        <f>PLANTILLA!X24</f>
        <v>0</v>
      </c>
      <c r="F9" s="152">
        <f>PLANTILLA!Y24</f>
        <v>7.2503030303030309</v>
      </c>
      <c r="G9" s="152">
        <f>PLANTILLA!Z24</f>
        <v>10.600000000000005</v>
      </c>
      <c r="H9" s="152">
        <f>PLANTILLA!AA24</f>
        <v>12.95</v>
      </c>
      <c r="I9" s="152">
        <f>PLANTILLA!AB24</f>
        <v>9.9499999999999993</v>
      </c>
      <c r="J9" s="152">
        <f>PLANTILLA!AC24</f>
        <v>3.95</v>
      </c>
      <c r="K9" s="152">
        <f>PLANTILLA!AD24</f>
        <v>18</v>
      </c>
      <c r="L9" s="297">
        <f>1/12</f>
        <v>8.3333333333333329E-2</v>
      </c>
      <c r="M9" s="297">
        <f t="shared" si="0"/>
        <v>4.1666666666666664E-2</v>
      </c>
      <c r="N9" s="297">
        <f t="shared" si="1"/>
        <v>1.0416666666666666E-2</v>
      </c>
      <c r="O9" s="152">
        <v>0</v>
      </c>
      <c r="P9" s="148">
        <v>0</v>
      </c>
      <c r="Q9" s="148">
        <v>0</v>
      </c>
      <c r="R9" s="148">
        <f t="shared" si="2"/>
        <v>2.3833333333333331E-2</v>
      </c>
      <c r="S9" s="148">
        <f t="shared" si="3"/>
        <v>2.7840909090909086E-2</v>
      </c>
      <c r="T9" s="148">
        <v>0</v>
      </c>
      <c r="U9" s="148">
        <f t="shared" si="4"/>
        <v>2.7178030303030298E-2</v>
      </c>
      <c r="V9" s="148">
        <f t="shared" si="5"/>
        <v>4.0909090909090909E-2</v>
      </c>
      <c r="W9" s="148">
        <f t="shared" si="6"/>
        <v>6.818181818181817E-3</v>
      </c>
      <c r="X9" s="148">
        <f t="shared" si="7"/>
        <v>1.046401515151515E-2</v>
      </c>
      <c r="Y9" s="345">
        <f>V9</f>
        <v>4.0909090909090909E-2</v>
      </c>
      <c r="Z9" s="345">
        <f>V9</f>
        <v>4.0909090909090909E-2</v>
      </c>
      <c r="AA9" s="345">
        <f t="shared" si="8"/>
        <v>4.0909090909090909E-2</v>
      </c>
      <c r="AD9" t="s">
        <v>411</v>
      </c>
      <c r="AE9" t="s">
        <v>248</v>
      </c>
      <c r="AG9" t="s">
        <v>411</v>
      </c>
      <c r="AH9" t="s">
        <v>248</v>
      </c>
    </row>
    <row r="10" spans="1:34" x14ac:dyDescent="0.25">
      <c r="A10" s="255" t="str">
        <f>PLANTILLA!A11</f>
        <v>#4</v>
      </c>
      <c r="B10" s="563" t="str">
        <f>PLANTILLA!D11</f>
        <v>C. Rojas</v>
      </c>
      <c r="C10" s="255">
        <f>PLANTILLA!E11</f>
        <v>36</v>
      </c>
      <c r="D10" s="255">
        <f ca="1">PLANTILLA!F11</f>
        <v>74</v>
      </c>
      <c r="E10" s="152">
        <f>PLANTILLA!X11</f>
        <v>0</v>
      </c>
      <c r="F10" s="152">
        <f>PLANTILLA!Y11</f>
        <v>7.95</v>
      </c>
      <c r="G10" s="152">
        <f>PLANTILLA!Z11</f>
        <v>13.95</v>
      </c>
      <c r="H10" s="152">
        <f>PLANTILLA!AA11</f>
        <v>8.9499999999999993</v>
      </c>
      <c r="I10" s="152">
        <f>PLANTILLA!AB11</f>
        <v>9.9499999999999993</v>
      </c>
      <c r="J10" s="152">
        <f>PLANTILLA!AC11</f>
        <v>1.95</v>
      </c>
      <c r="K10" s="152">
        <f>PLANTILLA!AD11</f>
        <v>16.95</v>
      </c>
      <c r="L10" s="297">
        <f>1/8</f>
        <v>0.125</v>
      </c>
      <c r="M10" s="297">
        <f t="shared" si="0"/>
        <v>6.25E-2</v>
      </c>
      <c r="N10" s="297">
        <f t="shared" si="1"/>
        <v>1.5625E-2</v>
      </c>
      <c r="O10" s="152">
        <v>0</v>
      </c>
      <c r="P10" s="148">
        <v>0</v>
      </c>
      <c r="Q10" s="148">
        <v>0</v>
      </c>
      <c r="R10" s="148">
        <f t="shared" si="2"/>
        <v>3.5749999999999997E-2</v>
      </c>
      <c r="S10" s="148">
        <f t="shared" si="3"/>
        <v>4.1761363636363631E-2</v>
      </c>
      <c r="T10" s="148">
        <v>0</v>
      </c>
      <c r="U10" s="148">
        <f t="shared" si="4"/>
        <v>4.0767045454545452E-2</v>
      </c>
      <c r="V10" s="148">
        <f t="shared" si="5"/>
        <v>6.1363636363636363E-2</v>
      </c>
      <c r="W10" s="148">
        <f t="shared" si="6"/>
        <v>1.0227272727272727E-2</v>
      </c>
      <c r="X10" s="148">
        <f t="shared" si="7"/>
        <v>1.5696022727272729E-2</v>
      </c>
      <c r="Y10" s="345">
        <f>U10</f>
        <v>4.0767045454545452E-2</v>
      </c>
      <c r="Z10" s="345">
        <f>U10</f>
        <v>4.0767045454545452E-2</v>
      </c>
      <c r="AA10" s="345">
        <f t="shared" si="8"/>
        <v>4.0767045454545452E-2</v>
      </c>
      <c r="AD10" t="s">
        <v>640</v>
      </c>
      <c r="AE10" t="s">
        <v>650</v>
      </c>
      <c r="AG10" t="s">
        <v>411</v>
      </c>
      <c r="AH10" t="s">
        <v>482</v>
      </c>
    </row>
    <row r="11" spans="1:34" x14ac:dyDescent="0.25">
      <c r="A11" s="255" t="str">
        <f>PLANTILLA!A10</f>
        <v>#6</v>
      </c>
      <c r="B11" s="563" t="str">
        <f>PLANTILLA!D10</f>
        <v>S. Buschelman</v>
      </c>
      <c r="C11" s="255">
        <f>PLANTILLA!E10</f>
        <v>34</v>
      </c>
      <c r="D11" s="255">
        <f ca="1">PLANTILLA!F10</f>
        <v>40</v>
      </c>
      <c r="E11" s="152">
        <f>PLANTILLA!X10</f>
        <v>0</v>
      </c>
      <c r="F11" s="152">
        <f>PLANTILLA!Y10</f>
        <v>9.3036666666666648</v>
      </c>
      <c r="G11" s="152">
        <f>PLANTILLA!Z10</f>
        <v>14</v>
      </c>
      <c r="H11" s="152">
        <f>PLANTILLA!AA10</f>
        <v>12.945</v>
      </c>
      <c r="I11" s="152">
        <f>PLANTILLA!AB10</f>
        <v>9.9499999999999993</v>
      </c>
      <c r="J11" s="152">
        <f>PLANTILLA!AC10</f>
        <v>3.95</v>
      </c>
      <c r="K11" s="152">
        <f>PLANTILLA!AD10</f>
        <v>16</v>
      </c>
      <c r="L11" s="297">
        <f>1/9</f>
        <v>0.1111111111111111</v>
      </c>
      <c r="M11" s="297">
        <f t="shared" si="0"/>
        <v>5.5555555555555552E-2</v>
      </c>
      <c r="N11" s="297">
        <f t="shared" si="1"/>
        <v>1.3888888888888888E-2</v>
      </c>
      <c r="O11" s="152">
        <v>0</v>
      </c>
      <c r="P11" s="148">
        <v>0</v>
      </c>
      <c r="Q11" s="148">
        <v>0</v>
      </c>
      <c r="R11" s="148">
        <f t="shared" si="2"/>
        <v>3.1777777777777773E-2</v>
      </c>
      <c r="S11" s="148">
        <f t="shared" si="3"/>
        <v>3.7121212121212117E-2</v>
      </c>
      <c r="T11" s="148">
        <v>0</v>
      </c>
      <c r="U11" s="148">
        <f t="shared" si="4"/>
        <v>3.6237373737373728E-2</v>
      </c>
      <c r="V11" s="148">
        <f t="shared" si="5"/>
        <v>5.4545454545454536E-2</v>
      </c>
      <c r="W11" s="148">
        <f t="shared" si="6"/>
        <v>9.0909090909090887E-3</v>
      </c>
      <c r="X11" s="148">
        <f t="shared" si="7"/>
        <v>1.39520202020202E-2</v>
      </c>
      <c r="Y11" s="345">
        <f>U11</f>
        <v>3.6237373737373728E-2</v>
      </c>
      <c r="Z11" s="345">
        <f>U11</f>
        <v>3.6237373737373728E-2</v>
      </c>
      <c r="AA11" s="345">
        <f t="shared" si="8"/>
        <v>3.6237373737373728E-2</v>
      </c>
      <c r="AD11" t="s">
        <v>640</v>
      </c>
      <c r="AE11" t="s">
        <v>254</v>
      </c>
      <c r="AG11" t="s">
        <v>640</v>
      </c>
      <c r="AH11" t="s">
        <v>254</v>
      </c>
    </row>
    <row r="12" spans="1:34" x14ac:dyDescent="0.25">
      <c r="A12" s="255" t="e">
        <f>PLANTILLA!#REF!</f>
        <v>#REF!</v>
      </c>
      <c r="B12" s="198" t="e">
        <f>PLANTILLA!#REF!</f>
        <v>#REF!</v>
      </c>
      <c r="C12" s="255" t="e">
        <f>PLANTILLA!#REF!</f>
        <v>#REF!</v>
      </c>
      <c r="D12" s="255"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297">
        <f>1/10</f>
        <v>0.1</v>
      </c>
      <c r="M12" s="297">
        <f t="shared" si="0"/>
        <v>0.05</v>
      </c>
      <c r="N12" s="297">
        <f t="shared" si="1"/>
        <v>1.2500000000000001E-2</v>
      </c>
      <c r="O12" s="152">
        <v>0</v>
      </c>
      <c r="P12" s="148">
        <v>0</v>
      </c>
      <c r="Q12" s="148">
        <v>0</v>
      </c>
      <c r="R12" s="148">
        <f t="shared" si="2"/>
        <v>2.86E-2</v>
      </c>
      <c r="S12" s="148">
        <f t="shared" si="3"/>
        <v>3.3409090909090909E-2</v>
      </c>
      <c r="T12" s="148">
        <v>0</v>
      </c>
      <c r="U12" s="148">
        <f t="shared" si="4"/>
        <v>3.2613636363636365E-2</v>
      </c>
      <c r="V12" s="148">
        <f t="shared" si="5"/>
        <v>4.9090909090909095E-2</v>
      </c>
      <c r="W12" s="148">
        <f t="shared" si="6"/>
        <v>8.1818181818181807E-3</v>
      </c>
      <c r="X12" s="148">
        <f t="shared" si="7"/>
        <v>1.2556818181818183E-2</v>
      </c>
      <c r="Y12" s="345">
        <f>U12</f>
        <v>3.2613636363636365E-2</v>
      </c>
      <c r="Z12" s="345">
        <f>U12</f>
        <v>3.2613636363636365E-2</v>
      </c>
      <c r="AA12" s="345">
        <f t="shared" si="8"/>
        <v>3.2613636363636365E-2</v>
      </c>
      <c r="AD12" t="s">
        <v>66</v>
      </c>
      <c r="AE12" t="s">
        <v>249</v>
      </c>
      <c r="AG12" t="s">
        <v>640</v>
      </c>
      <c r="AH12" t="s">
        <v>415</v>
      </c>
    </row>
    <row r="13" spans="1:34" x14ac:dyDescent="0.25">
      <c r="A13" s="255" t="e">
        <f>PLANTILLA!#REF!</f>
        <v>#REF!</v>
      </c>
      <c r="B13" s="198" t="e">
        <f>PLANTILLA!#REF!</f>
        <v>#REF!</v>
      </c>
      <c r="C13" s="255" t="e">
        <f>PLANTILLA!#REF!</f>
        <v>#REF!</v>
      </c>
      <c r="D13" s="255" t="e">
        <f>PLANTILLA!#REF!</f>
        <v>#REF!</v>
      </c>
      <c r="E13" s="152" t="e">
        <f>PLANTILLA!#REF!</f>
        <v>#REF!</v>
      </c>
      <c r="F13" s="152" t="e">
        <f>PLANTILLA!#REF!</f>
        <v>#REF!</v>
      </c>
      <c r="G13" s="152" t="e">
        <f>PLANTILLA!#REF!</f>
        <v>#REF!</v>
      </c>
      <c r="H13" s="152" t="e">
        <f>PLANTILLA!#REF!</f>
        <v>#REF!</v>
      </c>
      <c r="I13" s="152" t="e">
        <f>PLANTILLA!#REF!</f>
        <v>#REF!</v>
      </c>
      <c r="J13" s="152" t="e">
        <f>PLANTILLA!#REF!</f>
        <v>#REF!</v>
      </c>
      <c r="K13" s="152" t="e">
        <f>PLANTILLA!#REF!</f>
        <v>#REF!</v>
      </c>
      <c r="L13" s="297">
        <f>1/3</f>
        <v>0.33333333333333331</v>
      </c>
      <c r="M13" s="297">
        <f t="shared" si="0"/>
        <v>0.16666666666666666</v>
      </c>
      <c r="N13" s="297">
        <f t="shared" si="1"/>
        <v>4.1666666666666664E-2</v>
      </c>
      <c r="O13" s="152">
        <v>0</v>
      </c>
      <c r="P13" s="148">
        <v>0</v>
      </c>
      <c r="Q13" s="148">
        <v>0</v>
      </c>
      <c r="R13" s="148">
        <f t="shared" si="2"/>
        <v>9.5333333333333325E-2</v>
      </c>
      <c r="S13" s="148">
        <f t="shared" si="3"/>
        <v>0.11136363636363635</v>
      </c>
      <c r="T13" s="148">
        <v>0</v>
      </c>
      <c r="U13" s="148">
        <f t="shared" si="4"/>
        <v>0.10871212121212119</v>
      </c>
      <c r="V13" s="148">
        <f t="shared" si="5"/>
        <v>0.16363636363636364</v>
      </c>
      <c r="W13" s="148">
        <f t="shared" si="6"/>
        <v>2.7272727272727268E-2</v>
      </c>
      <c r="X13" s="148">
        <f t="shared" si="7"/>
        <v>4.1856060606060598E-2</v>
      </c>
      <c r="Y13" s="345">
        <f>W13</f>
        <v>2.7272727272727268E-2</v>
      </c>
      <c r="Z13" s="345">
        <f>W13</f>
        <v>2.7272727272727268E-2</v>
      </c>
      <c r="AA13" s="345">
        <f t="shared" si="8"/>
        <v>2.7272727272727268E-2</v>
      </c>
      <c r="AD13" t="s">
        <v>66</v>
      </c>
      <c r="AE13" t="s">
        <v>415</v>
      </c>
      <c r="AG13" t="s">
        <v>66</v>
      </c>
      <c r="AH13" t="s">
        <v>249</v>
      </c>
    </row>
    <row r="14" spans="1:34" x14ac:dyDescent="0.25">
      <c r="A14" s="255" t="str">
        <f>PLANTILLA!A26</f>
        <v>#5</v>
      </c>
      <c r="B14" s="198" t="str">
        <f>PLANTILLA!D26</f>
        <v>L. Bauman</v>
      </c>
      <c r="C14" s="255">
        <f>PLANTILLA!E26</f>
        <v>35</v>
      </c>
      <c r="D14" s="255">
        <f ca="1">PLANTILLA!F26</f>
        <v>43</v>
      </c>
      <c r="E14" s="152">
        <f>PLANTILLA!X26</f>
        <v>0</v>
      </c>
      <c r="F14" s="152">
        <f>PLANTILLA!Y26</f>
        <v>5.95</v>
      </c>
      <c r="G14" s="152">
        <f>PLANTILLA!Z26</f>
        <v>14.1</v>
      </c>
      <c r="H14" s="152">
        <f>PLANTILLA!AA26</f>
        <v>2.95</v>
      </c>
      <c r="I14" s="152">
        <f>PLANTILLA!AB26</f>
        <v>8.9499999999999993</v>
      </c>
      <c r="J14" s="152">
        <f>PLANTILLA!AC26</f>
        <v>5.95</v>
      </c>
      <c r="K14" s="152">
        <f>PLANTILLA!AD26</f>
        <v>16.95</v>
      </c>
      <c r="L14" s="297">
        <f>1/3</f>
        <v>0.33333333333333331</v>
      </c>
      <c r="M14" s="297">
        <f t="shared" si="0"/>
        <v>0.16666666666666666</v>
      </c>
      <c r="N14" s="297">
        <f t="shared" si="1"/>
        <v>4.1666666666666664E-2</v>
      </c>
      <c r="O14" s="152">
        <v>0</v>
      </c>
      <c r="P14" s="148">
        <v>0</v>
      </c>
      <c r="Q14" s="148">
        <v>0</v>
      </c>
      <c r="R14" s="148">
        <f t="shared" si="2"/>
        <v>9.5333333333333325E-2</v>
      </c>
      <c r="S14" s="148">
        <f t="shared" si="3"/>
        <v>0.11136363636363635</v>
      </c>
      <c r="T14" s="148">
        <v>0</v>
      </c>
      <c r="U14" s="148">
        <f t="shared" si="4"/>
        <v>0.10871212121212119</v>
      </c>
      <c r="V14" s="148">
        <f t="shared" si="5"/>
        <v>0.16363636363636364</v>
      </c>
      <c r="W14" s="148">
        <f t="shared" si="6"/>
        <v>2.7272727272727268E-2</v>
      </c>
      <c r="X14" s="148">
        <f t="shared" si="7"/>
        <v>4.1856060606060598E-2</v>
      </c>
      <c r="Y14" s="345">
        <f>T14</f>
        <v>0</v>
      </c>
      <c r="Z14" s="345">
        <f>W14</f>
        <v>2.7272727272727268E-2</v>
      </c>
      <c r="AA14" s="345">
        <f t="shared" si="8"/>
        <v>2.7272727272727268E-2</v>
      </c>
    </row>
    <row r="15" spans="1:34" x14ac:dyDescent="0.25">
      <c r="A15" s="255" t="e">
        <f>PLANTILLA!#REF!</f>
        <v>#REF!</v>
      </c>
      <c r="B15" s="198" t="e">
        <f>PLANTILLA!#REF!</f>
        <v>#REF!</v>
      </c>
      <c r="C15" s="255" t="e">
        <f>PLANTILLA!#REF!</f>
        <v>#REF!</v>
      </c>
      <c r="D15" s="255"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297">
        <f>1/15</f>
        <v>6.6666666666666666E-2</v>
      </c>
      <c r="M15" s="297">
        <f t="shared" si="0"/>
        <v>3.3333333333333333E-2</v>
      </c>
      <c r="N15" s="297">
        <f t="shared" si="1"/>
        <v>8.3333333333333332E-3</v>
      </c>
      <c r="O15" s="152">
        <v>0</v>
      </c>
      <c r="P15" s="148">
        <v>0</v>
      </c>
      <c r="Q15" s="148">
        <v>0</v>
      </c>
      <c r="R15" s="148">
        <f t="shared" si="2"/>
        <v>1.9066666666666666E-2</v>
      </c>
      <c r="S15" s="148">
        <f t="shared" si="3"/>
        <v>2.227272727272727E-2</v>
      </c>
      <c r="T15" s="148">
        <v>0</v>
      </c>
      <c r="U15" s="148">
        <f t="shared" si="4"/>
        <v>2.174242424242424E-2</v>
      </c>
      <c r="V15" s="148">
        <f t="shared" si="5"/>
        <v>3.2727272727272723E-2</v>
      </c>
      <c r="W15" s="148">
        <f t="shared" si="6"/>
        <v>5.4545454545454541E-3</v>
      </c>
      <c r="X15" s="148">
        <f t="shared" si="7"/>
        <v>8.3712121212121213E-3</v>
      </c>
      <c r="Y15" s="345">
        <f>S15</f>
        <v>2.227272727272727E-2</v>
      </c>
      <c r="Z15" s="345">
        <f>S15</f>
        <v>2.227272727272727E-2</v>
      </c>
      <c r="AA15" s="345">
        <f t="shared" si="8"/>
        <v>2.227272727272727E-2</v>
      </c>
    </row>
    <row r="16" spans="1:34" x14ac:dyDescent="0.25">
      <c r="A16" s="255" t="str">
        <f>PLANTILLA!A27</f>
        <v>#9</v>
      </c>
      <c r="B16" s="198" t="str">
        <f>PLANTILLA!D27</f>
        <v>J. Limon</v>
      </c>
      <c r="C16" s="255">
        <f>PLANTILLA!E27</f>
        <v>34</v>
      </c>
      <c r="D16" s="255">
        <f ca="1">PLANTILLA!F27</f>
        <v>80</v>
      </c>
      <c r="E16" s="152">
        <f>PLANTILLA!X27</f>
        <v>0</v>
      </c>
      <c r="F16" s="152">
        <f>PLANTILLA!Y27</f>
        <v>6.8376190476190493</v>
      </c>
      <c r="G16" s="152">
        <f>PLANTILLA!Z27</f>
        <v>8.9499999999999993</v>
      </c>
      <c r="H16" s="152">
        <f>PLANTILLA!AA27</f>
        <v>8.7399999999999967</v>
      </c>
      <c r="I16" s="152">
        <f>PLANTILLA!AB27</f>
        <v>9.9499999999999993</v>
      </c>
      <c r="J16" s="152">
        <f>PLANTILLA!AC27</f>
        <v>7.95</v>
      </c>
      <c r="K16" s="152">
        <f>PLANTILLA!AD27</f>
        <v>18.999999999999993</v>
      </c>
      <c r="L16" s="297">
        <f>1/5</f>
        <v>0.2</v>
      </c>
      <c r="M16" s="297">
        <f t="shared" si="0"/>
        <v>0.1</v>
      </c>
      <c r="N16" s="297">
        <f t="shared" si="1"/>
        <v>2.5000000000000001E-2</v>
      </c>
      <c r="O16" s="152">
        <v>0</v>
      </c>
      <c r="P16" s="148">
        <v>0</v>
      </c>
      <c r="Q16" s="148">
        <v>0</v>
      </c>
      <c r="R16" s="148">
        <f t="shared" si="2"/>
        <v>5.7200000000000001E-2</v>
      </c>
      <c r="S16" s="148">
        <f t="shared" si="3"/>
        <v>6.6818181818181818E-2</v>
      </c>
      <c r="T16" s="148">
        <v>0</v>
      </c>
      <c r="U16" s="148">
        <f t="shared" si="4"/>
        <v>6.5227272727272731E-2</v>
      </c>
      <c r="V16" s="148">
        <f t="shared" si="5"/>
        <v>9.818181818181819E-2</v>
      </c>
      <c r="W16" s="148">
        <f t="shared" si="6"/>
        <v>1.6363636363636361E-2</v>
      </c>
      <c r="X16" s="148">
        <f t="shared" si="7"/>
        <v>2.5113636363636366E-2</v>
      </c>
      <c r="Y16" s="345">
        <f>W16</f>
        <v>1.6363636363636361E-2</v>
      </c>
      <c r="Z16" s="345"/>
      <c r="AA16" s="345">
        <f t="shared" si="8"/>
        <v>1.6363636363636361E-2</v>
      </c>
    </row>
    <row r="17" spans="1:27" x14ac:dyDescent="0.25">
      <c r="A17" s="255" t="str">
        <f>PLANTILLA!A28</f>
        <v>#15</v>
      </c>
      <c r="B17" s="198" t="str">
        <f>PLANTILLA!D28</f>
        <v>P .Trivadi</v>
      </c>
      <c r="C17" s="255">
        <f>PLANTILLA!E28</f>
        <v>31</v>
      </c>
      <c r="D17" s="255">
        <f ca="1">PLANTILLA!F28</f>
        <v>111</v>
      </c>
      <c r="E17" s="152">
        <f>PLANTILLA!X28</f>
        <v>0</v>
      </c>
      <c r="F17" s="152">
        <f>PLANTILLA!Y28</f>
        <v>4.0199999999999996</v>
      </c>
      <c r="G17" s="152">
        <f>PLANTILLA!Z28</f>
        <v>5.95</v>
      </c>
      <c r="H17" s="152">
        <f>PLANTILLA!AA28</f>
        <v>5.5099999999999989</v>
      </c>
      <c r="I17" s="152">
        <f>PLANTILLA!AB28</f>
        <v>10.95</v>
      </c>
      <c r="J17" s="152">
        <f>PLANTILLA!AC28</f>
        <v>7.95</v>
      </c>
      <c r="K17" s="152">
        <f>PLANTILLA!AD28</f>
        <v>14</v>
      </c>
      <c r="L17" s="297">
        <f>1/5</f>
        <v>0.2</v>
      </c>
      <c r="M17" s="297">
        <f t="shared" si="0"/>
        <v>0.1</v>
      </c>
      <c r="N17" s="297">
        <f t="shared" si="1"/>
        <v>2.5000000000000001E-2</v>
      </c>
      <c r="O17" s="152">
        <v>0</v>
      </c>
      <c r="P17" s="148">
        <v>0</v>
      </c>
      <c r="Q17" s="148">
        <v>0</v>
      </c>
      <c r="R17" s="148">
        <f t="shared" si="2"/>
        <v>5.7200000000000001E-2</v>
      </c>
      <c r="S17" s="148">
        <f t="shared" si="3"/>
        <v>6.6818181818181818E-2</v>
      </c>
      <c r="T17" s="148">
        <v>0</v>
      </c>
      <c r="U17" s="148">
        <f t="shared" si="4"/>
        <v>6.5227272727272731E-2</v>
      </c>
      <c r="V17" s="148">
        <f t="shared" si="5"/>
        <v>9.818181818181819E-2</v>
      </c>
      <c r="W17" s="148">
        <f t="shared" si="6"/>
        <v>1.6363636363636361E-2</v>
      </c>
      <c r="X17" s="148">
        <f t="shared" si="7"/>
        <v>2.5113636363636366E-2</v>
      </c>
      <c r="Y17" s="345">
        <v>0</v>
      </c>
      <c r="Z17" s="345">
        <v>0</v>
      </c>
      <c r="AA17" s="345">
        <f t="shared" si="8"/>
        <v>0</v>
      </c>
    </row>
    <row r="18" spans="1:27" x14ac:dyDescent="0.25">
      <c r="A18" s="255" t="str">
        <f>PLANTILLA!A4</f>
        <v>#1</v>
      </c>
      <c r="B18" s="255" t="str">
        <f>PLANTILLA!D4</f>
        <v>D. Gehmacher</v>
      </c>
      <c r="C18" s="255">
        <f>PLANTILLA!E4</f>
        <v>34</v>
      </c>
      <c r="D18" s="255">
        <f ca="1">PLANTILLA!F4</f>
        <v>108</v>
      </c>
      <c r="E18" s="152">
        <f>PLANTILLA!X4</f>
        <v>16.666666666666668</v>
      </c>
      <c r="F18" s="152">
        <f>PLANTILLA!Y4</f>
        <v>11.95</v>
      </c>
      <c r="G18" s="152">
        <f>PLANTILLA!Z4</f>
        <v>2.0699999999999985</v>
      </c>
      <c r="H18" s="152">
        <f>PLANTILLA!AA4</f>
        <v>2.149999999999999</v>
      </c>
      <c r="I18" s="152">
        <f>PLANTILLA!AB4</f>
        <v>0.95</v>
      </c>
      <c r="J18" s="152">
        <f>PLANTILLA!AC4</f>
        <v>0</v>
      </c>
      <c r="K18" s="152">
        <f>PLANTILLA!AD4</f>
        <v>18.2</v>
      </c>
      <c r="L18" s="297">
        <f>0</f>
        <v>0</v>
      </c>
      <c r="M18" s="297">
        <f t="shared" si="0"/>
        <v>0</v>
      </c>
      <c r="N18" s="297">
        <f t="shared" si="1"/>
        <v>0</v>
      </c>
      <c r="O18" s="152">
        <v>0</v>
      </c>
      <c r="P18" s="148">
        <v>0</v>
      </c>
      <c r="Q18" s="148">
        <v>0</v>
      </c>
      <c r="R18" s="148">
        <f t="shared" si="2"/>
        <v>0</v>
      </c>
      <c r="S18" s="148">
        <f t="shared" si="3"/>
        <v>0</v>
      </c>
      <c r="T18" s="148">
        <v>0</v>
      </c>
      <c r="U18" s="148">
        <f t="shared" si="4"/>
        <v>0</v>
      </c>
      <c r="V18" s="148">
        <f t="shared" si="5"/>
        <v>0</v>
      </c>
      <c r="W18" s="148">
        <f t="shared" si="6"/>
        <v>0</v>
      </c>
      <c r="X18" s="148">
        <f t="shared" si="7"/>
        <v>0</v>
      </c>
      <c r="Y18" s="345">
        <f>L18</f>
        <v>0</v>
      </c>
      <c r="Z18" s="345">
        <f>L18</f>
        <v>0</v>
      </c>
      <c r="AA18" s="345">
        <f t="shared" si="8"/>
        <v>0</v>
      </c>
    </row>
    <row r="19" spans="1:27" x14ac:dyDescent="0.25">
      <c r="A19" s="255" t="str">
        <f>PLANTILLA!A12</f>
        <v>#12</v>
      </c>
      <c r="B19" s="255" t="str">
        <f>PLANTILLA!D12</f>
        <v>E. Gross</v>
      </c>
      <c r="C19" s="255">
        <f>PLANTILLA!E12</f>
        <v>35</v>
      </c>
      <c r="D19" s="255">
        <f ca="1">PLANTILLA!F12</f>
        <v>68</v>
      </c>
      <c r="E19" s="152">
        <f>PLANTILLA!X12</f>
        <v>0</v>
      </c>
      <c r="F19" s="152">
        <f>PLANTILLA!Y12</f>
        <v>10.549999999999995</v>
      </c>
      <c r="G19" s="152">
        <f>PLANTILLA!Z12</f>
        <v>12.95</v>
      </c>
      <c r="H19" s="152">
        <f>PLANTILLA!AA12</f>
        <v>4.95</v>
      </c>
      <c r="I19" s="152">
        <f>PLANTILLA!AB12</f>
        <v>8.9499999999999993</v>
      </c>
      <c r="J19" s="152">
        <f>PLANTILLA!AC12</f>
        <v>0.95</v>
      </c>
      <c r="K19" s="152">
        <f>PLANTILLA!AD12</f>
        <v>17.3</v>
      </c>
      <c r="L19" s="297">
        <f>1/4</f>
        <v>0.25</v>
      </c>
      <c r="M19" s="297">
        <f t="shared" si="0"/>
        <v>0.125</v>
      </c>
      <c r="N19" s="297">
        <f t="shared" si="1"/>
        <v>3.125E-2</v>
      </c>
      <c r="O19" s="152">
        <v>0</v>
      </c>
      <c r="P19" s="148">
        <v>0</v>
      </c>
      <c r="Q19" s="148">
        <v>0</v>
      </c>
      <c r="R19" s="148">
        <f t="shared" si="2"/>
        <v>7.1499999999999994E-2</v>
      </c>
      <c r="S19" s="148">
        <f t="shared" si="3"/>
        <v>8.3522727272727262E-2</v>
      </c>
      <c r="T19" s="148">
        <v>0</v>
      </c>
      <c r="U19" s="148">
        <f t="shared" si="4"/>
        <v>8.1534090909090903E-2</v>
      </c>
      <c r="V19" s="148">
        <f t="shared" si="5"/>
        <v>0.12272727272727273</v>
      </c>
      <c r="W19" s="148">
        <f t="shared" si="6"/>
        <v>2.0454545454545454E-2</v>
      </c>
      <c r="X19" s="148">
        <f t="shared" si="7"/>
        <v>3.1392045454545457E-2</v>
      </c>
      <c r="Y19" s="345">
        <v>0</v>
      </c>
      <c r="Z19" s="345">
        <v>0</v>
      </c>
      <c r="AA19" s="345">
        <f t="shared" si="8"/>
        <v>0</v>
      </c>
    </row>
    <row r="20" spans="1:27" x14ac:dyDescent="0.25">
      <c r="A20" s="255" t="str">
        <f>PLANTILLA!A5</f>
        <v>#25</v>
      </c>
      <c r="B20" s="255" t="str">
        <f>PLANTILLA!D5</f>
        <v>T. Hammond</v>
      </c>
      <c r="C20" s="255">
        <f>PLANTILLA!E5</f>
        <v>39</v>
      </c>
      <c r="D20" s="255">
        <f ca="1">PLANTILLA!F5</f>
        <v>5</v>
      </c>
      <c r="E20" s="152">
        <f>PLANTILLA!X5</f>
        <v>7.95</v>
      </c>
      <c r="F20" s="152">
        <f>PLANTILLA!Y5</f>
        <v>7.95</v>
      </c>
      <c r="G20" s="152">
        <f>PLANTILLA!Z5</f>
        <v>0.95</v>
      </c>
      <c r="H20" s="152">
        <f>PLANTILLA!AA5</f>
        <v>0.95</v>
      </c>
      <c r="I20" s="152">
        <f>PLANTILLA!AB5</f>
        <v>1.95</v>
      </c>
      <c r="J20" s="152">
        <f>PLANTILLA!AC5</f>
        <v>0</v>
      </c>
      <c r="K20" s="152">
        <f>PLANTILLA!AD5</f>
        <v>14.95</v>
      </c>
      <c r="L20" s="297"/>
      <c r="M20" s="297">
        <f t="shared" si="0"/>
        <v>0</v>
      </c>
      <c r="N20" s="297">
        <f t="shared" si="1"/>
        <v>0</v>
      </c>
      <c r="O20" s="152">
        <v>0</v>
      </c>
      <c r="P20" s="148">
        <v>0</v>
      </c>
      <c r="Q20" s="148">
        <v>0</v>
      </c>
      <c r="R20" s="148">
        <f t="shared" si="2"/>
        <v>0</v>
      </c>
      <c r="S20" s="148">
        <f t="shared" si="3"/>
        <v>0</v>
      </c>
      <c r="T20" s="148">
        <v>0</v>
      </c>
      <c r="U20" s="148">
        <f t="shared" si="4"/>
        <v>0</v>
      </c>
      <c r="V20" s="148">
        <f t="shared" si="5"/>
        <v>0</v>
      </c>
      <c r="W20" s="148">
        <f t="shared" si="6"/>
        <v>0</v>
      </c>
      <c r="X20" s="148">
        <f t="shared" si="7"/>
        <v>0</v>
      </c>
      <c r="Y20" s="345"/>
      <c r="Z20" s="345"/>
      <c r="AA20" s="345">
        <f t="shared" si="8"/>
        <v>0</v>
      </c>
    </row>
    <row r="21" spans="1:27" x14ac:dyDescent="0.25">
      <c r="A21" s="255" t="str">
        <f>PLANTILLA!A8</f>
        <v>#13</v>
      </c>
      <c r="B21" s="255" t="str">
        <f>PLANTILLA!D8</f>
        <v>F. Lasprilla</v>
      </c>
      <c r="C21" s="255">
        <f>PLANTILLA!E8</f>
        <v>32</v>
      </c>
      <c r="D21" s="255">
        <f ca="1">PLANTILLA!F8</f>
        <v>15</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297"/>
      <c r="M21" s="297">
        <f t="shared" si="0"/>
        <v>0</v>
      </c>
      <c r="N21" s="297">
        <f t="shared" si="1"/>
        <v>0</v>
      </c>
      <c r="O21" s="152">
        <v>0</v>
      </c>
      <c r="P21" s="148">
        <v>0</v>
      </c>
      <c r="Q21" s="148">
        <v>0</v>
      </c>
      <c r="R21" s="148">
        <f t="shared" si="2"/>
        <v>0</v>
      </c>
      <c r="S21" s="148">
        <f t="shared" si="3"/>
        <v>0</v>
      </c>
      <c r="T21" s="148">
        <v>0</v>
      </c>
      <c r="U21" s="148">
        <f t="shared" si="4"/>
        <v>0</v>
      </c>
      <c r="V21" s="148">
        <f t="shared" si="5"/>
        <v>0</v>
      </c>
      <c r="W21" s="148">
        <f t="shared" si="6"/>
        <v>0</v>
      </c>
      <c r="X21" s="148">
        <f t="shared" si="7"/>
        <v>0</v>
      </c>
      <c r="Y21" s="345"/>
      <c r="Z21" s="345"/>
      <c r="AA21" s="345">
        <f t="shared" si="8"/>
        <v>0</v>
      </c>
    </row>
    <row r="22" spans="1:27" x14ac:dyDescent="0.25">
      <c r="A22" s="255" t="str">
        <f>PLANTILLA!A13</f>
        <v>#23</v>
      </c>
      <c r="B22" s="255" t="str">
        <f>PLANTILLA!D13</f>
        <v>W. Gelifini</v>
      </c>
      <c r="C22" s="255">
        <f>PLANTILLA!E13</f>
        <v>33</v>
      </c>
      <c r="D22" s="255">
        <f ca="1">PLANTILLA!F13</f>
        <v>105</v>
      </c>
      <c r="E22" s="152">
        <f>PLANTILLA!X13</f>
        <v>0</v>
      </c>
      <c r="F22" s="152">
        <f>PLANTILLA!Y13</f>
        <v>5.6515555555555519</v>
      </c>
      <c r="G22" s="152">
        <f>PLANTILLA!Z13</f>
        <v>8.9499999999999993</v>
      </c>
      <c r="H22" s="152">
        <f>PLANTILLA!AA13</f>
        <v>6.95</v>
      </c>
      <c r="I22" s="152">
        <f>PLANTILLA!AB13</f>
        <v>9.2666666666666639</v>
      </c>
      <c r="J22" s="152">
        <f>PLANTILLA!AC13</f>
        <v>2.95</v>
      </c>
      <c r="K22" s="152">
        <f>PLANTILLA!AD13</f>
        <v>12.847222222222223</v>
      </c>
      <c r="L22" s="297"/>
      <c r="M22" s="297">
        <f t="shared" si="0"/>
        <v>0</v>
      </c>
      <c r="N22" s="297">
        <f t="shared" si="1"/>
        <v>0</v>
      </c>
      <c r="O22" s="152">
        <v>0</v>
      </c>
      <c r="P22" s="148">
        <v>0</v>
      </c>
      <c r="Q22" s="148">
        <v>0</v>
      </c>
      <c r="R22" s="148">
        <f t="shared" si="2"/>
        <v>0</v>
      </c>
      <c r="S22" s="148">
        <f t="shared" si="3"/>
        <v>0</v>
      </c>
      <c r="T22" s="148">
        <v>0</v>
      </c>
      <c r="U22" s="148">
        <f t="shared" si="4"/>
        <v>0</v>
      </c>
      <c r="V22" s="148">
        <f t="shared" si="5"/>
        <v>0</v>
      </c>
      <c r="W22" s="148">
        <f t="shared" si="6"/>
        <v>0</v>
      </c>
      <c r="X22" s="148">
        <f t="shared" si="7"/>
        <v>0</v>
      </c>
      <c r="Y22" s="345"/>
      <c r="Z22" s="345"/>
      <c r="AA22" s="345">
        <f t="shared" si="8"/>
        <v>0</v>
      </c>
    </row>
    <row r="23" spans="1:27" x14ac:dyDescent="0.25">
      <c r="A23" s="255" t="e">
        <f>PLANTILLA!#REF!</f>
        <v>#REF!</v>
      </c>
      <c r="B23" s="255" t="e">
        <f>PLANTILLA!#REF!</f>
        <v>#REF!</v>
      </c>
      <c r="C23" s="255" t="e">
        <f>PLANTILLA!#REF!</f>
        <v>#REF!</v>
      </c>
      <c r="D23" s="25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97"/>
      <c r="M23" s="297">
        <f t="shared" si="0"/>
        <v>0</v>
      </c>
      <c r="N23" s="297">
        <f t="shared" si="1"/>
        <v>0</v>
      </c>
      <c r="O23" s="152">
        <v>0</v>
      </c>
      <c r="P23" s="148">
        <v>0</v>
      </c>
      <c r="Q23" s="148">
        <v>0</v>
      </c>
      <c r="R23" s="148">
        <f t="shared" si="2"/>
        <v>0</v>
      </c>
      <c r="S23" s="148">
        <f t="shared" si="3"/>
        <v>0</v>
      </c>
      <c r="T23" s="148">
        <v>0</v>
      </c>
      <c r="U23" s="148">
        <f t="shared" si="4"/>
        <v>0</v>
      </c>
      <c r="V23" s="148">
        <f t="shared" si="5"/>
        <v>0</v>
      </c>
      <c r="W23" s="148">
        <f t="shared" si="6"/>
        <v>0</v>
      </c>
      <c r="X23" s="148">
        <f t="shared" si="7"/>
        <v>0</v>
      </c>
      <c r="Y23" s="345"/>
      <c r="Z23" s="345"/>
      <c r="AA23" s="345">
        <f t="shared" si="8"/>
        <v>0</v>
      </c>
    </row>
    <row r="25" spans="1:27" x14ac:dyDescent="0.25">
      <c r="B25" s="258"/>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V39"/>
  <sheetViews>
    <sheetView zoomScale="90" zoomScaleNormal="90" workbookViewId="0">
      <selection activeCell="D20" sqref="D20"/>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284"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289" t="s">
        <v>373</v>
      </c>
    </row>
    <row r="2" spans="1:22" ht="18.75" x14ac:dyDescent="0.3">
      <c r="A2" s="290">
        <v>43626</v>
      </c>
      <c r="F2" s="259"/>
      <c r="G2" s="619" t="s">
        <v>374</v>
      </c>
      <c r="H2" s="619"/>
      <c r="J2" s="259"/>
      <c r="K2" s="259"/>
      <c r="L2" s="619" t="s">
        <v>690</v>
      </c>
      <c r="M2" s="619"/>
      <c r="N2" s="619"/>
      <c r="O2" s="276"/>
      <c r="P2" s="276"/>
      <c r="Q2" s="619" t="s">
        <v>376</v>
      </c>
      <c r="R2" s="619"/>
      <c r="T2" s="4" t="s">
        <v>695</v>
      </c>
      <c r="U2" s="259"/>
      <c r="V2" s="259"/>
    </row>
    <row r="3" spans="1:22" x14ac:dyDescent="0.25">
      <c r="F3">
        <v>1</v>
      </c>
      <c r="G3" s="3">
        <v>98</v>
      </c>
      <c r="H3" t="s">
        <v>619</v>
      </c>
      <c r="I3" t="s">
        <v>1</v>
      </c>
      <c r="K3" s="517">
        <v>1</v>
      </c>
      <c r="L3" s="3">
        <v>385</v>
      </c>
      <c r="M3" t="s">
        <v>397</v>
      </c>
      <c r="N3" s="258" t="s">
        <v>370</v>
      </c>
      <c r="P3" s="517">
        <v>1</v>
      </c>
      <c r="Q3" s="3">
        <v>263</v>
      </c>
      <c r="R3" t="s">
        <v>377</v>
      </c>
      <c r="S3" t="s">
        <v>194</v>
      </c>
      <c r="T3" s="148">
        <f>Q3/L7</f>
        <v>0.87959866220735783</v>
      </c>
    </row>
    <row r="4" spans="1:22" s="259" customFormat="1" ht="18.75" x14ac:dyDescent="0.3">
      <c r="A4" s="259" t="s">
        <v>371</v>
      </c>
      <c r="F4">
        <v>2</v>
      </c>
      <c r="G4" s="3">
        <v>66</v>
      </c>
      <c r="H4" t="s">
        <v>192</v>
      </c>
      <c r="I4" s="258" t="s">
        <v>1</v>
      </c>
      <c r="J4"/>
      <c r="K4" s="517">
        <v>2</v>
      </c>
      <c r="L4" s="3">
        <v>375</v>
      </c>
      <c r="M4" t="s">
        <v>386</v>
      </c>
      <c r="N4" t="s">
        <v>385</v>
      </c>
      <c r="O4"/>
      <c r="P4" s="517">
        <v>2</v>
      </c>
      <c r="Q4" s="3">
        <v>124</v>
      </c>
      <c r="R4" t="s">
        <v>386</v>
      </c>
      <c r="S4" t="s">
        <v>385</v>
      </c>
      <c r="T4" s="148">
        <f>Q4/L4</f>
        <v>0.33066666666666666</v>
      </c>
      <c r="U4"/>
      <c r="V4"/>
    </row>
    <row r="5" spans="1:22" x14ac:dyDescent="0.25">
      <c r="A5" s="574" t="s">
        <v>372</v>
      </c>
      <c r="B5" s="575" t="s">
        <v>703</v>
      </c>
      <c r="C5" s="258">
        <v>43276</v>
      </c>
      <c r="D5" t="s">
        <v>704</v>
      </c>
      <c r="F5">
        <v>3</v>
      </c>
      <c r="G5" s="559">
        <v>46</v>
      </c>
      <c r="H5" s="557" t="s">
        <v>190</v>
      </c>
      <c r="I5" s="558" t="s">
        <v>1</v>
      </c>
      <c r="K5" s="526">
        <v>3</v>
      </c>
      <c r="L5" s="3">
        <v>319</v>
      </c>
      <c r="M5" t="s">
        <v>409</v>
      </c>
      <c r="N5" s="258" t="s">
        <v>64</v>
      </c>
      <c r="P5" s="517">
        <v>3</v>
      </c>
      <c r="Q5" s="3">
        <v>120</v>
      </c>
      <c r="R5" t="s">
        <v>444</v>
      </c>
      <c r="S5" t="s">
        <v>65</v>
      </c>
      <c r="T5" s="148">
        <f>Q5/L10</f>
        <v>0.43636363636363634</v>
      </c>
    </row>
    <row r="6" spans="1:22" ht="18.75" x14ac:dyDescent="0.3">
      <c r="A6" s="574" t="s">
        <v>688</v>
      </c>
      <c r="B6" s="420" t="s">
        <v>702</v>
      </c>
      <c r="C6" s="258">
        <v>43258</v>
      </c>
      <c r="D6" t="s">
        <v>705</v>
      </c>
      <c r="F6">
        <v>4</v>
      </c>
      <c r="G6" s="559">
        <v>2</v>
      </c>
      <c r="H6" s="557" t="s">
        <v>189</v>
      </c>
      <c r="I6" s="557" t="s">
        <v>1</v>
      </c>
      <c r="J6" s="259"/>
      <c r="K6" s="526">
        <v>4</v>
      </c>
      <c r="L6" s="288">
        <v>313</v>
      </c>
      <c r="M6" t="s">
        <v>379</v>
      </c>
      <c r="N6" s="258" t="s">
        <v>64</v>
      </c>
      <c r="O6" s="259"/>
      <c r="P6" s="576">
        <v>4</v>
      </c>
      <c r="Q6" s="3">
        <v>100</v>
      </c>
      <c r="R6" t="s">
        <v>379</v>
      </c>
      <c r="S6" t="s">
        <v>64</v>
      </c>
      <c r="T6" s="148">
        <f>Q6/L6</f>
        <v>0.31948881789137379</v>
      </c>
      <c r="V6" s="259"/>
    </row>
    <row r="7" spans="1:22" ht="18.75" x14ac:dyDescent="0.3">
      <c r="F7">
        <v>5</v>
      </c>
      <c r="G7" s="3">
        <v>1</v>
      </c>
      <c r="H7" t="s">
        <v>378</v>
      </c>
      <c r="I7" t="s">
        <v>2</v>
      </c>
      <c r="K7" s="526">
        <v>5</v>
      </c>
      <c r="L7" s="299">
        <v>299</v>
      </c>
      <c r="M7" t="s">
        <v>407</v>
      </c>
      <c r="N7" s="258" t="s">
        <v>194</v>
      </c>
      <c r="P7" s="576">
        <v>5</v>
      </c>
      <c r="Q7" s="284">
        <v>91</v>
      </c>
      <c r="R7" t="s">
        <v>409</v>
      </c>
      <c r="S7" s="258" t="s">
        <v>64</v>
      </c>
      <c r="T7" s="148">
        <f>Q7/L5</f>
        <v>0.28526645768025077</v>
      </c>
      <c r="U7" s="259"/>
    </row>
    <row r="8" spans="1:22" s="259" customFormat="1" ht="18.75" x14ac:dyDescent="0.3">
      <c r="A8" s="619" t="s">
        <v>689</v>
      </c>
      <c r="B8" s="619"/>
      <c r="F8">
        <v>5</v>
      </c>
      <c r="G8" s="559">
        <v>1</v>
      </c>
      <c r="H8" s="557" t="s">
        <v>388</v>
      </c>
      <c r="I8" s="557" t="s">
        <v>370</v>
      </c>
      <c r="J8"/>
      <c r="K8" s="526">
        <v>5</v>
      </c>
      <c r="L8" s="284">
        <v>292</v>
      </c>
      <c r="M8" t="s">
        <v>383</v>
      </c>
      <c r="N8" s="258" t="s">
        <v>64</v>
      </c>
      <c r="O8"/>
      <c r="P8" s="576">
        <v>6</v>
      </c>
      <c r="Q8" s="380">
        <v>90</v>
      </c>
      <c r="R8" s="219" t="s">
        <v>687</v>
      </c>
      <c r="S8" s="219" t="s">
        <v>66</v>
      </c>
      <c r="T8" s="148">
        <f>Q8/L18</f>
        <v>0.61643835616438358</v>
      </c>
      <c r="U8">
        <v>169</v>
      </c>
      <c r="V8"/>
    </row>
    <row r="9" spans="1:22" x14ac:dyDescent="0.25">
      <c r="A9" s="554" t="s">
        <v>701</v>
      </c>
      <c r="B9" t="s">
        <v>687</v>
      </c>
      <c r="C9" s="258" t="s">
        <v>66</v>
      </c>
      <c r="K9" s="526">
        <v>7</v>
      </c>
      <c r="L9" s="299">
        <v>277</v>
      </c>
      <c r="M9" t="s">
        <v>408</v>
      </c>
      <c r="N9" s="258" t="s">
        <v>65</v>
      </c>
      <c r="P9" s="576">
        <v>7</v>
      </c>
      <c r="Q9" s="288">
        <v>82</v>
      </c>
      <c r="R9" t="s">
        <v>397</v>
      </c>
      <c r="S9" s="258" t="s">
        <v>370</v>
      </c>
      <c r="T9" s="148">
        <f>Q9/L3</f>
        <v>0.21298701298701297</v>
      </c>
    </row>
    <row r="10" spans="1:22" ht="18.75" x14ac:dyDescent="0.3">
      <c r="A10" s="467" t="s">
        <v>692</v>
      </c>
      <c r="B10" t="s">
        <v>619</v>
      </c>
      <c r="C10" t="s">
        <v>1</v>
      </c>
      <c r="F10" s="259"/>
      <c r="G10" s="619" t="s">
        <v>375</v>
      </c>
      <c r="H10" s="619"/>
      <c r="J10" s="259"/>
      <c r="K10" s="526">
        <v>8</v>
      </c>
      <c r="L10" s="380">
        <v>275</v>
      </c>
      <c r="M10" t="s">
        <v>444</v>
      </c>
      <c r="N10" t="s">
        <v>65</v>
      </c>
      <c r="O10" s="259"/>
      <c r="P10" s="576">
        <v>8</v>
      </c>
      <c r="Q10" s="326">
        <v>81</v>
      </c>
      <c r="R10" t="s">
        <v>408</v>
      </c>
      <c r="S10" s="258" t="s">
        <v>65</v>
      </c>
      <c r="T10" s="148">
        <f>Q10/L9</f>
        <v>0.29241877256317689</v>
      </c>
      <c r="U10" s="259"/>
      <c r="V10" s="259"/>
    </row>
    <row r="11" spans="1:22" x14ac:dyDescent="0.25">
      <c r="A11" s="328" t="s">
        <v>692</v>
      </c>
      <c r="B11" t="s">
        <v>386</v>
      </c>
      <c r="C11" t="s">
        <v>385</v>
      </c>
      <c r="F11">
        <v>1</v>
      </c>
      <c r="G11" s="380">
        <v>213</v>
      </c>
      <c r="H11" t="s">
        <v>619</v>
      </c>
      <c r="I11" t="s">
        <v>1</v>
      </c>
      <c r="K11" s="526">
        <v>9</v>
      </c>
      <c r="L11" s="284">
        <v>268</v>
      </c>
      <c r="M11" t="s">
        <v>387</v>
      </c>
      <c r="N11" s="258" t="s">
        <v>370</v>
      </c>
      <c r="P11" s="576">
        <v>9</v>
      </c>
      <c r="Q11" s="316">
        <v>80</v>
      </c>
      <c r="R11" t="s">
        <v>398</v>
      </c>
      <c r="S11" s="258" t="s">
        <v>64</v>
      </c>
      <c r="T11" s="148">
        <f>Q11/L12</f>
        <v>0.30303030303030304</v>
      </c>
    </row>
    <row r="12" spans="1:22" s="259" customFormat="1" ht="18.75" x14ac:dyDescent="0.3">
      <c r="A12" s="328" t="s">
        <v>692</v>
      </c>
      <c r="B12" t="s">
        <v>409</v>
      </c>
      <c r="C12" s="258" t="s">
        <v>64</v>
      </c>
      <c r="F12">
        <v>2</v>
      </c>
      <c r="G12" s="559">
        <v>88</v>
      </c>
      <c r="H12" s="557" t="s">
        <v>190</v>
      </c>
      <c r="I12" s="558" t="s">
        <v>1</v>
      </c>
      <c r="J12"/>
      <c r="K12" s="526">
        <v>10</v>
      </c>
      <c r="L12" s="284">
        <v>264</v>
      </c>
      <c r="M12" t="s">
        <v>398</v>
      </c>
      <c r="N12" s="258" t="s">
        <v>64</v>
      </c>
      <c r="O12"/>
      <c r="P12" s="576">
        <v>10</v>
      </c>
      <c r="Q12" s="288">
        <v>67</v>
      </c>
      <c r="R12" t="s">
        <v>387</v>
      </c>
      <c r="S12" s="258" t="s">
        <v>370</v>
      </c>
      <c r="T12" s="148">
        <f>Q12/L11</f>
        <v>0.25</v>
      </c>
      <c r="U12"/>
      <c r="V12"/>
    </row>
    <row r="13" spans="1:22" x14ac:dyDescent="0.25">
      <c r="A13" s="570" t="s">
        <v>692</v>
      </c>
      <c r="B13" s="219" t="s">
        <v>698</v>
      </c>
      <c r="C13" s="219" t="s">
        <v>66</v>
      </c>
      <c r="F13">
        <v>3</v>
      </c>
      <c r="G13" s="284">
        <v>80</v>
      </c>
      <c r="H13" t="s">
        <v>397</v>
      </c>
      <c r="I13" s="258" t="s">
        <v>370</v>
      </c>
      <c r="K13" s="526">
        <v>11</v>
      </c>
      <c r="L13" s="380">
        <v>233</v>
      </c>
      <c r="M13" t="s">
        <v>619</v>
      </c>
      <c r="N13" t="s">
        <v>1</v>
      </c>
      <c r="P13" s="576">
        <v>11</v>
      </c>
      <c r="Q13" s="288">
        <v>60</v>
      </c>
      <c r="R13" t="s">
        <v>383</v>
      </c>
      <c r="S13" t="s">
        <v>64</v>
      </c>
      <c r="T13" s="148">
        <f>Q13/L8</f>
        <v>0.20547945205479451</v>
      </c>
    </row>
    <row r="14" spans="1:22" x14ac:dyDescent="0.25">
      <c r="A14" s="580" t="s">
        <v>692</v>
      </c>
      <c r="B14" t="s">
        <v>706</v>
      </c>
      <c r="C14" s="258" t="s">
        <v>370</v>
      </c>
      <c r="F14">
        <v>4</v>
      </c>
      <c r="G14" s="556">
        <v>21</v>
      </c>
      <c r="H14" s="557" t="s">
        <v>185</v>
      </c>
      <c r="I14" s="557" t="s">
        <v>65</v>
      </c>
      <c r="K14" s="526">
        <v>12</v>
      </c>
      <c r="L14" s="284">
        <v>202</v>
      </c>
      <c r="M14" t="s">
        <v>378</v>
      </c>
      <c r="N14" s="258" t="s">
        <v>370</v>
      </c>
      <c r="P14" s="576">
        <v>12</v>
      </c>
      <c r="Q14" s="327">
        <v>59</v>
      </c>
      <c r="R14" t="s">
        <v>446</v>
      </c>
      <c r="S14" s="258" t="s">
        <v>194</v>
      </c>
      <c r="T14" s="148">
        <f>Q14/L19</f>
        <v>0.47967479674796748</v>
      </c>
    </row>
    <row r="15" spans="1:22" x14ac:dyDescent="0.25">
      <c r="A15" s="550" t="s">
        <v>626</v>
      </c>
      <c r="B15" t="s">
        <v>684</v>
      </c>
      <c r="C15" t="s">
        <v>2</v>
      </c>
      <c r="F15">
        <v>5</v>
      </c>
      <c r="G15" s="380">
        <v>8</v>
      </c>
      <c r="H15" t="s">
        <v>379</v>
      </c>
      <c r="I15" s="258" t="s">
        <v>64</v>
      </c>
      <c r="K15" s="526">
        <v>13</v>
      </c>
      <c r="L15" s="288">
        <v>199</v>
      </c>
      <c r="M15" t="s">
        <v>192</v>
      </c>
      <c r="N15" s="258" t="s">
        <v>1</v>
      </c>
      <c r="P15" s="576">
        <v>13</v>
      </c>
      <c r="Q15" s="284">
        <v>53</v>
      </c>
      <c r="R15" t="s">
        <v>378</v>
      </c>
      <c r="S15" t="s">
        <v>2</v>
      </c>
      <c r="T15" s="148">
        <f>Q15/L14</f>
        <v>0.26237623762376239</v>
      </c>
    </row>
    <row r="16" spans="1:22" x14ac:dyDescent="0.25">
      <c r="A16" s="328" t="s">
        <v>626</v>
      </c>
      <c r="B16" t="s">
        <v>379</v>
      </c>
      <c r="C16" s="258" t="s">
        <v>64</v>
      </c>
      <c r="F16">
        <v>6</v>
      </c>
      <c r="G16" s="556">
        <v>6</v>
      </c>
      <c r="H16" s="557" t="s">
        <v>187</v>
      </c>
      <c r="I16" s="558" t="s">
        <v>64</v>
      </c>
      <c r="K16" s="526">
        <v>14</v>
      </c>
      <c r="L16" s="380">
        <v>172</v>
      </c>
      <c r="M16" t="s">
        <v>684</v>
      </c>
      <c r="N16" t="s">
        <v>2</v>
      </c>
      <c r="P16" s="576">
        <v>14</v>
      </c>
      <c r="Q16" s="491">
        <v>33</v>
      </c>
      <c r="R16" t="s">
        <v>684</v>
      </c>
      <c r="S16" t="s">
        <v>2</v>
      </c>
      <c r="T16" s="148">
        <f>Q16/L18</f>
        <v>0.22602739726027396</v>
      </c>
      <c r="U16">
        <v>79</v>
      </c>
    </row>
    <row r="17" spans="1:21" x14ac:dyDescent="0.25">
      <c r="A17" s="326" t="s">
        <v>626</v>
      </c>
      <c r="B17" t="s">
        <v>397</v>
      </c>
      <c r="C17" s="258" t="s">
        <v>370</v>
      </c>
      <c r="F17">
        <v>7</v>
      </c>
      <c r="G17" s="559">
        <v>5</v>
      </c>
      <c r="H17" s="557" t="s">
        <v>186</v>
      </c>
      <c r="I17" s="558" t="s">
        <v>64</v>
      </c>
      <c r="K17" s="526">
        <v>15</v>
      </c>
      <c r="L17" s="556">
        <v>146</v>
      </c>
      <c r="M17" s="557" t="s">
        <v>190</v>
      </c>
      <c r="N17" s="558" t="s">
        <v>1</v>
      </c>
      <c r="P17" s="576">
        <v>15</v>
      </c>
      <c r="Q17" s="380">
        <v>32</v>
      </c>
      <c r="R17" s="219" t="s">
        <v>698</v>
      </c>
      <c r="S17" s="219" t="s">
        <v>66</v>
      </c>
      <c r="T17" s="148">
        <f>Q17/L21</f>
        <v>0.33333333333333331</v>
      </c>
      <c r="U17" s="219">
        <v>89</v>
      </c>
    </row>
    <row r="18" spans="1:21" x14ac:dyDescent="0.25">
      <c r="A18" s="326" t="s">
        <v>700</v>
      </c>
      <c r="B18" t="s">
        <v>444</v>
      </c>
      <c r="C18" s="258" t="s">
        <v>65</v>
      </c>
      <c r="F18">
        <v>8</v>
      </c>
      <c r="G18" s="556">
        <v>4</v>
      </c>
      <c r="H18" s="557" t="s">
        <v>343</v>
      </c>
      <c r="I18" s="558" t="s">
        <v>194</v>
      </c>
      <c r="K18" s="526">
        <v>15</v>
      </c>
      <c r="L18" s="380">
        <v>146</v>
      </c>
      <c r="M18" t="s">
        <v>687</v>
      </c>
      <c r="N18" t="s">
        <v>66</v>
      </c>
      <c r="P18" s="576">
        <v>16</v>
      </c>
      <c r="Q18" s="284">
        <v>27</v>
      </c>
      <c r="R18" t="s">
        <v>420</v>
      </c>
      <c r="S18" t="s">
        <v>64</v>
      </c>
      <c r="T18" s="148">
        <f>Q18/L20</f>
        <v>0.24770642201834864</v>
      </c>
    </row>
    <row r="19" spans="1:21" x14ac:dyDescent="0.25">
      <c r="A19" s="328" t="s">
        <v>700</v>
      </c>
      <c r="B19" t="s">
        <v>408</v>
      </c>
      <c r="C19" s="258" t="s">
        <v>65</v>
      </c>
      <c r="F19">
        <v>9</v>
      </c>
      <c r="G19" s="502">
        <v>2</v>
      </c>
      <c r="H19" t="s">
        <v>192</v>
      </c>
      <c r="I19" s="258" t="s">
        <v>1</v>
      </c>
      <c r="K19" s="526">
        <v>17</v>
      </c>
      <c r="L19" s="380">
        <v>123</v>
      </c>
      <c r="M19" s="219" t="s">
        <v>486</v>
      </c>
      <c r="N19" s="385" t="s">
        <v>194</v>
      </c>
      <c r="P19" s="576">
        <v>17</v>
      </c>
      <c r="Q19" s="284">
        <v>23</v>
      </c>
      <c r="R19" t="s">
        <v>487</v>
      </c>
      <c r="S19" t="s">
        <v>2</v>
      </c>
      <c r="T19" s="148">
        <f>Q19/L23</f>
        <v>0.26436781609195403</v>
      </c>
    </row>
    <row r="20" spans="1:21" x14ac:dyDescent="0.25">
      <c r="A20" s="328" t="s">
        <v>651</v>
      </c>
      <c r="B20" t="s">
        <v>398</v>
      </c>
      <c r="C20" s="258" t="s">
        <v>64</v>
      </c>
      <c r="F20">
        <v>10</v>
      </c>
      <c r="G20" s="559">
        <v>1</v>
      </c>
      <c r="H20" s="557" t="s">
        <v>191</v>
      </c>
      <c r="I20" s="558" t="s">
        <v>194</v>
      </c>
      <c r="K20" s="526">
        <v>18</v>
      </c>
      <c r="L20" s="380">
        <v>109</v>
      </c>
      <c r="M20" t="s">
        <v>420</v>
      </c>
      <c r="N20" t="s">
        <v>64</v>
      </c>
      <c r="P20" s="576">
        <v>18</v>
      </c>
      <c r="Q20" s="556">
        <v>19</v>
      </c>
      <c r="R20" s="557" t="s">
        <v>191</v>
      </c>
      <c r="S20" s="558" t="s">
        <v>380</v>
      </c>
      <c r="T20" s="148"/>
    </row>
    <row r="21" spans="1:21" x14ac:dyDescent="0.25">
      <c r="A21" s="328" t="s">
        <v>651</v>
      </c>
      <c r="B21" t="s">
        <v>383</v>
      </c>
      <c r="C21" s="258" t="s">
        <v>64</v>
      </c>
      <c r="F21">
        <v>10</v>
      </c>
      <c r="G21" s="3">
        <v>1</v>
      </c>
      <c r="H21" t="s">
        <v>378</v>
      </c>
      <c r="I21" t="s">
        <v>2</v>
      </c>
      <c r="K21" s="526">
        <v>19</v>
      </c>
      <c r="L21" s="565">
        <v>96</v>
      </c>
      <c r="M21" s="219" t="s">
        <v>698</v>
      </c>
      <c r="N21" s="219" t="s">
        <v>66</v>
      </c>
      <c r="P21" s="576">
        <v>19</v>
      </c>
      <c r="Q21" s="556">
        <v>15</v>
      </c>
      <c r="R21" s="557" t="s">
        <v>186</v>
      </c>
      <c r="S21" s="558" t="s">
        <v>64</v>
      </c>
      <c r="T21" s="148"/>
    </row>
    <row r="22" spans="1:21" x14ac:dyDescent="0.25">
      <c r="A22" s="326" t="s">
        <v>651</v>
      </c>
      <c r="B22" t="s">
        <v>407</v>
      </c>
      <c r="C22" s="258" t="s">
        <v>194</v>
      </c>
      <c r="F22">
        <v>10</v>
      </c>
      <c r="G22" s="3">
        <v>1</v>
      </c>
      <c r="H22" t="s">
        <v>706</v>
      </c>
      <c r="I22" s="558" t="s">
        <v>2</v>
      </c>
      <c r="K22" s="526">
        <v>20</v>
      </c>
      <c r="L22" s="556">
        <v>89</v>
      </c>
      <c r="M22" s="557" t="s">
        <v>388</v>
      </c>
      <c r="N22" s="558" t="s">
        <v>370</v>
      </c>
      <c r="P22" s="576">
        <v>20</v>
      </c>
      <c r="Q22" s="556">
        <v>12</v>
      </c>
      <c r="R22" s="557" t="s">
        <v>438</v>
      </c>
      <c r="S22" s="558" t="s">
        <v>194</v>
      </c>
      <c r="T22" s="148"/>
    </row>
    <row r="23" spans="1:21" x14ac:dyDescent="0.25">
      <c r="A23" s="328" t="s">
        <v>556</v>
      </c>
      <c r="B23" t="s">
        <v>446</v>
      </c>
      <c r="C23" s="258" t="s">
        <v>194</v>
      </c>
      <c r="G23" s="560">
        <f>SUM(G11:G22)</f>
        <v>430</v>
      </c>
      <c r="K23" s="526">
        <v>21</v>
      </c>
      <c r="L23" s="502">
        <v>87</v>
      </c>
      <c r="M23" t="s">
        <v>487</v>
      </c>
      <c r="N23" t="s">
        <v>370</v>
      </c>
      <c r="P23" s="576">
        <v>21</v>
      </c>
      <c r="Q23" s="288">
        <v>11</v>
      </c>
      <c r="R23" t="s">
        <v>192</v>
      </c>
      <c r="S23" s="258" t="s">
        <v>1</v>
      </c>
      <c r="T23" s="148">
        <f>Q23/L15</f>
        <v>5.5276381909547742E-2</v>
      </c>
    </row>
    <row r="24" spans="1:21" x14ac:dyDescent="0.25">
      <c r="A24" s="293" t="s">
        <v>693</v>
      </c>
      <c r="B24" t="s">
        <v>387</v>
      </c>
      <c r="C24" s="258" t="s">
        <v>370</v>
      </c>
      <c r="K24" s="526">
        <v>22</v>
      </c>
      <c r="L24" s="556">
        <v>55</v>
      </c>
      <c r="M24" s="557" t="s">
        <v>191</v>
      </c>
      <c r="N24" s="558" t="s">
        <v>194</v>
      </c>
      <c r="P24" s="576">
        <v>22</v>
      </c>
      <c r="Q24" s="556">
        <v>10</v>
      </c>
      <c r="R24" s="557" t="s">
        <v>388</v>
      </c>
      <c r="S24" s="558" t="s">
        <v>370</v>
      </c>
      <c r="T24" s="148"/>
    </row>
    <row r="25" spans="1:21" x14ac:dyDescent="0.25">
      <c r="A25" s="328" t="s">
        <v>452</v>
      </c>
      <c r="B25" t="s">
        <v>192</v>
      </c>
      <c r="C25" s="258" t="s">
        <v>1</v>
      </c>
      <c r="P25" s="576">
        <v>22</v>
      </c>
      <c r="Q25" s="556">
        <v>10</v>
      </c>
      <c r="R25" s="557" t="s">
        <v>445</v>
      </c>
      <c r="S25" s="558" t="s">
        <v>194</v>
      </c>
      <c r="T25" s="431"/>
    </row>
    <row r="26" spans="1:21" x14ac:dyDescent="0.25">
      <c r="A26" s="556" t="s">
        <v>452</v>
      </c>
      <c r="B26" s="557" t="s">
        <v>190</v>
      </c>
      <c r="C26" s="558" t="s">
        <v>1</v>
      </c>
      <c r="P26" s="576">
        <v>24</v>
      </c>
      <c r="Q26" s="556">
        <v>9</v>
      </c>
      <c r="R26" s="557" t="s">
        <v>390</v>
      </c>
      <c r="S26" s="557" t="s">
        <v>194</v>
      </c>
      <c r="T26" s="148"/>
    </row>
    <row r="27" spans="1:21" x14ac:dyDescent="0.25">
      <c r="A27" s="326" t="s">
        <v>452</v>
      </c>
      <c r="B27" t="s">
        <v>420</v>
      </c>
      <c r="C27" t="s">
        <v>64</v>
      </c>
      <c r="P27" s="576">
        <v>24</v>
      </c>
      <c r="Q27" s="556">
        <v>9</v>
      </c>
      <c r="R27" s="557" t="s">
        <v>389</v>
      </c>
      <c r="S27" s="557" t="s">
        <v>194</v>
      </c>
      <c r="T27" s="148"/>
    </row>
    <row r="28" spans="1:21" x14ac:dyDescent="0.25">
      <c r="A28" s="556" t="s">
        <v>384</v>
      </c>
      <c r="B28" s="557" t="s">
        <v>343</v>
      </c>
      <c r="C28" s="558" t="s">
        <v>194</v>
      </c>
      <c r="P28" s="576">
        <v>26</v>
      </c>
      <c r="Q28" s="556">
        <v>8</v>
      </c>
      <c r="R28" s="557" t="s">
        <v>188</v>
      </c>
      <c r="S28" s="557" t="s">
        <v>370</v>
      </c>
      <c r="T28" s="148"/>
    </row>
    <row r="29" spans="1:21" x14ac:dyDescent="0.25">
      <c r="A29" s="326" t="s">
        <v>384</v>
      </c>
      <c r="B29" t="s">
        <v>378</v>
      </c>
      <c r="C29" s="258" t="s">
        <v>2</v>
      </c>
      <c r="P29" s="576">
        <v>27</v>
      </c>
      <c r="Q29" s="556">
        <v>6</v>
      </c>
      <c r="R29" s="557" t="s">
        <v>190</v>
      </c>
      <c r="S29" s="558" t="s">
        <v>1</v>
      </c>
      <c r="T29" s="148"/>
    </row>
    <row r="30" spans="1:21" x14ac:dyDescent="0.25">
      <c r="A30" s="386" t="s">
        <v>384</v>
      </c>
      <c r="B30" t="s">
        <v>487</v>
      </c>
      <c r="C30" t="s">
        <v>370</v>
      </c>
      <c r="P30" s="576">
        <v>28</v>
      </c>
      <c r="Q30" s="556">
        <v>3</v>
      </c>
      <c r="R30" s="557" t="s">
        <v>628</v>
      </c>
      <c r="S30" s="557" t="s">
        <v>66</v>
      </c>
      <c r="T30" s="148"/>
    </row>
    <row r="31" spans="1:21" x14ac:dyDescent="0.25">
      <c r="A31" s="556" t="s">
        <v>686</v>
      </c>
      <c r="B31" s="557" t="s">
        <v>628</v>
      </c>
      <c r="C31" s="557" t="s">
        <v>66</v>
      </c>
      <c r="P31" s="576">
        <v>28</v>
      </c>
      <c r="Q31" s="556">
        <v>3</v>
      </c>
      <c r="R31" s="557" t="s">
        <v>489</v>
      </c>
      <c r="S31" s="557" t="s">
        <v>64</v>
      </c>
      <c r="T31" s="148"/>
    </row>
    <row r="32" spans="1:21" x14ac:dyDescent="0.25">
      <c r="A32" s="556" t="s">
        <v>419</v>
      </c>
      <c r="B32" s="557" t="s">
        <v>445</v>
      </c>
      <c r="C32" s="558" t="s">
        <v>194</v>
      </c>
      <c r="P32" s="576">
        <v>28</v>
      </c>
      <c r="Q32" s="380">
        <v>3</v>
      </c>
      <c r="R32" t="s">
        <v>706</v>
      </c>
      <c r="S32" s="219" t="s">
        <v>370</v>
      </c>
      <c r="T32" s="148"/>
      <c r="U32" s="219">
        <v>49</v>
      </c>
    </row>
    <row r="33" spans="1:21" x14ac:dyDescent="0.25">
      <c r="A33" s="572" t="s">
        <v>419</v>
      </c>
      <c r="B33" s="573" t="s">
        <v>438</v>
      </c>
      <c r="C33" s="573" t="s">
        <v>194</v>
      </c>
      <c r="P33" s="580">
        <v>31</v>
      </c>
      <c r="Q33" s="380">
        <v>2</v>
      </c>
      <c r="R33" t="s">
        <v>619</v>
      </c>
      <c r="S33" s="219" t="s">
        <v>1</v>
      </c>
      <c r="T33" s="148">
        <f>Q33/L13</f>
        <v>8.5836909871244635E-3</v>
      </c>
      <c r="U33" s="219">
        <v>3</v>
      </c>
    </row>
    <row r="34" spans="1:21" x14ac:dyDescent="0.25">
      <c r="G34" s="580"/>
      <c r="Q34" s="561">
        <f>SUM(Q3:Q33)</f>
        <v>1505</v>
      </c>
    </row>
    <row r="35" spans="1:21" x14ac:dyDescent="0.25">
      <c r="A35" s="287"/>
      <c r="B35" s="285"/>
      <c r="C35" s="286"/>
    </row>
    <row r="36" spans="1:21" x14ac:dyDescent="0.25">
      <c r="A36" s="287"/>
      <c r="B36" s="285"/>
      <c r="C36" s="286"/>
    </row>
    <row r="37" spans="1:21" x14ac:dyDescent="0.25">
      <c r="A37" s="287"/>
      <c r="B37" s="285"/>
      <c r="C37" s="286"/>
    </row>
    <row r="38" spans="1:21" x14ac:dyDescent="0.25">
      <c r="A38" s="287"/>
      <c r="B38" s="285"/>
      <c r="C38" s="285"/>
    </row>
    <row r="39" spans="1:21" x14ac:dyDescent="0.25">
      <c r="A39" s="551"/>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20" t="s">
        <v>11</v>
      </c>
      <c r="E2" s="620"/>
      <c r="F2" s="621" t="s">
        <v>12</v>
      </c>
      <c r="G2" s="621"/>
      <c r="H2" s="622" t="s">
        <v>13</v>
      </c>
      <c r="I2" s="62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26">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55">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55">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55">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55">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343">
        <f>B18/B17</f>
        <v>0.5760921747479596</v>
      </c>
      <c r="C37" s="343">
        <f t="shared" ref="C37:P37" si="14">C18/C17</f>
        <v>0.57609217474795971</v>
      </c>
      <c r="D37" s="343">
        <f t="shared" si="14"/>
        <v>0.5760921747479596</v>
      </c>
      <c r="E37" s="343">
        <f t="shared" si="14"/>
        <v>0.57609217474795971</v>
      </c>
      <c r="F37" s="343">
        <f t="shared" si="14"/>
        <v>0.57609217474795971</v>
      </c>
      <c r="G37" s="343">
        <f t="shared" si="14"/>
        <v>0.57609217474795971</v>
      </c>
      <c r="H37" s="343">
        <f t="shared" si="14"/>
        <v>0.57609217474795982</v>
      </c>
      <c r="I37" s="343">
        <f t="shared" si="14"/>
        <v>0.5760921747479596</v>
      </c>
      <c r="J37" s="343">
        <f t="shared" si="14"/>
        <v>0.57609217474795971</v>
      </c>
      <c r="K37" s="343">
        <f t="shared" si="14"/>
        <v>0.5760921747479596</v>
      </c>
      <c r="L37" s="343">
        <f t="shared" si="14"/>
        <v>0.57609217474795971</v>
      </c>
      <c r="M37" s="343">
        <f t="shared" si="14"/>
        <v>0.57609217474795971</v>
      </c>
      <c r="N37" s="343">
        <f t="shared" si="14"/>
        <v>0.57609217474795971</v>
      </c>
      <c r="O37" s="343">
        <f t="shared" si="14"/>
        <v>0.57609217474795971</v>
      </c>
      <c r="P37" s="343">
        <f t="shared" si="14"/>
        <v>0.5760921747479596</v>
      </c>
    </row>
    <row r="38" spans="1:30" x14ac:dyDescent="0.25">
      <c r="B38" s="343">
        <f>B19/B17</f>
        <v>0.21747479596735478</v>
      </c>
      <c r="C38" s="343">
        <f t="shared" ref="C38:P38" si="15">C19/C17</f>
        <v>0.21747479596735481</v>
      </c>
      <c r="D38" s="343">
        <f t="shared" si="15"/>
        <v>0.21747479596735475</v>
      </c>
      <c r="E38" s="343">
        <f t="shared" si="15"/>
        <v>0.21747479596735481</v>
      </c>
      <c r="F38" s="343">
        <f t="shared" si="15"/>
        <v>0.21747479596735478</v>
      </c>
      <c r="G38" s="343">
        <f t="shared" si="15"/>
        <v>0.21747479596735478</v>
      </c>
      <c r="H38" s="343">
        <f t="shared" si="15"/>
        <v>0.21747479596735483</v>
      </c>
      <c r="I38" s="343">
        <f t="shared" si="15"/>
        <v>0.21747479596735475</v>
      </c>
      <c r="J38" s="343">
        <f t="shared" si="15"/>
        <v>0.21747479596735481</v>
      </c>
      <c r="K38" s="343">
        <f t="shared" si="15"/>
        <v>0.21747479596735478</v>
      </c>
      <c r="L38" s="343">
        <f t="shared" si="15"/>
        <v>0.21747479596735481</v>
      </c>
      <c r="M38" s="343">
        <f t="shared" si="15"/>
        <v>0.21747479596735481</v>
      </c>
      <c r="N38" s="343">
        <f t="shared" si="15"/>
        <v>0.21747479596735481</v>
      </c>
      <c r="O38" s="343">
        <f t="shared" si="15"/>
        <v>0.21747479596735478</v>
      </c>
      <c r="P38" s="343">
        <f t="shared" si="15"/>
        <v>0.21747479596735478</v>
      </c>
    </row>
    <row r="39" spans="1:30" x14ac:dyDescent="0.25">
      <c r="B39" s="343">
        <f>B20/B17</f>
        <v>0.18434949591934707</v>
      </c>
      <c r="C39" s="343">
        <f t="shared" ref="C39:P39" si="16">C20/C17</f>
        <v>0.1843494959193471</v>
      </c>
      <c r="D39" s="343">
        <f t="shared" si="16"/>
        <v>0.18434949591934707</v>
      </c>
      <c r="E39" s="343">
        <f t="shared" si="16"/>
        <v>0.1843494959193471</v>
      </c>
      <c r="F39" s="343">
        <f t="shared" si="16"/>
        <v>0.1843494959193471</v>
      </c>
      <c r="G39" s="343">
        <f t="shared" si="16"/>
        <v>0.1843494959193471</v>
      </c>
      <c r="H39" s="343">
        <f t="shared" si="16"/>
        <v>0.18434949591934713</v>
      </c>
      <c r="I39" s="343">
        <f t="shared" si="16"/>
        <v>0.18434949591934707</v>
      </c>
      <c r="J39" s="343">
        <f t="shared" si="16"/>
        <v>0.1843494959193471</v>
      </c>
      <c r="K39" s="343">
        <f t="shared" si="16"/>
        <v>0.18434949591934705</v>
      </c>
      <c r="L39" s="343">
        <f t="shared" si="16"/>
        <v>0.1843494959193471</v>
      </c>
      <c r="M39" s="343">
        <f t="shared" si="16"/>
        <v>0.1843494959193471</v>
      </c>
      <c r="N39" s="343">
        <f t="shared" si="16"/>
        <v>0.1843494959193471</v>
      </c>
      <c r="O39" s="343">
        <f t="shared" si="16"/>
        <v>0.18434949591934707</v>
      </c>
      <c r="P39" s="343">
        <f t="shared" si="16"/>
        <v>0.18434949591934707</v>
      </c>
    </row>
    <row r="40" spans="1:30" x14ac:dyDescent="0.25">
      <c r="B40" s="343">
        <f>B21/B17</f>
        <v>2.2083533365338453E-2</v>
      </c>
      <c r="C40" s="343">
        <f t="shared" ref="C40:P40" si="17">C21/C17</f>
        <v>2.2083533365338456E-2</v>
      </c>
      <c r="D40" s="343">
        <f t="shared" si="17"/>
        <v>2.2083533365338453E-2</v>
      </c>
      <c r="E40" s="343">
        <f t="shared" si="17"/>
        <v>2.2083533365338453E-2</v>
      </c>
      <c r="F40" s="343">
        <f t="shared" si="17"/>
        <v>2.2083533365338453E-2</v>
      </c>
      <c r="G40" s="343">
        <f t="shared" si="17"/>
        <v>2.2083533365338453E-2</v>
      </c>
      <c r="H40" s="343">
        <f t="shared" si="17"/>
        <v>2.208353336533846E-2</v>
      </c>
      <c r="I40" s="343">
        <f t="shared" si="17"/>
        <v>2.2083533365338453E-2</v>
      </c>
      <c r="J40" s="343">
        <f t="shared" si="17"/>
        <v>2.208353336533846E-2</v>
      </c>
      <c r="K40" s="343">
        <f t="shared" si="17"/>
        <v>2.2083533365338449E-2</v>
      </c>
      <c r="L40" s="343">
        <f t="shared" si="17"/>
        <v>2.2083533365338456E-2</v>
      </c>
      <c r="M40" s="343">
        <f t="shared" si="17"/>
        <v>2.2083533365338456E-2</v>
      </c>
      <c r="N40" s="343">
        <f t="shared" si="17"/>
        <v>2.2083533365338456E-2</v>
      </c>
      <c r="O40" s="343">
        <f t="shared" si="17"/>
        <v>2.2083533365338456E-2</v>
      </c>
      <c r="P40" s="343">
        <f t="shared" si="17"/>
        <v>2.2083533365338456E-2</v>
      </c>
    </row>
    <row r="41" spans="1:30" x14ac:dyDescent="0.25">
      <c r="G41" s="155">
        <f t="shared" ref="G41" si="18">G21-B7</f>
        <v>-131.53999999999996</v>
      </c>
      <c r="I41" s="155">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B2" sqref="B2"/>
    </sheetView>
  </sheetViews>
  <sheetFormatPr baseColWidth="10" defaultColWidth="11.42578125" defaultRowHeight="15" x14ac:dyDescent="0.25"/>
  <cols>
    <col min="1" max="1" width="15.14062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344" t="s">
        <v>174</v>
      </c>
      <c r="B1" s="344" t="s">
        <v>2</v>
      </c>
      <c r="C1" s="344" t="s">
        <v>453</v>
      </c>
      <c r="D1" s="296" t="s">
        <v>454</v>
      </c>
      <c r="E1" s="296" t="s">
        <v>421</v>
      </c>
      <c r="F1" s="296" t="s">
        <v>422</v>
      </c>
      <c r="H1" s="344" t="s">
        <v>402</v>
      </c>
      <c r="I1" s="344" t="str">
        <f>D1</f>
        <v>N_CA</v>
      </c>
      <c r="J1" s="296" t="s">
        <v>421</v>
      </c>
      <c r="K1" s="296" t="s">
        <v>422</v>
      </c>
      <c r="M1" s="344" t="s">
        <v>402</v>
      </c>
      <c r="N1" s="344" t="str">
        <f>I1</f>
        <v>N_CA</v>
      </c>
      <c r="O1" s="296" t="s">
        <v>421</v>
      </c>
      <c r="P1" s="296" t="s">
        <v>422</v>
      </c>
    </row>
    <row r="2" spans="1:16" x14ac:dyDescent="0.25">
      <c r="A2" t="str">
        <f>PLANTILLA!D4</f>
        <v>D. Gehmacher</v>
      </c>
      <c r="B2" s="233">
        <f ca="1">PLANTILLA!Y4++PLANTILLA!J4+PLANTILLA!P4</f>
        <v>14.806929271012887</v>
      </c>
      <c r="C2" s="233">
        <f ca="1">PLANTILLA!AB4+PLANTILLA!J4+PLANTILLA!P4</f>
        <v>3.8069292710128879</v>
      </c>
      <c r="D2" s="313">
        <f ca="1">(C2*2+B2)/8</f>
        <v>2.8025984766298331</v>
      </c>
      <c r="E2" s="233">
        <f ca="1">D2*PLANTILLA!R4</f>
        <v>2.3686280268193625</v>
      </c>
      <c r="F2" s="233">
        <f ca="1">D2*PLANTILLA!S4</f>
        <v>2.5925388478983598</v>
      </c>
      <c r="H2" t="str">
        <f>A2</f>
        <v>D. Gehmacher</v>
      </c>
      <c r="I2" s="148">
        <f ca="1">D2</f>
        <v>2.8025984766298331</v>
      </c>
      <c r="J2" s="233">
        <f t="shared" ref="J2:K2" ca="1" si="0">E2</f>
        <v>2.3686280268193625</v>
      </c>
      <c r="K2" s="233">
        <f t="shared" ca="1" si="0"/>
        <v>2.5925388478983598</v>
      </c>
      <c r="M2" t="str">
        <f>A2</f>
        <v>D. Gehmacher</v>
      </c>
      <c r="N2" s="148">
        <f ca="1">D2</f>
        <v>2.8025984766298331</v>
      </c>
      <c r="O2" s="233">
        <f t="shared" ref="O2:P2" ca="1" si="1">E2</f>
        <v>2.3686280268193625</v>
      </c>
      <c r="P2" s="233">
        <f t="shared" ca="1" si="1"/>
        <v>2.5925388478983598</v>
      </c>
    </row>
    <row r="3" spans="1:16" x14ac:dyDescent="0.25">
      <c r="A3" t="str">
        <f>PLANTILLA!D5</f>
        <v>T. Hammond</v>
      </c>
      <c r="B3" s="233">
        <f>PLANTILLA!Y5++PLANTILLA!J5+PLANTILLA!P5</f>
        <v>10.747503804799598</v>
      </c>
      <c r="C3" s="233">
        <f>PLANTILLA!AB5+PLANTILLA!J5+PLANTILLA!P5</f>
        <v>4.7475038047995977</v>
      </c>
      <c r="D3" s="313">
        <f t="shared" ref="D3:D26" si="2">(C3*2+B3)/8</f>
        <v>2.5303139267998489</v>
      </c>
      <c r="E3" s="233">
        <f>D3*PLANTILLA!R5</f>
        <v>1.9127375397816264</v>
      </c>
      <c r="F3" s="233">
        <f>D3*PLANTILLA!S5</f>
        <v>2.1363660051292972</v>
      </c>
      <c r="H3" s="148" t="str">
        <f>A7</f>
        <v>E. Romweber</v>
      </c>
      <c r="I3" s="148">
        <f>D7</f>
        <v>5.422589287434592</v>
      </c>
      <c r="J3" s="233">
        <f t="shared" ref="J3:K3" si="3">E7</f>
        <v>5.422589287434592</v>
      </c>
      <c r="K3" s="233">
        <f t="shared" si="3"/>
        <v>5.422589287434592</v>
      </c>
      <c r="M3" t="str">
        <f>A7</f>
        <v>E. Romweber</v>
      </c>
      <c r="N3" s="148">
        <f>D7</f>
        <v>5.422589287434592</v>
      </c>
      <c r="O3" s="233">
        <f t="shared" ref="O3:P3" si="4">E7</f>
        <v>5.422589287434592</v>
      </c>
      <c r="P3" s="233">
        <f t="shared" si="4"/>
        <v>5.422589287434592</v>
      </c>
    </row>
    <row r="4" spans="1:16" x14ac:dyDescent="0.25">
      <c r="A4" t="str">
        <f>PLANTILLA!D6</f>
        <v>E. Toney</v>
      </c>
      <c r="B4" s="233">
        <f>PLANTILLA!Y6++PLANTILLA!J6+PLANTILLA!P6</f>
        <v>15.155004801270438</v>
      </c>
      <c r="C4" s="233">
        <f>PLANTILLA!AB6+PLANTILLA!J6+PLANTILLA!P6</f>
        <v>12.155004801270438</v>
      </c>
      <c r="D4" s="313">
        <f t="shared" si="2"/>
        <v>4.9331268004764146</v>
      </c>
      <c r="E4" s="233">
        <f>D4*PLANTILLA!R6</f>
        <v>4.1692531045379155</v>
      </c>
      <c r="F4" s="233">
        <f>D4*PLANTILLA!S6</f>
        <v>4.5633803695001642</v>
      </c>
      <c r="H4" t="str">
        <f t="shared" ref="H4:H6" si="5">A4</f>
        <v>E. Toney</v>
      </c>
      <c r="I4" s="148">
        <f t="shared" ref="I4:I6" si="6">D4</f>
        <v>4.9331268004764146</v>
      </c>
      <c r="J4" s="233">
        <f t="shared" ref="J4" si="7">E4</f>
        <v>4.1692531045379155</v>
      </c>
      <c r="K4" s="233">
        <f t="shared" ref="K4" si="8">F4</f>
        <v>4.5633803695001642</v>
      </c>
      <c r="M4" t="str">
        <f t="shared" ref="M4" si="9">A4</f>
        <v>E. Toney</v>
      </c>
      <c r="N4" s="148">
        <f t="shared" ref="N4" si="10">D4</f>
        <v>4.9331268004764146</v>
      </c>
      <c r="O4" s="233">
        <f t="shared" ref="O4" si="11">E4</f>
        <v>4.1692531045379155</v>
      </c>
      <c r="P4" s="233">
        <f t="shared" ref="P4" si="12">F4</f>
        <v>4.5633803695001642</v>
      </c>
    </row>
    <row r="5" spans="1:16" x14ac:dyDescent="0.25">
      <c r="A5" t="str">
        <f>PLANTILLA!D7</f>
        <v>B. Bartolache</v>
      </c>
      <c r="B5" s="233">
        <f>PLANTILLA!Y7++PLANTILLA!J7+PLANTILLA!P7</f>
        <v>14.92627995953049</v>
      </c>
      <c r="C5" s="233">
        <f>PLANTILLA!AB7+PLANTILLA!J7+PLANTILLA!P7</f>
        <v>10.926279959530492</v>
      </c>
      <c r="D5" s="313">
        <f t="shared" si="2"/>
        <v>4.5973549848239337</v>
      </c>
      <c r="E5" s="233">
        <f>D5*PLANTILLA!R7</f>
        <v>4.2563236507395308</v>
      </c>
      <c r="F5" s="233">
        <f>D5*PLANTILLA!S7</f>
        <v>4.5940699862016752</v>
      </c>
      <c r="H5" s="148" t="str">
        <f>A12</f>
        <v>I. Vanags</v>
      </c>
      <c r="I5" s="148">
        <f ca="1">D12</f>
        <v>1.6073527732648101</v>
      </c>
      <c r="J5" s="233">
        <f t="shared" ref="J5:K5" ca="1" si="13">E12</f>
        <v>1.3584610351744348</v>
      </c>
      <c r="K5" s="233">
        <f t="shared" ca="1" si="13"/>
        <v>1.4868788881870849</v>
      </c>
      <c r="M5" s="148" t="str">
        <f>H5</f>
        <v>I. Vanags</v>
      </c>
      <c r="N5" s="148">
        <f t="shared" ref="N5:P5" ca="1" si="14">I5</f>
        <v>1.6073527732648101</v>
      </c>
      <c r="O5" s="233">
        <f t="shared" ca="1" si="14"/>
        <v>1.3584610351744348</v>
      </c>
      <c r="P5" s="233">
        <f t="shared" ca="1" si="14"/>
        <v>1.4868788881870849</v>
      </c>
    </row>
    <row r="6" spans="1:16" x14ac:dyDescent="0.25">
      <c r="A6" t="str">
        <f>PLANTILLA!D8</f>
        <v>F. Lasprilla</v>
      </c>
      <c r="B6" s="233">
        <f>PLANTILLA!Y8++PLANTILLA!J8+PLANTILLA!P8</f>
        <v>12.255763813493941</v>
      </c>
      <c r="C6" s="233">
        <f>PLANTILLA!AB8+PLANTILLA!J8+PLANTILLA!P8</f>
        <v>11.514430480160605</v>
      </c>
      <c r="D6" s="313">
        <f t="shared" si="2"/>
        <v>4.4105780967268942</v>
      </c>
      <c r="E6" s="233">
        <f>D6*PLANTILLA!R8</f>
        <v>3.7276188442611371</v>
      </c>
      <c r="F6" s="233">
        <f>D6*PLANTILLA!S8</f>
        <v>4.0799975996577134</v>
      </c>
      <c r="H6" t="str">
        <f t="shared" si="5"/>
        <v>F. Lasprilla</v>
      </c>
      <c r="I6" s="148">
        <f t="shared" si="6"/>
        <v>4.4105780967268942</v>
      </c>
      <c r="J6" s="233">
        <f t="shared" ref="J6" si="15">E6</f>
        <v>3.7276188442611371</v>
      </c>
      <c r="K6" s="233">
        <f t="shared" ref="K6" si="16">F6</f>
        <v>4.0799975996577134</v>
      </c>
      <c r="N6" s="148"/>
      <c r="O6" s="233"/>
      <c r="P6" s="233"/>
    </row>
    <row r="7" spans="1:16" x14ac:dyDescent="0.25">
      <c r="A7" t="str">
        <f>PLANTILLA!D9</f>
        <v>E. Romweber</v>
      </c>
      <c r="B7" s="233">
        <f>PLANTILLA!Y9++PLANTILLA!J9+PLANTILLA!P9</f>
        <v>15.126904766492245</v>
      </c>
      <c r="C7" s="233">
        <f>PLANTILLA!AB9+PLANTILLA!J9+PLANTILLA!P9</f>
        <v>14.126904766492245</v>
      </c>
      <c r="D7" s="313">
        <f t="shared" si="2"/>
        <v>5.422589287434592</v>
      </c>
      <c r="E7" s="233">
        <f>D7*PLANTILLA!R9</f>
        <v>5.422589287434592</v>
      </c>
      <c r="F7" s="233">
        <f>D7*PLANTILLA!S9</f>
        <v>5.422589287434592</v>
      </c>
      <c r="I7" s="359">
        <f ca="1">SUM(I2:I6)</f>
        <v>19.176245434532547</v>
      </c>
      <c r="J7" s="579">
        <f t="shared" ref="J7:K7" ca="1" si="17">SUM(J2:J6)</f>
        <v>17.046550298227441</v>
      </c>
      <c r="K7" s="579">
        <f t="shared" ca="1" si="17"/>
        <v>18.145384992677915</v>
      </c>
      <c r="L7" s="359"/>
      <c r="M7" s="359"/>
      <c r="N7" s="359">
        <f ca="1">SUM(N2:N6)</f>
        <v>14.765667337805652</v>
      </c>
      <c r="O7" s="579">
        <f t="shared" ref="O7:P7" ca="1" si="18">SUM(O2:O6)</f>
        <v>13.318931453966304</v>
      </c>
      <c r="P7" s="579">
        <f t="shared" ca="1" si="18"/>
        <v>14.065387393020201</v>
      </c>
    </row>
    <row r="8" spans="1:16" x14ac:dyDescent="0.25">
      <c r="A8" t="str">
        <f>PLANTILLA!D10</f>
        <v>S. Buschelman</v>
      </c>
      <c r="B8" s="233">
        <f>PLANTILLA!Y10++PLANTILLA!J10+PLANTILLA!P10</f>
        <v>12.401876115939228</v>
      </c>
      <c r="C8" s="233">
        <f>PLANTILLA!AB10+PLANTILLA!J10+PLANTILLA!P10</f>
        <v>13.048209449272562</v>
      </c>
      <c r="D8" s="313">
        <f t="shared" si="2"/>
        <v>4.8122868768105445</v>
      </c>
      <c r="E8" s="233">
        <f>D8*PLANTILLA!R10</f>
        <v>4.8122868768105445</v>
      </c>
      <c r="F8" s="233">
        <f>D8*PLANTILLA!S10</f>
        <v>4.8122868768105445</v>
      </c>
      <c r="N8" s="148"/>
    </row>
    <row r="9" spans="1:16" x14ac:dyDescent="0.25">
      <c r="A9" t="str">
        <f>PLANTILLA!D11</f>
        <v>C. Rojas</v>
      </c>
      <c r="B9" s="233">
        <f>PLANTILLA!Y11++PLANTILLA!J11+PLANTILLA!P11</f>
        <v>11.033360961115285</v>
      </c>
      <c r="C9" s="233">
        <f>PLANTILLA!AB11+PLANTILLA!J11+PLANTILLA!P11</f>
        <v>13.033360961115283</v>
      </c>
      <c r="D9" s="313">
        <f t="shared" si="2"/>
        <v>4.6375103604182311</v>
      </c>
      <c r="E9" s="233">
        <f>D9*PLANTILLA!R11</f>
        <v>4.2935003045786475</v>
      </c>
      <c r="F9" s="233">
        <f>D9*PLANTILLA!S11</f>
        <v>4.6341966691337921</v>
      </c>
    </row>
    <row r="10" spans="1:16" x14ac:dyDescent="0.25">
      <c r="A10" t="str">
        <f>PLANTILLA!D12</f>
        <v>E. Gross</v>
      </c>
      <c r="B10" s="233">
        <f>PLANTILLA!Y12++PLANTILLA!J12+PLANTILLA!P12</f>
        <v>13.582292150207168</v>
      </c>
      <c r="C10" s="233">
        <f>PLANTILLA!AB12+PLANTILLA!J12+PLANTILLA!P12</f>
        <v>11.982292150207172</v>
      </c>
      <c r="D10" s="313">
        <f t="shared" si="2"/>
        <v>4.6933595563276889</v>
      </c>
      <c r="E10" s="233">
        <f>D10*PLANTILLA!R12</f>
        <v>4.3452066127077584</v>
      </c>
      <c r="F10" s="233">
        <f>D10*PLANTILLA!S12</f>
        <v>4.6900059585030283</v>
      </c>
      <c r="H10" s="148"/>
    </row>
    <row r="11" spans="1:16" x14ac:dyDescent="0.25">
      <c r="A11" t="str">
        <f>PLANTILLA!D13</f>
        <v>W. Gelifini</v>
      </c>
      <c r="B11" s="233">
        <f>PLANTILLA!Y13++PLANTILLA!J13+PLANTILLA!P13</f>
        <v>8.138705808214544</v>
      </c>
      <c r="C11" s="233">
        <f>PLANTILLA!AB13+PLANTILLA!J13+PLANTILLA!P13</f>
        <v>11.753816919325656</v>
      </c>
      <c r="D11" s="313">
        <f t="shared" si="2"/>
        <v>3.9557924558582318</v>
      </c>
      <c r="E11" s="233">
        <f>D11*PLANTILLA!R13</f>
        <v>2.9902980218246666</v>
      </c>
      <c r="F11" s="233">
        <f>D11*PLANTILLA!S13</f>
        <v>3.3399098967655285</v>
      </c>
    </row>
    <row r="12" spans="1:16" x14ac:dyDescent="0.25">
      <c r="A12" t="str">
        <f>PLANTILLA!D14</f>
        <v>I. Vanags</v>
      </c>
      <c r="B12" s="233">
        <f ca="1">PLANTILLA!Y14++PLANTILLA!J14+PLANTILLA!P14</f>
        <v>4.2862740620394932</v>
      </c>
      <c r="C12" s="233">
        <f ca="1">PLANTILLA!AB14+PLANTILLA!J14+PLANTILLA!P14</f>
        <v>4.2862740620394932</v>
      </c>
      <c r="D12" s="313">
        <f t="shared" ca="1" si="2"/>
        <v>1.6073527732648101</v>
      </c>
      <c r="E12" s="233">
        <f ca="1">D12*PLANTILLA!R14</f>
        <v>1.3584610351744348</v>
      </c>
      <c r="F12" s="233">
        <f ca="1">D12*PLANTILLA!S14</f>
        <v>1.4868788881870849</v>
      </c>
    </row>
    <row r="13" spans="1:16" x14ac:dyDescent="0.25">
      <c r="A13" t="str">
        <f>PLANTILLA!D15</f>
        <v>I. Stone</v>
      </c>
      <c r="B13" s="233">
        <f ca="1">PLANTILLA!Y15++PLANTILLA!J15+PLANTILLA!P15</f>
        <v>3.4807261298118433</v>
      </c>
      <c r="C13" s="233">
        <f ca="1">PLANTILLA!AB15+PLANTILLA!J15+PLANTILLA!P15</f>
        <v>6.4807261298118437</v>
      </c>
      <c r="D13" s="313">
        <f t="shared" ca="1" si="2"/>
        <v>2.0552722986794412</v>
      </c>
      <c r="E13" s="233">
        <f ca="1">D13*PLANTILLA!R15</f>
        <v>1.9028124046231614</v>
      </c>
      <c r="F13" s="233">
        <f ca="1">D13*PLANTILLA!S15</f>
        <v>2.0538037223585319</v>
      </c>
    </row>
    <row r="14" spans="1:16" x14ac:dyDescent="0.25">
      <c r="A14" t="str">
        <f>PLANTILLA!D16</f>
        <v>G. Piscaer</v>
      </c>
      <c r="B14" s="233">
        <f ca="1">PLANTILLA!Y16++PLANTILLA!J16+PLANTILLA!P16</f>
        <v>4.6548868107343351</v>
      </c>
      <c r="C14" s="233">
        <f ca="1">PLANTILLA!AB16+PLANTILLA!J16+PLANTILLA!P16</f>
        <v>2.6548868107343351</v>
      </c>
      <c r="D14" s="313">
        <f t="shared" ca="1" si="2"/>
        <v>1.2455825540253755</v>
      </c>
      <c r="E14" s="233">
        <f ca="1">D14*PLANTILLA!R16</f>
        <v>0.94157190724337669</v>
      </c>
      <c r="F14" s="233">
        <f ca="1">D14*PLANTILLA!S16</f>
        <v>1.0516561588732973</v>
      </c>
    </row>
    <row r="15" spans="1:16" x14ac:dyDescent="0.25">
      <c r="A15" t="str">
        <f>PLANTILLA!D17</f>
        <v>M. Bondarewski</v>
      </c>
      <c r="B15" s="233">
        <f ca="1">PLANTILLA!Y17++PLANTILLA!J17+PLANTILLA!P17</f>
        <v>2.6372448799548045</v>
      </c>
      <c r="C15" s="233">
        <f ca="1">PLANTILLA!AB17+PLANTILLA!J17+PLANTILLA!P17</f>
        <v>4.6372448799548041</v>
      </c>
      <c r="D15" s="313">
        <f t="shared" ca="1" si="2"/>
        <v>1.4889668299830516</v>
      </c>
      <c r="E15" s="233">
        <f ca="1">D15*PLANTILLA!R17</f>
        <v>1.3785154190929285</v>
      </c>
      <c r="F15" s="233">
        <f ca="1">D15*PLANTILLA!S17</f>
        <v>1.4879029021373167</v>
      </c>
    </row>
    <row r="16" spans="1:16" x14ac:dyDescent="0.25">
      <c r="A16" t="str">
        <f>PLANTILLA!D18</f>
        <v>J. Vartiainen</v>
      </c>
      <c r="B16" s="233">
        <f ca="1">PLANTILLA!Y18++PLANTILLA!J18+PLANTILLA!P18</f>
        <v>7.2279850549816409</v>
      </c>
      <c r="C16" s="233">
        <f ca="1">PLANTILLA!AB18+PLANTILLA!J18+PLANTILLA!P18</f>
        <v>1.2279850549816413</v>
      </c>
      <c r="D16" s="313">
        <f t="shared" ca="1" si="2"/>
        <v>1.2104943956181153</v>
      </c>
      <c r="E16" s="233">
        <f ca="1">D16*PLANTILLA!R18</f>
        <v>1.120700042125278</v>
      </c>
      <c r="F16" s="233">
        <f ca="1">D16*PLANTILLA!S18</f>
        <v>1.2096294477437435</v>
      </c>
    </row>
    <row r="17" spans="1:6" x14ac:dyDescent="0.25">
      <c r="A17" t="str">
        <f>PLANTILLA!D19</f>
        <v>R. Forsyth</v>
      </c>
      <c r="B17" s="233">
        <f ca="1">PLANTILLA!Y19++PLANTILLA!J19+PLANTILLA!P19</f>
        <v>7.6876473895914677</v>
      </c>
      <c r="C17" s="233">
        <f ca="1">PLANTILLA!AB19+PLANTILLA!J19+PLANTILLA!P19</f>
        <v>4.6876473895914677</v>
      </c>
      <c r="D17" s="313">
        <f t="shared" ca="1" si="2"/>
        <v>2.1328677710968003</v>
      </c>
      <c r="E17" s="233">
        <f ca="1">D17*PLANTILLA!R19</f>
        <v>1.9746518526384991</v>
      </c>
      <c r="F17" s="233">
        <f ca="1">D17*PLANTILLA!S19</f>
        <v>2.1313437496295347</v>
      </c>
    </row>
    <row r="18" spans="1:6" x14ac:dyDescent="0.25">
      <c r="A18" t="str">
        <f>PLANTILLA!D20</f>
        <v>K. Nelson</v>
      </c>
      <c r="B18" s="233">
        <f ca="1">PLANTILLA!Y20++PLANTILLA!J20+PLANTILLA!P20</f>
        <v>5.7016840881735451</v>
      </c>
      <c r="C18" s="233">
        <f ca="1">PLANTILLA!AB20+PLANTILLA!J20+PLANTILLA!P20</f>
        <v>3.7016840881735456</v>
      </c>
      <c r="D18" s="313">
        <f t="shared" ca="1" si="2"/>
        <v>1.6381315330650796</v>
      </c>
      <c r="E18" s="233">
        <f ca="1">D18*PLANTILLA!R20</f>
        <v>1.3844738349748997</v>
      </c>
      <c r="F18" s="233">
        <f ca="1">D18*PLANTILLA!S20</f>
        <v>1.5153507264249642</v>
      </c>
    </row>
    <row r="19" spans="1:6" x14ac:dyDescent="0.25">
      <c r="A19" t="str">
        <f>PLANTILLA!D21</f>
        <v>N. Janbu</v>
      </c>
      <c r="B19" s="233">
        <f ca="1">PLANTILLA!Y21++PLANTILLA!J21+PLANTILLA!P21</f>
        <v>3.3402617251248281</v>
      </c>
      <c r="C19" s="233">
        <f ca="1">PLANTILLA!AB21+PLANTILLA!J21+PLANTILLA!P21</f>
        <v>1.3402617251248279</v>
      </c>
      <c r="D19" s="313">
        <f t="shared" ca="1" si="2"/>
        <v>0.75259814692181048</v>
      </c>
      <c r="E19" s="233">
        <f ca="1">D19*PLANTILLA!R21</f>
        <v>0.5689107239780461</v>
      </c>
      <c r="F19" s="233">
        <f ca="1">D19*PLANTILLA!S21</f>
        <v>0.63542514609660183</v>
      </c>
    </row>
    <row r="20" spans="1:6" x14ac:dyDescent="0.25">
      <c r="A20" t="str">
        <f>PLANTILLA!D22</f>
        <v>P. Tuderek</v>
      </c>
      <c r="B20" s="233">
        <f ca="1">PLANTILLA!Y22++PLANTILLA!J22+PLANTILLA!P22</f>
        <v>6.3635966580097421</v>
      </c>
      <c r="C20" s="233">
        <f ca="1">PLANTILLA!AB22+PLANTILLA!J22+PLANTILLA!P22</f>
        <v>3.3635966580097421</v>
      </c>
      <c r="D20" s="313">
        <f t="shared" ca="1" si="2"/>
        <v>1.6363487467536533</v>
      </c>
      <c r="E20" s="233">
        <f ca="1">D20*PLANTILLA!R22</f>
        <v>1.6363487467536533</v>
      </c>
      <c r="F20" s="233">
        <f ca="1">D20*PLANTILLA!S22</f>
        <v>1.6363487467536533</v>
      </c>
    </row>
    <row r="21" spans="1:6" x14ac:dyDescent="0.25">
      <c r="A21" t="str">
        <f>PLANTILLA!D23</f>
        <v>R. Scheidecker</v>
      </c>
      <c r="B21" s="233">
        <f ca="1">PLANTILLA!Y23++PLANTILLA!J23+PLANTILLA!P23</f>
        <v>4.3262250265427502</v>
      </c>
      <c r="C21" s="233">
        <f ca="1">PLANTILLA!AB23+PLANTILLA!J23+PLANTILLA!P23</f>
        <v>4.3262250265427502</v>
      </c>
      <c r="D21" s="313">
        <f t="shared" ca="1" si="2"/>
        <v>1.6223343849535312</v>
      </c>
      <c r="E21" s="233">
        <f ca="1">D21*PLANTILLA!R23</f>
        <v>1.5019897821421191</v>
      </c>
      <c r="F21" s="233">
        <f ca="1">D21*PLANTILLA!S23</f>
        <v>1.6211751605218727</v>
      </c>
    </row>
    <row r="22" spans="1:6" x14ac:dyDescent="0.25">
      <c r="A22" t="str">
        <f>PLANTILLA!D24</f>
        <v>K. Helms</v>
      </c>
      <c r="B22" s="233">
        <f>PLANTILLA!Y24++PLANTILLA!J24+PLANTILLA!P24</f>
        <v>10.298793699949664</v>
      </c>
      <c r="C22" s="233">
        <f>PLANTILLA!AB24+PLANTILLA!J24+PLANTILLA!P24</f>
        <v>12.998490669646632</v>
      </c>
      <c r="D22" s="313">
        <f t="shared" si="2"/>
        <v>4.5369718799053658</v>
      </c>
      <c r="E22" s="233">
        <f>D22*PLANTILLA!R24</f>
        <v>4.5369718799053658</v>
      </c>
      <c r="F22" s="233">
        <f>D22*PLANTILLA!S24</f>
        <v>4.5369718799053658</v>
      </c>
    </row>
    <row r="23" spans="1:6" x14ac:dyDescent="0.25">
      <c r="A23" t="str">
        <f>PLANTILLA!D25</f>
        <v>S. Zobbe</v>
      </c>
      <c r="B23" s="233">
        <f>PLANTILLA!Y25++PLANTILLA!J25+PLANTILLA!P25</f>
        <v>11.388170714237649</v>
      </c>
      <c r="C23" s="233">
        <f>PLANTILLA!AB25+PLANTILLA!J25+PLANTILLA!P25</f>
        <v>13.268170714237652</v>
      </c>
      <c r="D23" s="313">
        <f t="shared" si="2"/>
        <v>4.7405640178391195</v>
      </c>
      <c r="E23" s="233">
        <f>D23*PLANTILLA!R25</f>
        <v>4.3889094519739809</v>
      </c>
      <c r="F23" s="233">
        <f>D23*PLANTILLA!S25</f>
        <v>4.7371766904913866</v>
      </c>
    </row>
    <row r="24" spans="1:6" x14ac:dyDescent="0.25">
      <c r="A24" t="str">
        <f>PLANTILLA!D26</f>
        <v>L. Bauman</v>
      </c>
      <c r="B24" s="233">
        <f>PLANTILLA!Y26++PLANTILLA!J26+PLANTILLA!P26</f>
        <v>8.9352578030757819</v>
      </c>
      <c r="C24" s="233">
        <f>PLANTILLA!AB26+PLANTILLA!J26+PLANTILLA!P26</f>
        <v>11.935257803075782</v>
      </c>
      <c r="D24" s="313">
        <f t="shared" si="2"/>
        <v>4.1007216761534178</v>
      </c>
      <c r="E24" s="233">
        <f>D24*PLANTILLA!R26</f>
        <v>3.4657423720585152</v>
      </c>
      <c r="F24" s="233">
        <f>D24*PLANTILLA!S26</f>
        <v>3.7933654565569048</v>
      </c>
    </row>
    <row r="25" spans="1:6" x14ac:dyDescent="0.25">
      <c r="A25" t="str">
        <f>PLANTILLA!D27</f>
        <v>J. Limon</v>
      </c>
      <c r="B25" s="233">
        <f>PLANTILLA!Y27++PLANTILLA!J27+PLANTILLA!P27</f>
        <v>9.9172076220425147</v>
      </c>
      <c r="C25" s="233">
        <f>PLANTILLA!AB27+PLANTILLA!J27+PLANTILLA!P27</f>
        <v>13.029588574423464</v>
      </c>
      <c r="D25" s="313">
        <f t="shared" si="2"/>
        <v>4.4970480963611799</v>
      </c>
      <c r="E25" s="233">
        <f>D25*PLANTILLA!R27</f>
        <v>3.8006993323584273</v>
      </c>
      <c r="F25" s="233">
        <f>D25*PLANTILLA!S27</f>
        <v>4.1599865224730923</v>
      </c>
    </row>
    <row r="26" spans="1:6" x14ac:dyDescent="0.25">
      <c r="A26" t="str">
        <f>PLANTILLA!D28</f>
        <v>P .Trivadi</v>
      </c>
      <c r="B26" s="233">
        <f>PLANTILLA!Y28++PLANTILLA!J28+PLANTILLA!P28</f>
        <v>6.6631099952416912</v>
      </c>
      <c r="C26" s="233">
        <f>PLANTILLA!AB28+PLANTILLA!J28+PLANTILLA!P28</f>
        <v>13.59310999524169</v>
      </c>
      <c r="D26" s="313">
        <f t="shared" si="2"/>
        <v>4.2311662482156338</v>
      </c>
      <c r="E26" s="233">
        <f>D26*PLANTILLA!R28</f>
        <v>3.198461042442502</v>
      </c>
      <c r="F26" s="233">
        <f>D26*PLANTILLA!S28</f>
        <v>3.5724103792016839</v>
      </c>
    </row>
    <row r="27" spans="1:6" x14ac:dyDescent="0.25">
      <c r="B27" s="233"/>
      <c r="C27" s="233"/>
      <c r="D27" s="313"/>
      <c r="E27" s="233"/>
      <c r="F27" s="233"/>
    </row>
  </sheetData>
  <sortState ref="A2:F19">
    <sortCondition descending="1" ref="E2:E19"/>
  </sortState>
  <conditionalFormatting sqref="D2:D27">
    <cfRule type="colorScale" priority="3434">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C5" sqref="C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#REF!</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0" customFormat="1" x14ac:dyDescent="0.25">
      <c r="A3" s="294"/>
      <c r="B3" s="294"/>
      <c r="C3" s="294" t="s">
        <v>483</v>
      </c>
      <c r="D3" s="318" t="s">
        <v>28</v>
      </c>
      <c r="E3" s="318" t="s">
        <v>29</v>
      </c>
      <c r="F3" s="318" t="s">
        <v>30</v>
      </c>
      <c r="G3" s="318" t="s">
        <v>31</v>
      </c>
      <c r="H3" s="318" t="s">
        <v>32</v>
      </c>
      <c r="I3" s="318" t="s">
        <v>33</v>
      </c>
      <c r="J3" s="318" t="s">
        <v>34</v>
      </c>
      <c r="K3" s="318" t="s">
        <v>35</v>
      </c>
      <c r="L3" s="318" t="s">
        <v>36</v>
      </c>
      <c r="M3" s="318" t="s">
        <v>37</v>
      </c>
      <c r="N3" s="318" t="s">
        <v>38</v>
      </c>
      <c r="O3" s="318" t="s">
        <v>39</v>
      </c>
      <c r="P3" s="319" t="s">
        <v>40</v>
      </c>
      <c r="Q3" s="318" t="s">
        <v>41</v>
      </c>
      <c r="R3" s="318" t="s">
        <v>42</v>
      </c>
      <c r="S3" s="318" t="s">
        <v>43</v>
      </c>
    </row>
    <row r="4" spans="1:26" s="58" customFormat="1" x14ac:dyDescent="0.25">
      <c r="A4" s="57"/>
      <c r="B4" s="59"/>
      <c r="C4" s="59" t="s">
        <v>69</v>
      </c>
      <c r="D4" s="60">
        <v>2688</v>
      </c>
      <c r="E4" s="60">
        <f t="shared" ref="E4:S4" si="1">D4+(D11/30)</f>
        <v>2692</v>
      </c>
      <c r="F4" s="60">
        <f t="shared" si="1"/>
        <v>2694</v>
      </c>
      <c r="G4" s="60">
        <f t="shared" si="1"/>
        <v>2697</v>
      </c>
      <c r="H4" s="60">
        <f t="shared" si="1"/>
        <v>2697</v>
      </c>
      <c r="I4" s="60">
        <f t="shared" si="1"/>
        <v>2697</v>
      </c>
      <c r="J4" s="60">
        <v>2691</v>
      </c>
      <c r="K4" s="60">
        <f t="shared" si="1"/>
        <v>2695</v>
      </c>
      <c r="L4" s="60">
        <f t="shared" si="1"/>
        <v>2705</v>
      </c>
      <c r="M4" s="60">
        <f t="shared" si="1"/>
        <v>2707</v>
      </c>
      <c r="N4" s="60">
        <f t="shared" si="1"/>
        <v>2715</v>
      </c>
      <c r="O4" s="60">
        <f t="shared" si="1"/>
        <v>2725</v>
      </c>
      <c r="P4" s="194">
        <f t="shared" si="1"/>
        <v>2735</v>
      </c>
      <c r="Q4" s="60">
        <f t="shared" si="1"/>
        <v>2737</v>
      </c>
      <c r="R4" s="60">
        <f t="shared" si="1"/>
        <v>2737</v>
      </c>
      <c r="S4" s="60">
        <f t="shared" si="1"/>
        <v>2743</v>
      </c>
    </row>
    <row r="5" spans="1:26" s="65" customFormat="1" ht="18.75" x14ac:dyDescent="0.3">
      <c r="A5" s="61" t="s">
        <v>70</v>
      </c>
      <c r="B5" s="61"/>
      <c r="C5" s="62">
        <v>4500000</v>
      </c>
      <c r="D5" s="63">
        <f>C5</f>
        <v>4500000</v>
      </c>
      <c r="E5" s="63">
        <f t="shared" ref="E5:Q5" si="2">D24</f>
        <v>2335075</v>
      </c>
      <c r="F5" s="63">
        <f t="shared" si="2"/>
        <v>2338947</v>
      </c>
      <c r="G5" s="63">
        <f t="shared" si="2"/>
        <v>3189949</v>
      </c>
      <c r="H5" s="63">
        <f t="shared" si="2"/>
        <v>3138117</v>
      </c>
      <c r="I5" s="63">
        <f t="shared" si="2"/>
        <v>3435083</v>
      </c>
      <c r="J5" s="63">
        <f t="shared" si="2"/>
        <v>3427624</v>
      </c>
      <c r="K5" s="63">
        <f t="shared" si="2"/>
        <v>3726591</v>
      </c>
      <c r="L5" s="63">
        <f t="shared" si="2"/>
        <v>4199781</v>
      </c>
      <c r="M5" s="63">
        <f t="shared" si="2"/>
        <v>4194487</v>
      </c>
      <c r="N5" s="63">
        <f t="shared" si="2"/>
        <v>4184791</v>
      </c>
      <c r="O5" s="63">
        <f t="shared" si="2"/>
        <v>4624596</v>
      </c>
      <c r="P5" s="64">
        <f t="shared" si="2"/>
        <v>4622039</v>
      </c>
      <c r="Q5" s="63">
        <f t="shared" si="2"/>
        <v>5102715</v>
      </c>
      <c r="R5" s="63">
        <f>Q24</f>
        <v>5107784</v>
      </c>
      <c r="S5" s="63">
        <f>R24</f>
        <v>5618515</v>
      </c>
    </row>
    <row r="6" spans="1:26" x14ac:dyDescent="0.25">
      <c r="A6" s="66" t="s">
        <v>71</v>
      </c>
      <c r="B6" s="66" t="s">
        <v>71</v>
      </c>
      <c r="C6" s="67">
        <f t="shared" ref="C6:C23" si="3">SUM(D6:S6)</f>
        <v>3813690</v>
      </c>
      <c r="D6" s="68">
        <v>34356</v>
      </c>
      <c r="E6" s="68">
        <v>109848</v>
      </c>
      <c r="F6" s="68">
        <v>464563</v>
      </c>
      <c r="G6" s="68">
        <v>24254</v>
      </c>
      <c r="H6" s="68">
        <v>367992</v>
      </c>
      <c r="I6" s="68">
        <v>61922</v>
      </c>
      <c r="J6" s="68">
        <v>366748</v>
      </c>
      <c r="K6" s="68">
        <v>539986</v>
      </c>
      <c r="L6" s="68">
        <v>11949</v>
      </c>
      <c r="M6" s="392">
        <v>8310</v>
      </c>
      <c r="N6" s="392">
        <v>461286</v>
      </c>
      <c r="O6" s="392">
        <v>19549</v>
      </c>
      <c r="P6" s="69">
        <f>480679+20603</f>
        <v>501282</v>
      </c>
      <c r="Q6" s="68">
        <v>20795</v>
      </c>
      <c r="R6" s="68">
        <f>19738+513169</f>
        <v>532907</v>
      </c>
      <c r="S6" s="68">
        <v>287943</v>
      </c>
      <c r="Y6" s="66" t="s">
        <v>71</v>
      </c>
      <c r="Z6" s="70">
        <f>C6/$C$13</f>
        <v>0.52848823311357396</v>
      </c>
    </row>
    <row r="7" spans="1:26" x14ac:dyDescent="0.25">
      <c r="A7" s="66" t="s">
        <v>72</v>
      </c>
      <c r="B7" s="66" t="s">
        <v>72</v>
      </c>
      <c r="C7" s="67">
        <f t="shared" si="3"/>
        <v>2830725</v>
      </c>
      <c r="D7" s="71">
        <v>108785</v>
      </c>
      <c r="E7" s="71">
        <v>141530</v>
      </c>
      <c r="F7" s="71">
        <v>162435</v>
      </c>
      <c r="G7" s="71">
        <v>174460</v>
      </c>
      <c r="H7" s="71">
        <v>180380</v>
      </c>
      <c r="I7" s="71">
        <v>183525</v>
      </c>
      <c r="J7" s="71">
        <v>185005</v>
      </c>
      <c r="K7" s="71">
        <v>185930</v>
      </c>
      <c r="L7" s="71">
        <v>186900</v>
      </c>
      <c r="M7" s="389">
        <v>187500</v>
      </c>
      <c r="N7" s="464">
        <v>187965</v>
      </c>
      <c r="O7" s="464">
        <v>188520</v>
      </c>
      <c r="P7" s="69">
        <v>189260</v>
      </c>
      <c r="Q7" s="71">
        <v>189400</v>
      </c>
      <c r="R7" s="71">
        <v>189500</v>
      </c>
      <c r="S7" s="71">
        <v>189630</v>
      </c>
      <c r="Y7" s="66" t="s">
        <v>72</v>
      </c>
      <c r="Z7" s="70">
        <f t="shared" ref="Z7:Z12" si="4">C7/$C$13</f>
        <v>0.39227227532400943</v>
      </c>
    </row>
    <row r="8" spans="1:26" x14ac:dyDescent="0.25">
      <c r="A8" s="66" t="s">
        <v>73</v>
      </c>
      <c r="B8" s="66" t="s">
        <v>74</v>
      </c>
      <c r="C8" s="67">
        <f t="shared" si="3"/>
        <v>0</v>
      </c>
      <c r="D8" s="68">
        <v>0</v>
      </c>
      <c r="E8" s="68">
        <v>0</v>
      </c>
      <c r="F8" s="68">
        <v>0</v>
      </c>
      <c r="G8" s="68"/>
      <c r="H8" s="68">
        <v>0</v>
      </c>
      <c r="I8" s="68">
        <v>0</v>
      </c>
      <c r="J8" s="68">
        <v>0</v>
      </c>
      <c r="K8" s="68">
        <v>0</v>
      </c>
      <c r="L8" s="68"/>
      <c r="M8" s="388">
        <v>0</v>
      </c>
      <c r="N8" s="392">
        <v>0</v>
      </c>
      <c r="O8" s="392">
        <v>0</v>
      </c>
      <c r="P8" s="69">
        <v>0</v>
      </c>
      <c r="Q8" s="68"/>
      <c r="R8" s="68">
        <v>0</v>
      </c>
      <c r="S8" s="68">
        <v>0</v>
      </c>
      <c r="Y8" s="66" t="s">
        <v>74</v>
      </c>
      <c r="Z8" s="70">
        <f t="shared" si="4"/>
        <v>0</v>
      </c>
    </row>
    <row r="9" spans="1:26" x14ac:dyDescent="0.25">
      <c r="A9" s="66"/>
      <c r="B9" s="66" t="s">
        <v>75</v>
      </c>
      <c r="C9" s="67">
        <f t="shared" si="3"/>
        <v>476900</v>
      </c>
      <c r="D9" s="68">
        <v>0</v>
      </c>
      <c r="E9" s="68">
        <v>0</v>
      </c>
      <c r="F9" s="68">
        <v>475000</v>
      </c>
      <c r="G9" s="68"/>
      <c r="H9" s="68">
        <v>950</v>
      </c>
      <c r="I9" s="68">
        <v>0</v>
      </c>
      <c r="J9" s="68">
        <v>0</v>
      </c>
      <c r="K9" s="68">
        <v>0</v>
      </c>
      <c r="L9" s="68"/>
      <c r="M9" s="388">
        <v>0</v>
      </c>
      <c r="N9" s="392">
        <v>0</v>
      </c>
      <c r="O9" s="392">
        <v>0</v>
      </c>
      <c r="P9" s="69">
        <v>0</v>
      </c>
      <c r="Q9" s="68"/>
      <c r="R9" s="68">
        <v>950</v>
      </c>
      <c r="S9" s="68">
        <v>0</v>
      </c>
      <c r="Y9" s="66" t="s">
        <v>75</v>
      </c>
      <c r="Z9" s="70">
        <f t="shared" si="4"/>
        <v>6.6087185474399707E-2</v>
      </c>
    </row>
    <row r="10" spans="1:26" x14ac:dyDescent="0.25">
      <c r="A10" s="66" t="s">
        <v>76</v>
      </c>
      <c r="B10" s="66" t="s">
        <v>76</v>
      </c>
      <c r="C10" s="67">
        <f t="shared" si="3"/>
        <v>10640</v>
      </c>
      <c r="D10" s="71">
        <v>0</v>
      </c>
      <c r="E10" s="71">
        <v>520</v>
      </c>
      <c r="F10" s="71">
        <v>0</v>
      </c>
      <c r="G10" s="71"/>
      <c r="H10" s="71">
        <v>0</v>
      </c>
      <c r="I10" s="71">
        <v>0</v>
      </c>
      <c r="J10" s="71">
        <v>0</v>
      </c>
      <c r="K10" s="71">
        <v>0</v>
      </c>
      <c r="L10" s="71"/>
      <c r="M10" s="389">
        <v>0</v>
      </c>
      <c r="N10" s="464">
        <v>0</v>
      </c>
      <c r="O10" s="464">
        <v>0</v>
      </c>
      <c r="P10" s="69">
        <v>0</v>
      </c>
      <c r="Q10" s="71">
        <v>10000</v>
      </c>
      <c r="R10" s="71">
        <v>120</v>
      </c>
      <c r="S10" s="71">
        <v>0</v>
      </c>
      <c r="Y10" s="66" t="s">
        <v>76</v>
      </c>
      <c r="Z10" s="70">
        <f t="shared" si="4"/>
        <v>1.4744551340901927E-3</v>
      </c>
    </row>
    <row r="11" spans="1:26" x14ac:dyDescent="0.25">
      <c r="A11" s="630" t="s">
        <v>77</v>
      </c>
      <c r="B11" s="66" t="s">
        <v>78</v>
      </c>
      <c r="C11" s="67">
        <f t="shared" si="3"/>
        <v>84270</v>
      </c>
      <c r="D11" s="71">
        <v>120</v>
      </c>
      <c r="E11" s="71">
        <v>60</v>
      </c>
      <c r="F11" s="71">
        <v>90</v>
      </c>
      <c r="G11" s="71">
        <v>0</v>
      </c>
      <c r="H11" s="71">
        <v>0</v>
      </c>
      <c r="I11" s="71">
        <v>0</v>
      </c>
      <c r="J11" s="71">
        <v>120</v>
      </c>
      <c r="K11" s="71">
        <v>300</v>
      </c>
      <c r="L11" s="71">
        <v>60</v>
      </c>
      <c r="M11" s="464">
        <v>240</v>
      </c>
      <c r="N11" s="464">
        <v>300</v>
      </c>
      <c r="O11" s="464">
        <v>300</v>
      </c>
      <c r="P11" s="69">
        <v>60</v>
      </c>
      <c r="Q11" s="71">
        <v>0</v>
      </c>
      <c r="R11" s="71">
        <v>180</v>
      </c>
      <c r="S11" s="71">
        <v>82440</v>
      </c>
      <c r="Y11" s="66" t="s">
        <v>78</v>
      </c>
      <c r="Z11" s="70">
        <f t="shared" si="4"/>
        <v>1.1677850953926741E-2</v>
      </c>
    </row>
    <row r="12" spans="1:26" x14ac:dyDescent="0.25">
      <c r="A12" s="631"/>
      <c r="B12" s="66" t="s">
        <v>79</v>
      </c>
      <c r="C12" s="67">
        <f t="shared" si="3"/>
        <v>0</v>
      </c>
      <c r="D12" s="71">
        <v>0</v>
      </c>
      <c r="E12" s="71">
        <v>0</v>
      </c>
      <c r="F12" s="71">
        <v>0</v>
      </c>
      <c r="G12" s="71"/>
      <c r="H12" s="71">
        <v>0</v>
      </c>
      <c r="I12" s="71">
        <v>0</v>
      </c>
      <c r="J12" s="71">
        <v>0</v>
      </c>
      <c r="K12" s="71">
        <v>0</v>
      </c>
      <c r="L12" s="71"/>
      <c r="M12" s="389">
        <v>0</v>
      </c>
      <c r="N12" s="464">
        <v>0</v>
      </c>
      <c r="O12" s="464">
        <v>0</v>
      </c>
      <c r="P12" s="69">
        <v>0</v>
      </c>
      <c r="Q12" s="71"/>
      <c r="R12" s="71">
        <v>0</v>
      </c>
      <c r="S12" s="71">
        <v>0</v>
      </c>
      <c r="Y12" s="66" t="s">
        <v>79</v>
      </c>
      <c r="Z12" s="70">
        <f t="shared" si="4"/>
        <v>0</v>
      </c>
    </row>
    <row r="13" spans="1:26" s="77" customFormat="1" ht="18.75" x14ac:dyDescent="0.3">
      <c r="A13" s="72" t="s">
        <v>80</v>
      </c>
      <c r="B13" s="73"/>
      <c r="C13" s="74">
        <f t="shared" si="3"/>
        <v>7216225</v>
      </c>
      <c r="D13" s="75">
        <f t="shared" ref="D13:H13" si="5">SUM(D6:D12)</f>
        <v>143261</v>
      </c>
      <c r="E13" s="75">
        <f t="shared" si="5"/>
        <v>251958</v>
      </c>
      <c r="F13" s="75">
        <f>F12+F11+F10+F9+F8+F7+F6</f>
        <v>1102088</v>
      </c>
      <c r="G13" s="75">
        <f t="shared" si="5"/>
        <v>198714</v>
      </c>
      <c r="H13" s="75">
        <f t="shared" si="5"/>
        <v>549322</v>
      </c>
      <c r="I13" s="75">
        <f t="shared" ref="I13:S13" si="6">SUM(I6:I12)</f>
        <v>245447</v>
      </c>
      <c r="J13" s="75">
        <f t="shared" si="6"/>
        <v>551873</v>
      </c>
      <c r="K13" s="75">
        <f t="shared" si="6"/>
        <v>726216</v>
      </c>
      <c r="L13" s="75">
        <f t="shared" si="6"/>
        <v>198909</v>
      </c>
      <c r="M13" s="75">
        <f t="shared" si="6"/>
        <v>196050</v>
      </c>
      <c r="N13" s="75">
        <f t="shared" si="6"/>
        <v>649551</v>
      </c>
      <c r="O13" s="75">
        <f t="shared" si="6"/>
        <v>208369</v>
      </c>
      <c r="P13" s="76">
        <f t="shared" si="6"/>
        <v>690602</v>
      </c>
      <c r="Q13" s="75">
        <f t="shared" si="6"/>
        <v>220195</v>
      </c>
      <c r="R13" s="75">
        <f t="shared" si="6"/>
        <v>723657</v>
      </c>
      <c r="S13" s="75">
        <f t="shared" si="6"/>
        <v>560013</v>
      </c>
      <c r="Z13" s="78">
        <f>SUM(Z6:Z12)</f>
        <v>1</v>
      </c>
    </row>
    <row r="14" spans="1:26" ht="18.75" x14ac:dyDescent="0.3">
      <c r="A14" s="79" t="s">
        <v>81</v>
      </c>
      <c r="B14" s="80" t="str">
        <f>A14</f>
        <v>Sueldos</v>
      </c>
      <c r="C14" s="81">
        <f t="shared" si="3"/>
        <v>1266317</v>
      </c>
      <c r="D14" s="82">
        <v>72610</v>
      </c>
      <c r="E14" s="82">
        <v>72310</v>
      </c>
      <c r="F14" s="82">
        <f t="shared" ref="F14:R14" si="7">E14</f>
        <v>72310</v>
      </c>
      <c r="G14" s="82">
        <v>73770</v>
      </c>
      <c r="H14" s="82">
        <v>76580</v>
      </c>
      <c r="I14" s="82">
        <v>77130</v>
      </c>
      <c r="J14" s="82">
        <f t="shared" si="7"/>
        <v>77130</v>
      </c>
      <c r="K14" s="82">
        <v>77250</v>
      </c>
      <c r="L14" s="82">
        <f>79500+1647</f>
        <v>81147</v>
      </c>
      <c r="M14" s="390">
        <v>82690</v>
      </c>
      <c r="N14" s="391">
        <v>82690</v>
      </c>
      <c r="O14" s="391">
        <v>83870</v>
      </c>
      <c r="P14" s="69">
        <f t="shared" si="7"/>
        <v>83870</v>
      </c>
      <c r="Q14" s="82">
        <f t="shared" si="7"/>
        <v>83870</v>
      </c>
      <c r="R14" s="82">
        <f t="shared" si="7"/>
        <v>83870</v>
      </c>
      <c r="S14" s="82">
        <v>85220</v>
      </c>
      <c r="Y14" s="632">
        <f>C13</f>
        <v>7216225</v>
      </c>
      <c r="Z14" s="633"/>
    </row>
    <row r="15" spans="1:26" x14ac:dyDescent="0.25">
      <c r="A15" s="79" t="s">
        <v>82</v>
      </c>
      <c r="B15" s="80" t="str">
        <f>A15</f>
        <v xml:space="preserve">Mantenimiento </v>
      </c>
      <c r="C15" s="81">
        <f t="shared" si="3"/>
        <v>572416</v>
      </c>
      <c r="D15" s="82">
        <v>35776</v>
      </c>
      <c r="E15" s="82">
        <f>D15</f>
        <v>35776</v>
      </c>
      <c r="F15" s="82">
        <f t="shared" ref="F15:S15" si="8">E15</f>
        <v>35776</v>
      </c>
      <c r="G15" s="82">
        <f t="shared" si="8"/>
        <v>35776</v>
      </c>
      <c r="H15" s="82">
        <f t="shared" si="8"/>
        <v>35776</v>
      </c>
      <c r="I15" s="82">
        <f t="shared" si="8"/>
        <v>35776</v>
      </c>
      <c r="J15" s="82">
        <f t="shared" si="8"/>
        <v>35776</v>
      </c>
      <c r="K15" s="82">
        <f t="shared" si="8"/>
        <v>35776</v>
      </c>
      <c r="L15" s="82">
        <f t="shared" si="8"/>
        <v>35776</v>
      </c>
      <c r="M15" s="391">
        <f t="shared" si="8"/>
        <v>35776</v>
      </c>
      <c r="N15" s="391">
        <f t="shared" si="8"/>
        <v>35776</v>
      </c>
      <c r="O15" s="391">
        <f t="shared" si="8"/>
        <v>35776</v>
      </c>
      <c r="P15" s="69">
        <f t="shared" si="8"/>
        <v>35776</v>
      </c>
      <c r="Q15" s="82">
        <f t="shared" si="8"/>
        <v>35776</v>
      </c>
      <c r="R15" s="82">
        <f t="shared" si="8"/>
        <v>35776</v>
      </c>
      <c r="S15" s="82">
        <f t="shared" si="8"/>
        <v>35776</v>
      </c>
    </row>
    <row r="16" spans="1:26" ht="20.25" customHeight="1" x14ac:dyDescent="0.25">
      <c r="A16" s="79" t="s">
        <v>83</v>
      </c>
      <c r="B16" s="80" t="s">
        <v>84</v>
      </c>
      <c r="C16" s="81">
        <f t="shared" si="3"/>
        <v>0</v>
      </c>
      <c r="D16" s="82">
        <v>0</v>
      </c>
      <c r="E16" s="82">
        <f t="shared" ref="E16:S22" si="9">D16</f>
        <v>0</v>
      </c>
      <c r="F16" s="82">
        <f t="shared" si="9"/>
        <v>0</v>
      </c>
      <c r="G16" s="82">
        <f t="shared" si="9"/>
        <v>0</v>
      </c>
      <c r="H16" s="82">
        <f t="shared" si="9"/>
        <v>0</v>
      </c>
      <c r="I16" s="82">
        <f t="shared" si="9"/>
        <v>0</v>
      </c>
      <c r="J16" s="82">
        <f t="shared" si="9"/>
        <v>0</v>
      </c>
      <c r="K16" s="82">
        <f t="shared" si="9"/>
        <v>0</v>
      </c>
      <c r="L16" s="82">
        <f t="shared" si="9"/>
        <v>0</v>
      </c>
      <c r="M16" s="391">
        <f t="shared" si="9"/>
        <v>0</v>
      </c>
      <c r="N16" s="391">
        <f t="shared" si="9"/>
        <v>0</v>
      </c>
      <c r="O16" s="391">
        <f t="shared" si="9"/>
        <v>0</v>
      </c>
      <c r="P16" s="69">
        <f t="shared" si="9"/>
        <v>0</v>
      </c>
      <c r="Q16" s="82">
        <f t="shared" si="9"/>
        <v>0</v>
      </c>
      <c r="R16" s="82">
        <f t="shared" si="9"/>
        <v>0</v>
      </c>
      <c r="S16" s="82">
        <f t="shared" si="9"/>
        <v>0</v>
      </c>
    </row>
    <row r="17" spans="1:26" x14ac:dyDescent="0.25">
      <c r="A17" s="79" t="s">
        <v>85</v>
      </c>
      <c r="B17" s="80" t="str">
        <f>A17</f>
        <v>Empleados</v>
      </c>
      <c r="C17" s="81">
        <f t="shared" si="3"/>
        <v>1482240</v>
      </c>
      <c r="D17" s="82">
        <v>120000</v>
      </c>
      <c r="E17" s="82">
        <f t="shared" si="9"/>
        <v>120000</v>
      </c>
      <c r="F17" s="82">
        <f t="shared" si="9"/>
        <v>120000</v>
      </c>
      <c r="G17" s="82">
        <f t="shared" si="9"/>
        <v>120000</v>
      </c>
      <c r="H17" s="82">
        <f t="shared" si="9"/>
        <v>120000</v>
      </c>
      <c r="I17" s="82">
        <f t="shared" si="9"/>
        <v>120000</v>
      </c>
      <c r="J17" s="82">
        <f t="shared" si="9"/>
        <v>120000</v>
      </c>
      <c r="K17" s="82">
        <f t="shared" si="9"/>
        <v>120000</v>
      </c>
      <c r="L17" s="82">
        <f>24000*4*0.68</f>
        <v>65280.000000000007</v>
      </c>
      <c r="M17" s="391">
        <f t="shared" si="9"/>
        <v>65280.000000000007</v>
      </c>
      <c r="N17" s="391">
        <f t="shared" si="9"/>
        <v>65280.000000000007</v>
      </c>
      <c r="O17" s="391">
        <f t="shared" si="9"/>
        <v>65280.000000000007</v>
      </c>
      <c r="P17" s="69">
        <f t="shared" si="9"/>
        <v>65280.000000000007</v>
      </c>
      <c r="Q17" s="82">
        <f t="shared" si="9"/>
        <v>65280.000000000007</v>
      </c>
      <c r="R17" s="82">
        <f t="shared" si="9"/>
        <v>65280.000000000007</v>
      </c>
      <c r="S17" s="82">
        <f t="shared" si="9"/>
        <v>65280.000000000007</v>
      </c>
    </row>
    <row r="18" spans="1:26" x14ac:dyDescent="0.25">
      <c r="A18" s="79" t="s">
        <v>86</v>
      </c>
      <c r="B18" s="80" t="str">
        <f>A18</f>
        <v>Juveniles</v>
      </c>
      <c r="C18" s="81">
        <f t="shared" si="3"/>
        <v>320000</v>
      </c>
      <c r="D18" s="82">
        <v>20000</v>
      </c>
      <c r="E18" s="82">
        <f t="shared" si="9"/>
        <v>20000</v>
      </c>
      <c r="F18" s="82">
        <f t="shared" si="9"/>
        <v>20000</v>
      </c>
      <c r="G18" s="82">
        <f t="shared" si="9"/>
        <v>20000</v>
      </c>
      <c r="H18" s="82">
        <f t="shared" si="9"/>
        <v>20000</v>
      </c>
      <c r="I18" s="82">
        <f t="shared" si="9"/>
        <v>20000</v>
      </c>
      <c r="J18" s="82">
        <f t="shared" si="9"/>
        <v>20000</v>
      </c>
      <c r="K18" s="82">
        <f t="shared" si="9"/>
        <v>20000</v>
      </c>
      <c r="L18" s="82">
        <f t="shared" si="9"/>
        <v>20000</v>
      </c>
      <c r="M18" s="391">
        <f t="shared" si="9"/>
        <v>20000</v>
      </c>
      <c r="N18" s="391">
        <f t="shared" si="9"/>
        <v>20000</v>
      </c>
      <c r="O18" s="391">
        <f t="shared" si="9"/>
        <v>20000</v>
      </c>
      <c r="P18" s="69">
        <f t="shared" si="9"/>
        <v>20000</v>
      </c>
      <c r="Q18" s="82">
        <f t="shared" si="9"/>
        <v>20000</v>
      </c>
      <c r="R18" s="82">
        <f t="shared" si="9"/>
        <v>20000</v>
      </c>
      <c r="S18" s="82">
        <f t="shared" si="9"/>
        <v>20000</v>
      </c>
    </row>
    <row r="19" spans="1:26" x14ac:dyDescent="0.25">
      <c r="A19" s="79" t="s">
        <v>87</v>
      </c>
      <c r="B19" s="80" t="s">
        <v>88</v>
      </c>
      <c r="C19" s="81">
        <f t="shared" si="3"/>
        <v>0</v>
      </c>
      <c r="D19" s="82">
        <v>0</v>
      </c>
      <c r="E19" s="82">
        <f t="shared" si="9"/>
        <v>0</v>
      </c>
      <c r="F19" s="82">
        <f t="shared" si="9"/>
        <v>0</v>
      </c>
      <c r="G19" s="82">
        <f t="shared" si="9"/>
        <v>0</v>
      </c>
      <c r="H19" s="82">
        <f t="shared" si="9"/>
        <v>0</v>
      </c>
      <c r="I19" s="82">
        <f t="shared" si="9"/>
        <v>0</v>
      </c>
      <c r="J19" s="82">
        <f t="shared" si="9"/>
        <v>0</v>
      </c>
      <c r="K19" s="82">
        <f t="shared" si="9"/>
        <v>0</v>
      </c>
      <c r="L19" s="82">
        <f t="shared" si="9"/>
        <v>0</v>
      </c>
      <c r="M19" s="390">
        <f t="shared" si="9"/>
        <v>0</v>
      </c>
      <c r="N19" s="391">
        <f t="shared" si="9"/>
        <v>0</v>
      </c>
      <c r="O19" s="391">
        <f t="shared" si="9"/>
        <v>0</v>
      </c>
      <c r="P19" s="69">
        <f t="shared" si="9"/>
        <v>0</v>
      </c>
      <c r="Q19" s="82">
        <f t="shared" si="9"/>
        <v>0</v>
      </c>
      <c r="R19" s="82">
        <f t="shared" si="9"/>
        <v>0</v>
      </c>
      <c r="S19" s="82">
        <f t="shared" si="9"/>
        <v>0</v>
      </c>
    </row>
    <row r="20" spans="1:26" x14ac:dyDescent="0.25">
      <c r="A20" s="83" t="s">
        <v>77</v>
      </c>
      <c r="B20" s="80" t="s">
        <v>67</v>
      </c>
      <c r="C20" s="81">
        <f t="shared" si="3"/>
        <v>2059800</v>
      </c>
      <c r="D20" s="82">
        <v>2059800</v>
      </c>
      <c r="E20" s="82">
        <v>0</v>
      </c>
      <c r="F20" s="82">
        <f t="shared" si="9"/>
        <v>0</v>
      </c>
      <c r="G20" s="82">
        <f t="shared" si="9"/>
        <v>0</v>
      </c>
      <c r="H20" s="82">
        <f t="shared" si="9"/>
        <v>0</v>
      </c>
      <c r="I20" s="82">
        <f t="shared" si="9"/>
        <v>0</v>
      </c>
      <c r="J20" s="82">
        <f t="shared" si="9"/>
        <v>0</v>
      </c>
      <c r="K20" s="82">
        <f t="shared" si="9"/>
        <v>0</v>
      </c>
      <c r="L20" s="82">
        <f t="shared" si="9"/>
        <v>0</v>
      </c>
      <c r="M20" s="390">
        <f t="shared" si="9"/>
        <v>0</v>
      </c>
      <c r="N20" s="391">
        <f t="shared" si="9"/>
        <v>0</v>
      </c>
      <c r="O20" s="391">
        <f t="shared" si="9"/>
        <v>0</v>
      </c>
      <c r="P20" s="69">
        <f t="shared" si="9"/>
        <v>0</v>
      </c>
      <c r="Q20" s="82">
        <f t="shared" si="9"/>
        <v>0</v>
      </c>
      <c r="R20" s="82">
        <f t="shared" si="9"/>
        <v>0</v>
      </c>
      <c r="S20" s="82">
        <f t="shared" si="9"/>
        <v>0</v>
      </c>
    </row>
    <row r="21" spans="1:26" x14ac:dyDescent="0.25">
      <c r="A21" s="83"/>
      <c r="B21" s="80" t="s">
        <v>89</v>
      </c>
      <c r="C21" s="81">
        <f t="shared" si="3"/>
        <v>55200</v>
      </c>
      <c r="D21" s="82">
        <v>0</v>
      </c>
      <c r="E21" s="82">
        <f t="shared" si="9"/>
        <v>0</v>
      </c>
      <c r="F21" s="82">
        <v>3000</v>
      </c>
      <c r="G21" s="82">
        <v>1000</v>
      </c>
      <c r="H21" s="82">
        <v>0</v>
      </c>
      <c r="I21" s="82">
        <f t="shared" si="9"/>
        <v>0</v>
      </c>
      <c r="J21" s="82">
        <f t="shared" si="9"/>
        <v>0</v>
      </c>
      <c r="K21" s="82">
        <f t="shared" si="9"/>
        <v>0</v>
      </c>
      <c r="L21" s="82">
        <v>2000</v>
      </c>
      <c r="M21" s="390">
        <f t="shared" si="9"/>
        <v>2000</v>
      </c>
      <c r="N21" s="391">
        <v>6000</v>
      </c>
      <c r="O21" s="391">
        <v>6000</v>
      </c>
      <c r="P21" s="69">
        <v>5000</v>
      </c>
      <c r="Q21" s="82">
        <f>6000+4200</f>
        <v>10200</v>
      </c>
      <c r="R21" s="82">
        <v>8000</v>
      </c>
      <c r="S21" s="82">
        <v>12000</v>
      </c>
    </row>
    <row r="22" spans="1:26" x14ac:dyDescent="0.25">
      <c r="A22" s="79" t="s">
        <v>90</v>
      </c>
      <c r="B22" s="80" t="str">
        <f>A22</f>
        <v>Intereses</v>
      </c>
      <c r="C22" s="81">
        <f t="shared" si="3"/>
        <v>0</v>
      </c>
      <c r="D22" s="82">
        <v>0</v>
      </c>
      <c r="E22" s="82">
        <f t="shared" si="9"/>
        <v>0</v>
      </c>
      <c r="F22" s="82">
        <f t="shared" si="9"/>
        <v>0</v>
      </c>
      <c r="G22" s="82">
        <f t="shared" si="9"/>
        <v>0</v>
      </c>
      <c r="H22" s="82">
        <f t="shared" si="9"/>
        <v>0</v>
      </c>
      <c r="I22" s="82">
        <f t="shared" si="9"/>
        <v>0</v>
      </c>
      <c r="J22" s="82">
        <f t="shared" si="9"/>
        <v>0</v>
      </c>
      <c r="K22" s="82">
        <f t="shared" si="9"/>
        <v>0</v>
      </c>
      <c r="L22" s="82">
        <f t="shared" si="9"/>
        <v>0</v>
      </c>
      <c r="M22" s="390">
        <f t="shared" si="9"/>
        <v>0</v>
      </c>
      <c r="N22" s="391">
        <f t="shared" si="9"/>
        <v>0</v>
      </c>
      <c r="O22" s="391">
        <f t="shared" si="9"/>
        <v>0</v>
      </c>
      <c r="P22" s="69">
        <f t="shared" si="9"/>
        <v>0</v>
      </c>
      <c r="Q22" s="82">
        <f t="shared" si="9"/>
        <v>0</v>
      </c>
      <c r="R22" s="82">
        <f t="shared" si="9"/>
        <v>0</v>
      </c>
      <c r="S22" s="82">
        <f t="shared" si="9"/>
        <v>0</v>
      </c>
    </row>
    <row r="23" spans="1:26" s="89" customFormat="1" ht="18.75" x14ac:dyDescent="0.3">
      <c r="A23" s="84" t="s">
        <v>91</v>
      </c>
      <c r="B23" s="85"/>
      <c r="C23" s="86">
        <f t="shared" si="3"/>
        <v>5755973</v>
      </c>
      <c r="D23" s="87">
        <f t="shared" ref="D23:S23" si="10">SUM(D14:D22)</f>
        <v>2308186</v>
      </c>
      <c r="E23" s="87">
        <f t="shared" si="10"/>
        <v>248086</v>
      </c>
      <c r="F23" s="87">
        <f t="shared" si="10"/>
        <v>251086</v>
      </c>
      <c r="G23" s="87">
        <f t="shared" si="10"/>
        <v>250546</v>
      </c>
      <c r="H23" s="87">
        <f t="shared" si="10"/>
        <v>252356</v>
      </c>
      <c r="I23" s="87">
        <f t="shared" si="10"/>
        <v>252906</v>
      </c>
      <c r="J23" s="87">
        <f t="shared" si="10"/>
        <v>252906</v>
      </c>
      <c r="K23" s="87">
        <f t="shared" si="10"/>
        <v>253026</v>
      </c>
      <c r="L23" s="87">
        <f t="shared" si="10"/>
        <v>204203</v>
      </c>
      <c r="M23" s="87">
        <f t="shared" si="10"/>
        <v>205746</v>
      </c>
      <c r="N23" s="87">
        <f t="shared" si="10"/>
        <v>209746</v>
      </c>
      <c r="O23" s="87">
        <f t="shared" si="10"/>
        <v>210926</v>
      </c>
      <c r="P23" s="88">
        <f t="shared" si="10"/>
        <v>209926</v>
      </c>
      <c r="Q23" s="87">
        <f t="shared" si="10"/>
        <v>215126</v>
      </c>
      <c r="R23" s="87">
        <f t="shared" si="10"/>
        <v>212926</v>
      </c>
      <c r="S23" s="87">
        <f t="shared" si="10"/>
        <v>218276</v>
      </c>
      <c r="Y23" s="80" t="s">
        <v>81</v>
      </c>
      <c r="Z23" s="90">
        <f>C14/$C$23</f>
        <v>0.22000051077376492</v>
      </c>
    </row>
    <row r="24" spans="1:26" s="65" customFormat="1" ht="18.75" x14ac:dyDescent="0.3">
      <c r="A24" s="91" t="s">
        <v>92</v>
      </c>
      <c r="B24" s="91"/>
      <c r="C24" s="63">
        <f>C5+C13-C23</f>
        <v>5960252</v>
      </c>
      <c r="D24" s="63">
        <f t="shared" ref="D24:S24" si="11">D5+D13-D23</f>
        <v>2335075</v>
      </c>
      <c r="E24" s="63">
        <f t="shared" si="11"/>
        <v>2338947</v>
      </c>
      <c r="F24" s="63">
        <f t="shared" si="11"/>
        <v>3189949</v>
      </c>
      <c r="G24" s="63">
        <f t="shared" si="11"/>
        <v>3138117</v>
      </c>
      <c r="H24" s="63">
        <f t="shared" si="11"/>
        <v>3435083</v>
      </c>
      <c r="I24" s="63">
        <f t="shared" si="11"/>
        <v>3427624</v>
      </c>
      <c r="J24" s="63">
        <f t="shared" si="11"/>
        <v>3726591</v>
      </c>
      <c r="K24" s="63">
        <f t="shared" si="11"/>
        <v>4199781</v>
      </c>
      <c r="L24" s="63">
        <f t="shared" si="11"/>
        <v>4194487</v>
      </c>
      <c r="M24" s="63">
        <f t="shared" si="11"/>
        <v>4184791</v>
      </c>
      <c r="N24" s="63">
        <f t="shared" si="11"/>
        <v>4624596</v>
      </c>
      <c r="O24" s="63">
        <f t="shared" si="11"/>
        <v>4622039</v>
      </c>
      <c r="P24" s="64">
        <f t="shared" si="11"/>
        <v>5102715</v>
      </c>
      <c r="Q24" s="63">
        <f t="shared" si="11"/>
        <v>5107784</v>
      </c>
      <c r="R24" s="63">
        <f t="shared" si="11"/>
        <v>5618515</v>
      </c>
      <c r="S24" s="63">
        <f t="shared" si="11"/>
        <v>5960252</v>
      </c>
      <c r="Y24" s="80" t="s">
        <v>82</v>
      </c>
      <c r="Z24" s="90">
        <f t="shared" ref="Z24:Z31" si="12">C15/$C$23</f>
        <v>9.9447304565188202E-2</v>
      </c>
    </row>
    <row r="25" spans="1:26" s="53" customFormat="1" x14ac:dyDescent="0.25">
      <c r="A25" s="92"/>
      <c r="B25" s="92"/>
      <c r="C25" s="92"/>
      <c r="D25" s="93" t="e">
        <f>D2+7</f>
        <v>#REF!</v>
      </c>
      <c r="E25" s="93" t="e">
        <f t="shared" ref="E25:S25" si="13">D25+7</f>
        <v>#REF!</v>
      </c>
      <c r="F25" s="93" t="e">
        <f t="shared" si="13"/>
        <v>#REF!</v>
      </c>
      <c r="G25" s="93" t="e">
        <f t="shared" si="13"/>
        <v>#REF!</v>
      </c>
      <c r="H25" s="93" t="e">
        <f t="shared" si="13"/>
        <v>#REF!</v>
      </c>
      <c r="I25" s="93" t="e">
        <f t="shared" si="13"/>
        <v>#REF!</v>
      </c>
      <c r="J25" s="93" t="e">
        <f t="shared" si="13"/>
        <v>#REF!</v>
      </c>
      <c r="K25" s="93" t="e">
        <f t="shared" si="13"/>
        <v>#REF!</v>
      </c>
      <c r="L25" s="93" t="e">
        <f t="shared" si="13"/>
        <v>#REF!</v>
      </c>
      <c r="M25" s="93" t="e">
        <f t="shared" si="13"/>
        <v>#REF!</v>
      </c>
      <c r="N25" s="93" t="e">
        <f t="shared" si="13"/>
        <v>#REF!</v>
      </c>
      <c r="O25" s="93" t="e">
        <f t="shared" si="13"/>
        <v>#REF!</v>
      </c>
      <c r="P25" s="93" t="e">
        <f t="shared" si="13"/>
        <v>#REF!</v>
      </c>
      <c r="Q25" s="93" t="e">
        <f t="shared" si="13"/>
        <v>#REF!</v>
      </c>
      <c r="R25" s="93" t="e">
        <f t="shared" si="13"/>
        <v>#REF!</v>
      </c>
      <c r="S25" s="93" t="e">
        <f t="shared" si="13"/>
        <v>#REF!</v>
      </c>
      <c r="Y25" s="80" t="s">
        <v>84</v>
      </c>
      <c r="Z25" s="90">
        <f t="shared" si="12"/>
        <v>0</v>
      </c>
    </row>
    <row r="26" spans="1:26" s="53" customFormat="1" x14ac:dyDescent="0.25">
      <c r="A26" s="634" t="s">
        <v>93</v>
      </c>
      <c r="B26" s="634"/>
      <c r="C26" s="94">
        <f>C6+C7+C11</f>
        <v>6728685</v>
      </c>
      <c r="D26" s="94">
        <f t="shared" ref="D26:S26" si="14">D6+D7+D11</f>
        <v>143261</v>
      </c>
      <c r="E26" s="94">
        <f t="shared" si="14"/>
        <v>251438</v>
      </c>
      <c r="F26" s="94">
        <f t="shared" si="14"/>
        <v>627088</v>
      </c>
      <c r="G26" s="94">
        <f t="shared" si="14"/>
        <v>198714</v>
      </c>
      <c r="H26" s="94">
        <f t="shared" si="14"/>
        <v>548372</v>
      </c>
      <c r="I26" s="94">
        <f t="shared" si="14"/>
        <v>245447</v>
      </c>
      <c r="J26" s="94">
        <f t="shared" si="14"/>
        <v>551873</v>
      </c>
      <c r="K26" s="94">
        <f t="shared" si="14"/>
        <v>726216</v>
      </c>
      <c r="L26" s="94">
        <f t="shared" si="14"/>
        <v>198909</v>
      </c>
      <c r="M26" s="94">
        <f t="shared" si="14"/>
        <v>196050</v>
      </c>
      <c r="N26" s="94">
        <f t="shared" si="14"/>
        <v>649551</v>
      </c>
      <c r="O26" s="94">
        <f t="shared" si="14"/>
        <v>208369</v>
      </c>
      <c r="P26" s="94">
        <f t="shared" si="14"/>
        <v>690602</v>
      </c>
      <c r="Q26" s="94">
        <f t="shared" si="14"/>
        <v>210195</v>
      </c>
      <c r="R26" s="94">
        <f>R6+R7+R11</f>
        <v>722587</v>
      </c>
      <c r="S26" s="94">
        <f t="shared" si="14"/>
        <v>560013</v>
      </c>
      <c r="T26" s="95"/>
      <c r="Y26" s="80" t="s">
        <v>85</v>
      </c>
      <c r="Z26" s="90">
        <f t="shared" si="12"/>
        <v>0.25751336915583167</v>
      </c>
    </row>
    <row r="27" spans="1:26" s="53" customFormat="1" x14ac:dyDescent="0.25">
      <c r="A27" s="624" t="s">
        <v>94</v>
      </c>
      <c r="B27" s="624"/>
      <c r="C27" s="96">
        <f>C14+C15+C17+C18+C21</f>
        <v>3696173</v>
      </c>
      <c r="D27" s="96">
        <f t="shared" ref="D27:S27" si="15">D14+D15+D17+D18+D21</f>
        <v>248386</v>
      </c>
      <c r="E27" s="96">
        <f t="shared" si="15"/>
        <v>248086</v>
      </c>
      <c r="F27" s="96">
        <f t="shared" si="15"/>
        <v>251086</v>
      </c>
      <c r="G27" s="96">
        <f t="shared" si="15"/>
        <v>250546</v>
      </c>
      <c r="H27" s="96">
        <f t="shared" si="15"/>
        <v>252356</v>
      </c>
      <c r="I27" s="96">
        <f t="shared" si="15"/>
        <v>252906</v>
      </c>
      <c r="J27" s="96">
        <f t="shared" si="15"/>
        <v>252906</v>
      </c>
      <c r="K27" s="96">
        <f t="shared" si="15"/>
        <v>253026</v>
      </c>
      <c r="L27" s="96">
        <f t="shared" si="15"/>
        <v>204203</v>
      </c>
      <c r="M27" s="96">
        <f t="shared" si="15"/>
        <v>205746</v>
      </c>
      <c r="N27" s="96">
        <f t="shared" si="15"/>
        <v>209746</v>
      </c>
      <c r="O27" s="96">
        <f t="shared" si="15"/>
        <v>210926</v>
      </c>
      <c r="P27" s="96">
        <f t="shared" si="15"/>
        <v>209926</v>
      </c>
      <c r="Q27" s="96">
        <f t="shared" si="15"/>
        <v>215126</v>
      </c>
      <c r="R27" s="96">
        <f>R14+R15+R17+R18+R21</f>
        <v>212926</v>
      </c>
      <c r="S27" s="96">
        <f t="shared" si="15"/>
        <v>218276</v>
      </c>
      <c r="T27" s="97"/>
      <c r="Y27" s="80" t="s">
        <v>86</v>
      </c>
      <c r="Z27" s="90">
        <f t="shared" si="12"/>
        <v>5.5594423392882487E-2</v>
      </c>
    </row>
    <row r="28" spans="1:26" x14ac:dyDescent="0.25">
      <c r="A28" s="625" t="s">
        <v>95</v>
      </c>
      <c r="B28" s="625"/>
      <c r="C28" s="98">
        <f>C26-C27</f>
        <v>3032512</v>
      </c>
      <c r="D28" s="98">
        <f t="shared" ref="D28:S28" si="16">D26-D27</f>
        <v>-105125</v>
      </c>
      <c r="E28" s="98">
        <f t="shared" si="16"/>
        <v>3352</v>
      </c>
      <c r="F28" s="98">
        <f t="shared" si="16"/>
        <v>376002</v>
      </c>
      <c r="G28" s="98">
        <f t="shared" si="16"/>
        <v>-51832</v>
      </c>
      <c r="H28" s="98">
        <f t="shared" si="16"/>
        <v>296016</v>
      </c>
      <c r="I28" s="98">
        <f t="shared" si="16"/>
        <v>-7459</v>
      </c>
      <c r="J28" s="98">
        <f t="shared" si="16"/>
        <v>298967</v>
      </c>
      <c r="K28" s="98">
        <f t="shared" si="16"/>
        <v>473190</v>
      </c>
      <c r="L28" s="98">
        <f t="shared" si="16"/>
        <v>-5294</v>
      </c>
      <c r="M28" s="98">
        <f t="shared" si="16"/>
        <v>-9696</v>
      </c>
      <c r="N28" s="98">
        <f t="shared" si="16"/>
        <v>439805</v>
      </c>
      <c r="O28" s="98">
        <f t="shared" si="16"/>
        <v>-2557</v>
      </c>
      <c r="P28" s="98">
        <f t="shared" si="16"/>
        <v>480676</v>
      </c>
      <c r="Q28" s="98">
        <f t="shared" si="16"/>
        <v>-4931</v>
      </c>
      <c r="R28" s="98">
        <f>R26-R27</f>
        <v>509661</v>
      </c>
      <c r="S28" s="98">
        <f t="shared" si="16"/>
        <v>341737</v>
      </c>
      <c r="T28" s="99"/>
      <c r="Y28" s="80" t="s">
        <v>88</v>
      </c>
      <c r="Z28" s="90">
        <f t="shared" si="12"/>
        <v>0</v>
      </c>
    </row>
    <row r="29" spans="1:26" x14ac:dyDescent="0.25">
      <c r="A29" s="634" t="s">
        <v>96</v>
      </c>
      <c r="B29" s="634"/>
      <c r="C29" s="94">
        <f>C8+C9+C10+C12</f>
        <v>487540</v>
      </c>
      <c r="D29" s="94">
        <f t="shared" ref="D29:S29" si="17">D8+D9+D10+D12</f>
        <v>0</v>
      </c>
      <c r="E29" s="94">
        <f t="shared" si="17"/>
        <v>520</v>
      </c>
      <c r="F29" s="94">
        <f t="shared" si="17"/>
        <v>475000</v>
      </c>
      <c r="G29" s="94">
        <f t="shared" si="17"/>
        <v>0</v>
      </c>
      <c r="H29" s="94">
        <f t="shared" si="17"/>
        <v>950</v>
      </c>
      <c r="I29" s="94">
        <f t="shared" si="17"/>
        <v>0</v>
      </c>
      <c r="J29" s="94">
        <f t="shared" si="17"/>
        <v>0</v>
      </c>
      <c r="K29" s="94">
        <f t="shared" si="17"/>
        <v>0</v>
      </c>
      <c r="L29" s="94">
        <f t="shared" si="17"/>
        <v>0</v>
      </c>
      <c r="M29" s="94">
        <f t="shared" si="17"/>
        <v>0</v>
      </c>
      <c r="N29" s="94">
        <f t="shared" si="17"/>
        <v>0</v>
      </c>
      <c r="O29" s="94">
        <f t="shared" si="17"/>
        <v>0</v>
      </c>
      <c r="P29" s="94">
        <f t="shared" si="17"/>
        <v>0</v>
      </c>
      <c r="Q29" s="94">
        <f t="shared" si="17"/>
        <v>10000</v>
      </c>
      <c r="R29" s="94">
        <f>R8+R9+R10+R12</f>
        <v>1070</v>
      </c>
      <c r="S29" s="94">
        <f t="shared" si="17"/>
        <v>0</v>
      </c>
      <c r="T29" s="99"/>
      <c r="Y29" s="80" t="s">
        <v>67</v>
      </c>
      <c r="Z29" s="90">
        <f t="shared" si="12"/>
        <v>0.35785435407706045</v>
      </c>
    </row>
    <row r="30" spans="1:26" s="58" customFormat="1" x14ac:dyDescent="0.25">
      <c r="A30" s="624" t="s">
        <v>97</v>
      </c>
      <c r="B30" s="624"/>
      <c r="C30" s="96">
        <f>C16+C19+C20+C22</f>
        <v>2059800</v>
      </c>
      <c r="D30" s="96">
        <f t="shared" ref="D30:S30" si="18">D16+D19+D20+D22</f>
        <v>2059800</v>
      </c>
      <c r="E30" s="96">
        <f t="shared" si="18"/>
        <v>0</v>
      </c>
      <c r="F30" s="96">
        <f t="shared" si="18"/>
        <v>0</v>
      </c>
      <c r="G30" s="96">
        <f t="shared" si="18"/>
        <v>0</v>
      </c>
      <c r="H30" s="96">
        <f t="shared" si="18"/>
        <v>0</v>
      </c>
      <c r="I30" s="96">
        <f t="shared" si="18"/>
        <v>0</v>
      </c>
      <c r="J30" s="96">
        <f t="shared" si="18"/>
        <v>0</v>
      </c>
      <c r="K30" s="96">
        <f t="shared" si="18"/>
        <v>0</v>
      </c>
      <c r="L30" s="96">
        <f t="shared" si="18"/>
        <v>0</v>
      </c>
      <c r="M30" s="96">
        <f t="shared" si="18"/>
        <v>0</v>
      </c>
      <c r="N30" s="96">
        <f t="shared" si="18"/>
        <v>0</v>
      </c>
      <c r="O30" s="96">
        <f t="shared" si="18"/>
        <v>0</v>
      </c>
      <c r="P30" s="96">
        <f t="shared" si="18"/>
        <v>0</v>
      </c>
      <c r="Q30" s="96">
        <f t="shared" si="18"/>
        <v>0</v>
      </c>
      <c r="R30" s="96">
        <f>R16+R19+R20+R22</f>
        <v>0</v>
      </c>
      <c r="S30" s="96">
        <f t="shared" si="18"/>
        <v>0</v>
      </c>
      <c r="Y30" s="80" t="s">
        <v>89</v>
      </c>
      <c r="Z30" s="90">
        <f t="shared" si="12"/>
        <v>9.59003803527223E-3</v>
      </c>
    </row>
    <row r="31" spans="1:26" s="58" customFormat="1" x14ac:dyDescent="0.25">
      <c r="A31" s="625" t="s">
        <v>98</v>
      </c>
      <c r="B31" s="625"/>
      <c r="C31" s="98">
        <f>C29-C30</f>
        <v>-1572260</v>
      </c>
      <c r="D31" s="98">
        <f t="shared" ref="D31:S31" si="19">D29-D30</f>
        <v>-2059800</v>
      </c>
      <c r="E31" s="98">
        <f t="shared" si="19"/>
        <v>520</v>
      </c>
      <c r="F31" s="98">
        <f t="shared" si="19"/>
        <v>475000</v>
      </c>
      <c r="G31" s="98">
        <f t="shared" si="19"/>
        <v>0</v>
      </c>
      <c r="H31" s="98">
        <f t="shared" si="19"/>
        <v>950</v>
      </c>
      <c r="I31" s="98">
        <f t="shared" si="19"/>
        <v>0</v>
      </c>
      <c r="J31" s="98">
        <f t="shared" si="19"/>
        <v>0</v>
      </c>
      <c r="K31" s="98">
        <f t="shared" si="19"/>
        <v>0</v>
      </c>
      <c r="L31" s="98">
        <f t="shared" si="19"/>
        <v>0</v>
      </c>
      <c r="M31" s="98">
        <f t="shared" si="19"/>
        <v>0</v>
      </c>
      <c r="N31" s="98">
        <f t="shared" si="19"/>
        <v>0</v>
      </c>
      <c r="O31" s="98">
        <f t="shared" si="19"/>
        <v>0</v>
      </c>
      <c r="P31" s="98">
        <f t="shared" si="19"/>
        <v>0</v>
      </c>
      <c r="Q31" s="98">
        <f t="shared" si="19"/>
        <v>10000</v>
      </c>
      <c r="R31" s="98">
        <f>R29-R30</f>
        <v>1070</v>
      </c>
      <c r="S31" s="98">
        <f t="shared" si="19"/>
        <v>0</v>
      </c>
      <c r="Y31" s="80" t="s">
        <v>90</v>
      </c>
      <c r="Z31" s="90">
        <f t="shared" si="12"/>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0" customFormat="1" ht="18.75" x14ac:dyDescent="0.3">
      <c r="A33" s="321"/>
      <c r="B33" s="321"/>
      <c r="C33" s="322" t="s">
        <v>100</v>
      </c>
      <c r="D33" s="158">
        <v>21</v>
      </c>
      <c r="E33" s="158">
        <v>21</v>
      </c>
      <c r="F33" s="158">
        <v>21</v>
      </c>
      <c r="G33" s="158">
        <v>21</v>
      </c>
      <c r="H33" s="158">
        <v>21</v>
      </c>
      <c r="I33" s="158">
        <v>21</v>
      </c>
      <c r="J33" s="158">
        <v>21</v>
      </c>
      <c r="K33" s="158">
        <v>21</v>
      </c>
      <c r="L33" s="158">
        <v>21</v>
      </c>
      <c r="M33" s="158"/>
      <c r="N33" s="158"/>
      <c r="O33" s="158">
        <v>21</v>
      </c>
      <c r="P33" s="158">
        <v>21</v>
      </c>
      <c r="Q33" s="158"/>
      <c r="R33" s="158"/>
      <c r="S33" s="158"/>
      <c r="Z33" s="323"/>
    </row>
    <row r="34" spans="1:26" s="58" customFormat="1" ht="18.75" x14ac:dyDescent="0.3">
      <c r="A34" s="57"/>
      <c r="B34" s="626" t="s">
        <v>368</v>
      </c>
      <c r="C34" s="157" t="s">
        <v>176</v>
      </c>
      <c r="D34" s="158">
        <v>673620</v>
      </c>
      <c r="E34" s="158">
        <v>698670</v>
      </c>
      <c r="F34" s="158">
        <v>728380</v>
      </c>
      <c r="G34" s="158">
        <v>752930</v>
      </c>
      <c r="H34" s="158">
        <v>761180</v>
      </c>
      <c r="I34" s="158">
        <v>727290</v>
      </c>
      <c r="J34" s="158">
        <v>711460</v>
      </c>
      <c r="K34" s="158">
        <v>726460</v>
      </c>
      <c r="L34" s="158">
        <v>768240</v>
      </c>
      <c r="M34" s="158"/>
      <c r="N34" s="158"/>
      <c r="O34" s="158">
        <v>784050</v>
      </c>
      <c r="P34" s="158">
        <v>812370</v>
      </c>
      <c r="Q34" s="158"/>
      <c r="R34" s="158"/>
      <c r="S34" s="158"/>
      <c r="Y34" s="627">
        <f>C23</f>
        <v>5755973</v>
      </c>
      <c r="Z34" s="628"/>
    </row>
    <row r="35" spans="1:26" x14ac:dyDescent="0.25">
      <c r="A35" s="57"/>
      <c r="B35" s="626"/>
      <c r="C35" s="157" t="s">
        <v>103</v>
      </c>
      <c r="D35" s="158">
        <v>72010</v>
      </c>
      <c r="E35" s="158">
        <v>72010</v>
      </c>
      <c r="F35" s="158">
        <v>72010</v>
      </c>
      <c r="G35" s="158">
        <v>73470</v>
      </c>
      <c r="H35" s="158">
        <v>75730</v>
      </c>
      <c r="I35" s="158">
        <v>76830</v>
      </c>
      <c r="J35" s="158">
        <v>76830</v>
      </c>
      <c r="K35" s="158">
        <v>76950</v>
      </c>
      <c r="L35" s="158">
        <v>80510</v>
      </c>
      <c r="M35" s="158"/>
      <c r="N35" s="158"/>
      <c r="O35" s="158">
        <v>83570</v>
      </c>
      <c r="P35" s="158">
        <v>83730</v>
      </c>
      <c r="Q35" s="158"/>
      <c r="R35" s="158"/>
      <c r="S35" s="158"/>
    </row>
    <row r="36" spans="1:26" x14ac:dyDescent="0.25">
      <c r="A36" s="57"/>
      <c r="B36" s="626"/>
      <c r="C36" s="157" t="s">
        <v>509</v>
      </c>
      <c r="D36" s="158">
        <v>584220</v>
      </c>
      <c r="E36" s="158">
        <v>607650</v>
      </c>
      <c r="F36" s="158">
        <v>635930</v>
      </c>
      <c r="G36" s="158">
        <v>660070</v>
      </c>
      <c r="H36" s="158">
        <v>672550</v>
      </c>
      <c r="I36" s="158">
        <v>638100</v>
      </c>
      <c r="J36" s="158">
        <v>622650</v>
      </c>
      <c r="K36" s="158">
        <v>637630</v>
      </c>
      <c r="L36" s="158">
        <v>678930</v>
      </c>
      <c r="M36" s="158"/>
      <c r="N36" s="158"/>
      <c r="O36" s="158">
        <v>689960</v>
      </c>
      <c r="P36" s="158">
        <v>716490</v>
      </c>
      <c r="Q36" s="158"/>
      <c r="R36" s="158"/>
      <c r="S36" s="158"/>
    </row>
    <row r="37" spans="1:26" x14ac:dyDescent="0.25">
      <c r="A37" s="57"/>
      <c r="B37" s="626"/>
      <c r="C37" s="157" t="s">
        <v>510</v>
      </c>
      <c r="D37" s="158">
        <v>58710</v>
      </c>
      <c r="E37" s="158">
        <v>58710</v>
      </c>
      <c r="F37" s="158">
        <v>57610</v>
      </c>
      <c r="G37" s="158">
        <v>60170</v>
      </c>
      <c r="H37" s="158">
        <v>62570</v>
      </c>
      <c r="I37" s="158">
        <v>63670</v>
      </c>
      <c r="J37" s="158">
        <v>63670</v>
      </c>
      <c r="K37" s="158">
        <v>63670</v>
      </c>
      <c r="L37" s="158">
        <v>67170</v>
      </c>
      <c r="M37" s="158"/>
      <c r="N37" s="158"/>
      <c r="O37" s="158">
        <v>65690</v>
      </c>
      <c r="P37" s="158">
        <v>65690</v>
      </c>
      <c r="Q37" s="158"/>
      <c r="R37" s="158"/>
      <c r="S37" s="158"/>
    </row>
    <row r="38" spans="1:26" x14ac:dyDescent="0.25">
      <c r="A38" s="57"/>
      <c r="B38" s="626"/>
      <c r="C38" s="157" t="s">
        <v>511</v>
      </c>
      <c r="D38" s="159" t="s">
        <v>515</v>
      </c>
      <c r="E38" s="159" t="s">
        <v>524</v>
      </c>
      <c r="F38" s="159" t="s">
        <v>552</v>
      </c>
      <c r="G38" s="159" t="s">
        <v>553</v>
      </c>
      <c r="H38" s="159" t="s">
        <v>555</v>
      </c>
      <c r="I38" s="159" t="s">
        <v>557</v>
      </c>
      <c r="J38" s="159" t="s">
        <v>576</v>
      </c>
      <c r="K38" s="159" t="s">
        <v>577</v>
      </c>
      <c r="L38" s="159" t="s">
        <v>499</v>
      </c>
      <c r="M38" s="159"/>
      <c r="N38" s="159"/>
      <c r="O38" s="159" t="s">
        <v>606</v>
      </c>
      <c r="P38" s="159" t="s">
        <v>607</v>
      </c>
      <c r="Q38" s="159"/>
      <c r="R38" s="159"/>
      <c r="S38" s="159"/>
    </row>
    <row r="39" spans="1:26" x14ac:dyDescent="0.25">
      <c r="A39" s="57"/>
      <c r="B39" s="626"/>
      <c r="C39" s="157" t="s">
        <v>512</v>
      </c>
      <c r="D39" s="160">
        <v>6.5</v>
      </c>
      <c r="E39" s="160">
        <v>6.75</v>
      </c>
      <c r="F39" s="160">
        <v>6.75</v>
      </c>
      <c r="G39" s="160">
        <v>6.75</v>
      </c>
      <c r="H39" s="160">
        <v>7</v>
      </c>
      <c r="I39" s="160">
        <v>7</v>
      </c>
      <c r="J39" s="160">
        <v>7</v>
      </c>
      <c r="K39" s="160">
        <v>7</v>
      </c>
      <c r="L39" s="160">
        <v>7</v>
      </c>
      <c r="M39" s="160"/>
      <c r="N39" s="160"/>
      <c r="O39" s="160">
        <v>7</v>
      </c>
      <c r="P39" s="160">
        <v>7</v>
      </c>
      <c r="Q39" s="160"/>
      <c r="R39" s="160"/>
      <c r="S39" s="160"/>
    </row>
    <row r="40" spans="1:26" x14ac:dyDescent="0.25">
      <c r="B40" s="626"/>
      <c r="C40" s="157" t="s">
        <v>513</v>
      </c>
      <c r="D40" s="160">
        <v>6.25</v>
      </c>
      <c r="E40" s="160">
        <v>6.25</v>
      </c>
      <c r="F40" s="160">
        <v>6.5</v>
      </c>
      <c r="G40" s="160">
        <v>6.25</v>
      </c>
      <c r="H40" s="160">
        <v>6.25</v>
      </c>
      <c r="I40" s="160">
        <v>6.25</v>
      </c>
      <c r="J40" s="160">
        <v>6</v>
      </c>
      <c r="K40" s="160">
        <v>6.25</v>
      </c>
      <c r="L40" s="160">
        <v>6.25</v>
      </c>
      <c r="M40" s="160"/>
      <c r="N40" s="160"/>
      <c r="O40" s="160">
        <v>6</v>
      </c>
      <c r="P40" s="160">
        <v>6</v>
      </c>
      <c r="Q40" s="160"/>
      <c r="R40" s="160"/>
      <c r="S40" s="160"/>
    </row>
    <row r="41" spans="1:26" x14ac:dyDescent="0.25">
      <c r="B41" s="626"/>
      <c r="C41" s="157" t="s">
        <v>514</v>
      </c>
      <c r="D41" s="160">
        <v>4.5</v>
      </c>
      <c r="E41" s="160">
        <v>4.5</v>
      </c>
      <c r="F41" s="160">
        <v>4.75</v>
      </c>
      <c r="G41" s="160">
        <v>4.75</v>
      </c>
      <c r="H41" s="160">
        <v>4.75</v>
      </c>
      <c r="I41" s="160">
        <v>5</v>
      </c>
      <c r="J41" s="160">
        <v>5</v>
      </c>
      <c r="K41" s="160">
        <v>5</v>
      </c>
      <c r="L41" s="160">
        <v>4.75</v>
      </c>
      <c r="M41" s="160"/>
      <c r="N41" s="160"/>
      <c r="O41" s="160">
        <v>4.75</v>
      </c>
      <c r="P41" s="160">
        <v>4.75</v>
      </c>
      <c r="Q41" s="160"/>
      <c r="R41" s="160"/>
      <c r="S41" s="160"/>
    </row>
    <row r="42" spans="1:26" ht="15" customHeight="1" x14ac:dyDescent="0.25">
      <c r="C42" s="153" t="s">
        <v>369</v>
      </c>
      <c r="D42" s="256">
        <f>D34/D35</f>
        <v>9.354534092487155</v>
      </c>
      <c r="E42" s="256">
        <f>E34/E35</f>
        <v>9.702402444104985</v>
      </c>
      <c r="F42" s="256">
        <f t="shared" ref="F42:S42" si="20">F34/F35</f>
        <v>10.114984029995833</v>
      </c>
      <c r="G42" s="256">
        <f t="shared" si="20"/>
        <v>10.248128487818157</v>
      </c>
      <c r="H42" s="256">
        <f t="shared" si="20"/>
        <v>10.051234649412386</v>
      </c>
      <c r="I42" s="256">
        <f t="shared" si="20"/>
        <v>9.4662241311987501</v>
      </c>
      <c r="J42" s="256">
        <f t="shared" si="20"/>
        <v>9.2601848236365996</v>
      </c>
      <c r="K42" s="256">
        <f t="shared" si="20"/>
        <v>9.4406757634827816</v>
      </c>
      <c r="L42" s="256">
        <f t="shared" si="20"/>
        <v>9.5421686746987948</v>
      </c>
      <c r="M42" s="256" t="e">
        <f t="shared" si="20"/>
        <v>#DIV/0!</v>
      </c>
      <c r="N42" s="256" t="e">
        <f t="shared" si="20"/>
        <v>#DIV/0!</v>
      </c>
      <c r="O42" s="256">
        <f t="shared" si="20"/>
        <v>9.3819552470982401</v>
      </c>
      <c r="P42" s="256">
        <f t="shared" si="20"/>
        <v>9.7022572554639908</v>
      </c>
      <c r="Q42" s="256" t="e">
        <f t="shared" si="20"/>
        <v>#DIV/0!</v>
      </c>
      <c r="R42" s="256" t="e">
        <f t="shared" si="20"/>
        <v>#DIV/0!</v>
      </c>
      <c r="S42" s="256" t="e">
        <f t="shared" si="20"/>
        <v>#DIV/0!</v>
      </c>
    </row>
    <row r="43" spans="1:26" ht="15" customHeight="1" x14ac:dyDescent="0.25">
      <c r="D43" s="9"/>
      <c r="E43" s="393"/>
      <c r="G43" s="629"/>
      <c r="H43" s="629"/>
      <c r="I43" s="629"/>
      <c r="J43" s="629"/>
    </row>
    <row r="44" spans="1:26" x14ac:dyDescent="0.25">
      <c r="C44" s="4" t="s">
        <v>401</v>
      </c>
      <c r="D44" s="9">
        <v>85845</v>
      </c>
      <c r="E44" s="298">
        <v>92875</v>
      </c>
      <c r="F44" s="219">
        <v>97870</v>
      </c>
      <c r="G44" s="394">
        <v>101200</v>
      </c>
      <c r="H44" s="394">
        <v>103420</v>
      </c>
      <c r="I44" s="394">
        <v>104900</v>
      </c>
      <c r="J44" s="394">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35"/>
      <c r="F46" s="335"/>
      <c r="G46" s="335"/>
      <c r="H46" s="335"/>
      <c r="I46" s="335"/>
      <c r="J46" s="335"/>
      <c r="K46" s="335"/>
      <c r="L46" s="335"/>
      <c r="M46" s="335"/>
      <c r="N46" s="335"/>
      <c r="O46" s="335"/>
      <c r="P46" s="335"/>
    </row>
    <row r="47" spans="1:26" x14ac:dyDescent="0.25">
      <c r="D47" s="324"/>
      <c r="G47" s="52"/>
      <c r="H47" s="52"/>
      <c r="I47" s="52"/>
      <c r="J47" s="52"/>
      <c r="K47" s="52"/>
      <c r="L47" s="52"/>
      <c r="M47" s="52"/>
      <c r="N47" s="52"/>
      <c r="O47" s="52"/>
      <c r="P47" s="52"/>
      <c r="Q47" s="52"/>
      <c r="R47" s="52"/>
      <c r="S47" s="52"/>
    </row>
    <row r="48" spans="1:26" x14ac:dyDescent="0.25">
      <c r="G48" s="623"/>
      <c r="H48" s="623"/>
      <c r="I48" s="623"/>
      <c r="J48" s="623"/>
      <c r="M48" s="329"/>
    </row>
    <row r="49" spans="5:16" x14ac:dyDescent="0.25">
      <c r="E49" s="102"/>
      <c r="G49" s="394"/>
      <c r="H49" s="394"/>
      <c r="I49" s="394"/>
      <c r="J49" s="394"/>
    </row>
    <row r="50" spans="5:16" x14ac:dyDescent="0.25">
      <c r="G50" s="623"/>
      <c r="H50" s="623"/>
      <c r="I50" s="623"/>
      <c r="J50" s="623"/>
      <c r="P50" s="329"/>
    </row>
    <row r="51" spans="5:16" ht="15" customHeight="1" x14ac:dyDescent="0.25">
      <c r="G51" s="623"/>
      <c r="H51" s="623"/>
      <c r="I51" s="623"/>
      <c r="J51" s="101"/>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5" t="s">
        <v>500</v>
      </c>
      <c r="C2" s="636"/>
      <c r="D2" s="636"/>
      <c r="E2" s="636"/>
      <c r="F2" s="636"/>
      <c r="G2" s="637"/>
      <c r="I2" s="638" t="s">
        <v>501</v>
      </c>
      <c r="J2" s="639"/>
      <c r="K2" s="639"/>
      <c r="L2" s="639"/>
      <c r="M2" s="639"/>
      <c r="N2" s="639"/>
      <c r="O2" s="639"/>
      <c r="P2" s="639"/>
      <c r="Q2" s="639"/>
      <c r="R2" s="639"/>
      <c r="S2" s="640"/>
    </row>
    <row r="3" spans="2:19" x14ac:dyDescent="0.25">
      <c r="B3" s="641" t="s">
        <v>101</v>
      </c>
      <c r="C3" s="642"/>
      <c r="D3" s="642"/>
      <c r="E3" s="642"/>
      <c r="F3" s="642"/>
      <c r="G3" s="643"/>
      <c r="I3" s="103" t="s">
        <v>102</v>
      </c>
      <c r="J3" s="48" t="s">
        <v>100</v>
      </c>
      <c r="K3" s="48" t="s">
        <v>88</v>
      </c>
      <c r="L3" s="48" t="s">
        <v>103</v>
      </c>
      <c r="M3" s="48" t="s">
        <v>104</v>
      </c>
      <c r="N3" s="48" t="s">
        <v>105</v>
      </c>
      <c r="O3" s="48" t="s">
        <v>106</v>
      </c>
      <c r="P3" s="48" t="s">
        <v>107</v>
      </c>
      <c r="Q3" s="396" t="s">
        <v>108</v>
      </c>
      <c r="R3" s="104" t="s">
        <v>109</v>
      </c>
      <c r="S3" s="104" t="s">
        <v>110</v>
      </c>
    </row>
    <row r="4" spans="2:19" ht="18.75" x14ac:dyDescent="0.3">
      <c r="B4" s="644" t="s">
        <v>111</v>
      </c>
      <c r="C4" s="645"/>
      <c r="D4" s="105"/>
      <c r="E4" s="646" t="s">
        <v>112</v>
      </c>
      <c r="F4" s="647"/>
      <c r="G4" s="105"/>
      <c r="I4" s="338" t="s">
        <v>113</v>
      </c>
      <c r="J4" s="339" t="s">
        <v>440</v>
      </c>
      <c r="K4" s="338">
        <f>1052640+300</f>
        <v>1052940</v>
      </c>
      <c r="L4" s="338">
        <v>0</v>
      </c>
      <c r="M4" s="338">
        <v>0</v>
      </c>
      <c r="N4" s="338">
        <v>0</v>
      </c>
      <c r="O4" s="340">
        <v>-1052940</v>
      </c>
      <c r="P4" s="340">
        <v>0</v>
      </c>
      <c r="Q4" s="341"/>
      <c r="R4" s="342"/>
      <c r="S4" s="342">
        <v>42305</v>
      </c>
    </row>
    <row r="5" spans="2:19" x14ac:dyDescent="0.25">
      <c r="B5" s="109"/>
      <c r="C5" s="110"/>
      <c r="D5" s="183"/>
      <c r="E5" s="109"/>
      <c r="F5" s="110"/>
      <c r="G5" s="111"/>
      <c r="I5" s="338" t="s">
        <v>405</v>
      </c>
      <c r="J5" s="339" t="s">
        <v>554</v>
      </c>
      <c r="K5" s="338">
        <v>0</v>
      </c>
      <c r="L5" s="338">
        <v>0</v>
      </c>
      <c r="M5" s="338">
        <v>500000</v>
      </c>
      <c r="N5" s="338">
        <f>M5*0.05</f>
        <v>25000</v>
      </c>
      <c r="O5" s="340">
        <f t="shared" ref="O5" si="0">IF(M5=0,0,M5-K5)-N5</f>
        <v>475000</v>
      </c>
      <c r="P5" s="340">
        <f t="shared" ref="P5" si="1">IF(M5=0,K5,0)</f>
        <v>0</v>
      </c>
      <c r="Q5" s="341"/>
      <c r="R5" s="342"/>
      <c r="S5" s="342">
        <v>42322</v>
      </c>
    </row>
    <row r="6" spans="2:19" x14ac:dyDescent="0.25">
      <c r="B6" s="112" t="s">
        <v>114</v>
      </c>
      <c r="C6" s="113" t="e">
        <f>SUM(C7:C9)</f>
        <v>#REF!</v>
      </c>
      <c r="D6" s="133" t="e">
        <f>C6/C30</f>
        <v>#REF!</v>
      </c>
      <c r="E6" s="112" t="s">
        <v>115</v>
      </c>
      <c r="F6" s="113" t="e">
        <f>F7+F8+F9</f>
        <v>#REF!</v>
      </c>
      <c r="G6" s="114" t="e">
        <f>F6/$F$30</f>
        <v>#REF!</v>
      </c>
      <c r="I6" s="338" t="s">
        <v>405</v>
      </c>
      <c r="J6" s="339" t="s">
        <v>445</v>
      </c>
      <c r="K6" s="338">
        <v>0</v>
      </c>
      <c r="L6" s="338">
        <v>0</v>
      </c>
      <c r="M6" s="338">
        <v>1000</v>
      </c>
      <c r="N6" s="338">
        <f>M6*0.05</f>
        <v>50</v>
      </c>
      <c r="O6" s="340">
        <f t="shared" ref="O6" si="2">IF(M6=0,0,M6-K6)-N6</f>
        <v>950</v>
      </c>
      <c r="P6" s="340">
        <f t="shared" ref="P6" si="3">IF(M6=0,K6,0)</f>
        <v>0</v>
      </c>
      <c r="Q6" s="341"/>
      <c r="R6" s="342"/>
      <c r="S6" s="342">
        <v>42330</v>
      </c>
    </row>
    <row r="7" spans="2:19" x14ac:dyDescent="0.25">
      <c r="B7" s="115" t="s">
        <v>84</v>
      </c>
      <c r="C7" s="116" t="e">
        <f>#REF!+EconomiaT48!C16</f>
        <v>#REF!</v>
      </c>
      <c r="D7" s="184" t="e">
        <f>C7/C30</f>
        <v>#REF!</v>
      </c>
      <c r="E7" s="185" t="s">
        <v>116</v>
      </c>
      <c r="F7" s="186">
        <v>300000</v>
      </c>
      <c r="G7" s="117" t="e">
        <f>F7/$F$30</f>
        <v>#REF!</v>
      </c>
      <c r="I7" s="338" t="s">
        <v>405</v>
      </c>
      <c r="J7" s="339" t="s">
        <v>608</v>
      </c>
      <c r="K7" s="338">
        <v>0</v>
      </c>
      <c r="L7" s="338">
        <v>0</v>
      </c>
      <c r="M7" s="338">
        <v>1000</v>
      </c>
      <c r="N7" s="338">
        <f>M7*0.05</f>
        <v>50</v>
      </c>
      <c r="O7" s="340">
        <f t="shared" ref="O7" si="4">IF(M7=0,0,M7-K7)-N7</f>
        <v>950</v>
      </c>
      <c r="P7" s="340">
        <f t="shared" ref="P7" si="5">IF(M7=0,K7,0)</f>
        <v>0</v>
      </c>
      <c r="Q7" s="341"/>
      <c r="R7" s="342"/>
      <c r="S7" s="342">
        <v>42404</v>
      </c>
    </row>
    <row r="8" spans="2:19" x14ac:dyDescent="0.25">
      <c r="B8" s="115" t="s">
        <v>67</v>
      </c>
      <c r="C8" s="116" t="e">
        <f>#REF!+EconomiaT48!C20</f>
        <v>#REF!</v>
      </c>
      <c r="D8" s="184" t="e">
        <f>C8/C30</f>
        <v>#REF!</v>
      </c>
      <c r="E8" s="185" t="s">
        <v>237</v>
      </c>
      <c r="F8" s="186" t="e">
        <f>#REF!+#REF!</f>
        <v>#REF!</v>
      </c>
      <c r="G8" s="117" t="e">
        <f>F8/$F$30</f>
        <v>#REF!</v>
      </c>
      <c r="I8" s="399"/>
      <c r="J8" s="399"/>
      <c r="K8" s="399"/>
      <c r="L8" s="399"/>
      <c r="M8" s="399"/>
      <c r="N8" s="399"/>
      <c r="O8" s="399"/>
      <c r="P8" s="399"/>
      <c r="Q8" s="399"/>
      <c r="R8" s="399"/>
      <c r="S8" s="399"/>
    </row>
    <row r="9" spans="2:19" x14ac:dyDescent="0.25">
      <c r="B9" s="118" t="s">
        <v>117</v>
      </c>
      <c r="C9" s="119">
        <v>-2068800</v>
      </c>
      <c r="D9" s="184" t="e">
        <f>C9/C30</f>
        <v>#REF!</v>
      </c>
      <c r="E9" s="185" t="s">
        <v>502</v>
      </c>
      <c r="F9" s="186" t="e">
        <f>#REF!-#REF!+#REF!</f>
        <v>#REF!</v>
      </c>
      <c r="G9" s="117" t="e">
        <f>F9/$F$30</f>
        <v>#REF!</v>
      </c>
      <c r="I9" s="399"/>
      <c r="J9" s="399"/>
      <c r="K9" s="399"/>
      <c r="L9" s="399"/>
      <c r="M9" s="399"/>
      <c r="N9" s="399"/>
      <c r="O9" s="399"/>
      <c r="P9" s="399"/>
      <c r="Q9" s="399"/>
      <c r="R9" s="399"/>
      <c r="S9" s="399"/>
    </row>
    <row r="10" spans="2:19" x14ac:dyDescent="0.25">
      <c r="B10" s="120"/>
      <c r="C10" s="121"/>
      <c r="D10" s="133"/>
      <c r="E10" s="187"/>
      <c r="F10" s="121"/>
      <c r="G10" s="114"/>
      <c r="I10" s="399"/>
      <c r="J10" s="399"/>
      <c r="K10" s="399"/>
      <c r="L10" s="399"/>
      <c r="M10" s="399"/>
      <c r="N10" s="399"/>
      <c r="O10" s="399"/>
      <c r="P10" s="399"/>
      <c r="Q10" s="399"/>
      <c r="R10" s="399"/>
      <c r="S10" s="399"/>
    </row>
    <row r="11" spans="2:19" x14ac:dyDescent="0.25">
      <c r="B11" s="112" t="s">
        <v>100</v>
      </c>
      <c r="C11" s="113">
        <f>SUM(C12:C15)</f>
        <v>0</v>
      </c>
      <c r="D11" s="133" t="e">
        <f>C11/C30</f>
        <v>#REF!</v>
      </c>
      <c r="E11" s="112" t="s">
        <v>503</v>
      </c>
      <c r="F11" s="113">
        <f>SUM(F12:F17)+C9</f>
        <v>2458112</v>
      </c>
      <c r="G11" s="114" t="e">
        <f t="shared" ref="G11:G17" si="6">F11/$F$30</f>
        <v>#REF!</v>
      </c>
      <c r="I11" s="399"/>
      <c r="J11" s="399"/>
      <c r="K11" s="399"/>
      <c r="L11" s="399"/>
      <c r="M11" s="399"/>
      <c r="N11" s="399"/>
      <c r="O11" s="399"/>
      <c r="P11" s="399"/>
      <c r="Q11" s="399"/>
      <c r="R11" s="399"/>
      <c r="S11" s="399"/>
    </row>
    <row r="12" spans="2:19" x14ac:dyDescent="0.25">
      <c r="B12" s="122" t="s">
        <v>118</v>
      </c>
      <c r="C12" s="123">
        <f>SUMIF(I4:I516,"S",$P$4:$P$516)</f>
        <v>0</v>
      </c>
      <c r="D12" s="184" t="e">
        <f>C12/C30</f>
        <v>#REF!</v>
      </c>
      <c r="E12" s="49" t="s">
        <v>119</v>
      </c>
      <c r="F12" s="124">
        <f>SUMIF(I4:I516,"J",$O$4:$O$516)</f>
        <v>-1052940</v>
      </c>
      <c r="G12" s="117" t="e">
        <f t="shared" si="6"/>
        <v>#REF!</v>
      </c>
      <c r="I12" s="399"/>
      <c r="J12" s="399"/>
      <c r="K12" s="399"/>
      <c r="L12" s="399"/>
      <c r="M12" s="399"/>
      <c r="N12" s="399"/>
      <c r="O12" s="399"/>
      <c r="P12" s="399"/>
      <c r="Q12" s="399"/>
      <c r="R12" s="399"/>
      <c r="S12" s="399"/>
    </row>
    <row r="13" spans="2:19" x14ac:dyDescent="0.25">
      <c r="B13" s="122" t="s">
        <v>100</v>
      </c>
      <c r="C13" s="123">
        <f>SUMIF(I4:I516,"J",$P$4:$P$516)</f>
        <v>0</v>
      </c>
      <c r="D13" s="184" t="e">
        <f>C13/C30</f>
        <v>#REF!</v>
      </c>
      <c r="E13" s="49" t="s">
        <v>120</v>
      </c>
      <c r="F13" s="124">
        <f>SUMIF(I4:I516,"S",$O$4:$O$516)</f>
        <v>0</v>
      </c>
      <c r="G13" s="117" t="e">
        <f t="shared" si="6"/>
        <v>#REF!</v>
      </c>
      <c r="I13" s="399"/>
      <c r="J13" s="399"/>
      <c r="K13" s="399"/>
      <c r="L13" s="399"/>
      <c r="M13" s="399"/>
      <c r="N13" s="399"/>
      <c r="O13" s="399"/>
      <c r="P13" s="399"/>
      <c r="Q13" s="399"/>
      <c r="R13" s="399"/>
      <c r="S13" s="399"/>
    </row>
    <row r="14" spans="2:19" x14ac:dyDescent="0.25">
      <c r="B14" s="122" t="s">
        <v>99</v>
      </c>
      <c r="C14" s="123">
        <f>SUMIF(I4:I516,"E",$P$4:$P$516)</f>
        <v>0</v>
      </c>
      <c r="D14" s="184" t="e">
        <f>C14/C30</f>
        <v>#REF!</v>
      </c>
      <c r="E14" s="49" t="s">
        <v>121</v>
      </c>
      <c r="F14" s="124">
        <f>SUMIF(I4:I516,"C",$O$4:$O$516)</f>
        <v>476900</v>
      </c>
      <c r="G14" s="117" t="e">
        <f t="shared" si="6"/>
        <v>#REF!</v>
      </c>
      <c r="I14" s="399"/>
      <c r="J14" s="399"/>
      <c r="K14" s="399"/>
      <c r="L14" s="399"/>
      <c r="M14" s="399"/>
      <c r="N14" s="399"/>
      <c r="O14" s="399"/>
      <c r="P14" s="399"/>
      <c r="Q14" s="399"/>
      <c r="R14" s="399"/>
      <c r="S14" s="399"/>
    </row>
    <row r="15" spans="2:19" x14ac:dyDescent="0.25">
      <c r="B15" s="122" t="s">
        <v>122</v>
      </c>
      <c r="C15" s="123">
        <f>SUMIF(I4:I516,"M",$P$4:$P$516)</f>
        <v>0</v>
      </c>
      <c r="D15" s="184" t="e">
        <f>C15/C30</f>
        <v>#REF!</v>
      </c>
      <c r="E15" s="49" t="s">
        <v>123</v>
      </c>
      <c r="F15" s="124">
        <f>SUMIF(I4:I516,"E",$O$4:$O$516)</f>
        <v>0</v>
      </c>
      <c r="G15" s="117" t="e">
        <f t="shared" si="6"/>
        <v>#REF!</v>
      </c>
      <c r="I15" s="399"/>
      <c r="J15" s="399"/>
      <c r="K15" s="399"/>
      <c r="L15" s="399"/>
      <c r="M15" s="399"/>
      <c r="N15" s="399"/>
      <c r="O15" s="399"/>
      <c r="P15" s="399"/>
      <c r="Q15" s="399"/>
      <c r="R15" s="399"/>
      <c r="S15" s="399"/>
    </row>
    <row r="16" spans="2:19" x14ac:dyDescent="0.25">
      <c r="B16" s="125"/>
      <c r="C16" s="126"/>
      <c r="D16" s="133"/>
      <c r="E16" s="49" t="s">
        <v>124</v>
      </c>
      <c r="F16" s="124">
        <f>SUMIF(I4:I516,"M",$O$4:$O$516)</f>
        <v>0</v>
      </c>
      <c r="G16" s="117" t="e">
        <f t="shared" si="6"/>
        <v>#REF!</v>
      </c>
      <c r="I16" s="399"/>
      <c r="J16" s="399"/>
      <c r="K16" s="399"/>
      <c r="L16" s="399"/>
      <c r="M16" s="399"/>
      <c r="N16" s="399"/>
      <c r="O16" s="399"/>
      <c r="P16" s="399"/>
      <c r="Q16" s="399"/>
      <c r="R16" s="399"/>
      <c r="S16" s="399"/>
    </row>
    <row r="17" spans="2:11" x14ac:dyDescent="0.25">
      <c r="B17" s="112" t="s">
        <v>74</v>
      </c>
      <c r="C17" s="127">
        <f>C18+C19</f>
        <v>476900</v>
      </c>
      <c r="D17" s="133" t="e">
        <f>C17/C30</f>
        <v>#REF!</v>
      </c>
      <c r="E17" s="128" t="s">
        <v>504</v>
      </c>
      <c r="F17" s="129">
        <f>C23-F23+EconomiaT48!C20</f>
        <v>5102952</v>
      </c>
      <c r="G17" s="117" t="e">
        <f t="shared" si="6"/>
        <v>#REF!</v>
      </c>
      <c r="K17" s="102"/>
    </row>
    <row r="18" spans="2:11" x14ac:dyDescent="0.25">
      <c r="B18" s="122" t="s">
        <v>74</v>
      </c>
      <c r="C18" s="123">
        <f>SUM(M4:M516)</f>
        <v>502000</v>
      </c>
      <c r="D18" s="184" t="e">
        <f>C18/C30</f>
        <v>#REF!</v>
      </c>
      <c r="E18" s="120"/>
      <c r="F18" s="121"/>
      <c r="G18" s="130"/>
    </row>
    <row r="19" spans="2:11" x14ac:dyDescent="0.25">
      <c r="B19" s="118" t="s">
        <v>76</v>
      </c>
      <c r="C19" s="119">
        <f>SUM(N4:N516)*-1</f>
        <v>-25100</v>
      </c>
      <c r="D19" s="184" t="e">
        <f>C19/C30</f>
        <v>#REF!</v>
      </c>
      <c r="E19" s="112" t="s">
        <v>125</v>
      </c>
      <c r="F19" s="127">
        <f>F20+F21</f>
        <v>0</v>
      </c>
      <c r="G19" s="114" t="e">
        <f>F19/$F$30</f>
        <v>#REF!</v>
      </c>
    </row>
    <row r="20" spans="2:11" x14ac:dyDescent="0.25">
      <c r="B20" s="125"/>
      <c r="C20" s="126"/>
      <c r="D20" s="184"/>
      <c r="E20" s="188" t="s">
        <v>88</v>
      </c>
      <c r="F20" s="189">
        <f>EconomiaT48!C19</f>
        <v>0</v>
      </c>
      <c r="G20" s="117" t="e">
        <f>F20/$F$30</f>
        <v>#REF!</v>
      </c>
    </row>
    <row r="21" spans="2:11" x14ac:dyDescent="0.25">
      <c r="B21" s="112" t="s">
        <v>505</v>
      </c>
      <c r="C21" s="113">
        <f>EconomiaT48!C5</f>
        <v>4500000</v>
      </c>
      <c r="D21" s="133" t="e">
        <f>C21/C30</f>
        <v>#REF!</v>
      </c>
      <c r="E21" s="118" t="s">
        <v>126</v>
      </c>
      <c r="F21" s="190">
        <f>SUM(L4:L516)*-1</f>
        <v>0</v>
      </c>
      <c r="G21" s="117" t="e">
        <f>F21/$F$30</f>
        <v>#REF!</v>
      </c>
    </row>
    <row r="22" spans="2:11" x14ac:dyDescent="0.25">
      <c r="B22" s="112"/>
      <c r="C22" s="113"/>
      <c r="D22" s="133"/>
      <c r="E22" s="125"/>
      <c r="F22" s="397"/>
      <c r="G22" s="398"/>
    </row>
    <row r="23" spans="2:11" x14ac:dyDescent="0.25">
      <c r="B23" s="112" t="s">
        <v>127</v>
      </c>
      <c r="C23" s="113">
        <f>SUM(C24:C28)</f>
        <v>6739325</v>
      </c>
      <c r="D23" s="133" t="e">
        <f>C23/C30</f>
        <v>#REF!</v>
      </c>
      <c r="E23" s="112" t="s">
        <v>239</v>
      </c>
      <c r="F23" s="113">
        <f>SUM(F24:F29)</f>
        <v>3696173</v>
      </c>
      <c r="G23" s="114" t="e">
        <f t="shared" ref="G23:G29" si="7">F23/$F$30</f>
        <v>#REF!</v>
      </c>
    </row>
    <row r="24" spans="2:11" x14ac:dyDescent="0.25">
      <c r="B24" s="131" t="s">
        <v>69</v>
      </c>
      <c r="C24" s="132">
        <f>EconomiaT48!C11</f>
        <v>84270</v>
      </c>
      <c r="D24" s="184" t="e">
        <f>C24/C30</f>
        <v>#REF!</v>
      </c>
      <c r="E24" s="188" t="s">
        <v>128</v>
      </c>
      <c r="F24" s="191">
        <f>EconomiaT48!C14</f>
        <v>1266317</v>
      </c>
      <c r="G24" s="117" t="e">
        <f t="shared" si="7"/>
        <v>#REF!</v>
      </c>
    </row>
    <row r="25" spans="2:11" x14ac:dyDescent="0.25">
      <c r="B25" s="131" t="s">
        <v>79</v>
      </c>
      <c r="C25" s="132">
        <f>EconomiaT48!C12</f>
        <v>0</v>
      </c>
      <c r="D25" s="184" t="e">
        <f>C25/C30</f>
        <v>#REF!</v>
      </c>
      <c r="E25" s="188" t="s">
        <v>82</v>
      </c>
      <c r="F25" s="191">
        <f>EconomiaT48!C15</f>
        <v>572416</v>
      </c>
      <c r="G25" s="117" t="e">
        <f t="shared" si="7"/>
        <v>#REF!</v>
      </c>
    </row>
    <row r="26" spans="2:11" x14ac:dyDescent="0.25">
      <c r="B26" s="131" t="s">
        <v>71</v>
      </c>
      <c r="C26" s="132">
        <f>EconomiaT48!C6</f>
        <v>3813690</v>
      </c>
      <c r="D26" s="184" t="e">
        <f>C26/C30</f>
        <v>#REF!</v>
      </c>
      <c r="E26" s="188" t="s">
        <v>85</v>
      </c>
      <c r="F26" s="191">
        <f>EconomiaT48!C17</f>
        <v>1482240</v>
      </c>
      <c r="G26" s="117" t="e">
        <f t="shared" si="7"/>
        <v>#REF!</v>
      </c>
    </row>
    <row r="27" spans="2:11" x14ac:dyDescent="0.25">
      <c r="B27" s="131" t="s">
        <v>72</v>
      </c>
      <c r="C27" s="132">
        <f>EconomiaT48!C7</f>
        <v>2830725</v>
      </c>
      <c r="D27" s="184" t="e">
        <f>C27/C30</f>
        <v>#REF!</v>
      </c>
      <c r="E27" s="188" t="s">
        <v>86</v>
      </c>
      <c r="F27" s="191">
        <f>EconomiaT48!C18</f>
        <v>320000</v>
      </c>
      <c r="G27" s="117" t="e">
        <f t="shared" si="7"/>
        <v>#REF!</v>
      </c>
    </row>
    <row r="28" spans="2:11" x14ac:dyDescent="0.25">
      <c r="B28" s="131" t="s">
        <v>76</v>
      </c>
      <c r="C28" s="132">
        <f>EconomiaT48!C10</f>
        <v>10640</v>
      </c>
      <c r="D28" s="184" t="e">
        <f>C28/C30</f>
        <v>#REF!</v>
      </c>
      <c r="E28" s="188" t="s">
        <v>89</v>
      </c>
      <c r="F28" s="191">
        <f>EconomiaT48!C21</f>
        <v>55200</v>
      </c>
      <c r="G28" s="117" t="e">
        <f t="shared" si="7"/>
        <v>#REF!</v>
      </c>
    </row>
    <row r="29" spans="2:11" x14ac:dyDescent="0.25">
      <c r="B29" s="112"/>
      <c r="C29" s="113"/>
      <c r="D29" s="133"/>
      <c r="E29" s="400" t="s">
        <v>90</v>
      </c>
      <c r="F29" s="401">
        <f>EconomiaT48!C22</f>
        <v>0</v>
      </c>
      <c r="G29" s="402" t="e">
        <f t="shared" si="7"/>
        <v>#REF!</v>
      </c>
    </row>
    <row r="30" spans="2:11" ht="18.75" x14ac:dyDescent="0.3">
      <c r="B30" s="135" t="s">
        <v>27</v>
      </c>
      <c r="C30" s="136" t="e">
        <f>C23+C21+C17+C11+C6</f>
        <v>#REF!</v>
      </c>
      <c r="D30" s="403" t="e">
        <f>C30/C30</f>
        <v>#REF!</v>
      </c>
      <c r="E30" s="135" t="s">
        <v>27</v>
      </c>
      <c r="F30" s="136" t="e">
        <f>F23+F19+F11+F6</f>
        <v>#REF!</v>
      </c>
      <c r="G30" s="134" t="e">
        <f>F30/$F$30</f>
        <v>#REF!</v>
      </c>
      <c r="J30" s="102"/>
    </row>
    <row r="31" spans="2:11" x14ac:dyDescent="0.25">
      <c r="C31" s="102"/>
      <c r="D31" s="404"/>
      <c r="E31" s="405" t="s">
        <v>470</v>
      </c>
      <c r="F31" s="406" t="e">
        <f>F30-C30</f>
        <v>#REF!</v>
      </c>
      <c r="G31" s="102"/>
    </row>
    <row r="32" spans="2:11" x14ac:dyDescent="0.25">
      <c r="C32" s="102"/>
      <c r="D32" s="102"/>
      <c r="F32" s="102"/>
      <c r="G32" s="102"/>
      <c r="H32" s="102"/>
    </row>
    <row r="33" spans="2:7" ht="15.75" x14ac:dyDescent="0.25">
      <c r="B33" s="407" t="s">
        <v>506</v>
      </c>
      <c r="C33" s="408">
        <f>EconomiaT48!C24</f>
        <v>5960252</v>
      </c>
      <c r="D33" s="102"/>
      <c r="E33" s="4" t="s">
        <v>507</v>
      </c>
      <c r="F33" s="98">
        <f>C23-F23</f>
        <v>3043152</v>
      </c>
      <c r="G33" s="98"/>
    </row>
    <row r="34" spans="2:7" x14ac:dyDescent="0.25">
      <c r="C34" s="98">
        <f>C33-C21</f>
        <v>1460252</v>
      </c>
      <c r="D34" s="102"/>
      <c r="F34" s="102"/>
      <c r="G34" s="102"/>
    </row>
    <row r="35" spans="2:7" x14ac:dyDescent="0.25">
      <c r="C35" s="102"/>
      <c r="D35" s="102"/>
      <c r="F35" s="102"/>
      <c r="G35" s="102"/>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EconomiaT48!S25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0" customFormat="1" x14ac:dyDescent="0.25">
      <c r="A3" s="294"/>
      <c r="B3" s="294"/>
      <c r="C3" s="294" t="s">
        <v>483</v>
      </c>
      <c r="D3" s="318" t="s">
        <v>28</v>
      </c>
      <c r="E3" s="318" t="s">
        <v>29</v>
      </c>
      <c r="F3" s="318" t="s">
        <v>30</v>
      </c>
      <c r="G3" s="318" t="s">
        <v>31</v>
      </c>
      <c r="H3" s="318" t="s">
        <v>32</v>
      </c>
      <c r="I3" s="318" t="s">
        <v>33</v>
      </c>
      <c r="J3" s="318" t="s">
        <v>34</v>
      </c>
      <c r="K3" s="318" t="s">
        <v>35</v>
      </c>
      <c r="L3" s="318" t="s">
        <v>36</v>
      </c>
      <c r="M3" s="318" t="s">
        <v>37</v>
      </c>
      <c r="N3" s="318" t="s">
        <v>38</v>
      </c>
      <c r="O3" s="318" t="s">
        <v>39</v>
      </c>
      <c r="P3" s="318" t="s">
        <v>40</v>
      </c>
      <c r="Q3" s="318" t="s">
        <v>41</v>
      </c>
      <c r="R3" s="318" t="s">
        <v>42</v>
      </c>
      <c r="S3" s="319" t="s">
        <v>43</v>
      </c>
    </row>
    <row r="4" spans="1:26" s="58" customFormat="1" x14ac:dyDescent="0.25">
      <c r="A4" s="57"/>
      <c r="B4" s="59"/>
      <c r="C4" s="59" t="s">
        <v>69</v>
      </c>
      <c r="D4" s="60">
        <v>2688</v>
      </c>
      <c r="E4" s="60">
        <f t="shared" ref="E4:S4" si="1">D4+(D11/30)</f>
        <v>2695</v>
      </c>
      <c r="F4" s="60">
        <f t="shared" si="1"/>
        <v>2705</v>
      </c>
      <c r="G4" s="60">
        <f t="shared" si="1"/>
        <v>2715</v>
      </c>
      <c r="H4" s="60">
        <f t="shared" si="1"/>
        <v>2724</v>
      </c>
      <c r="I4" s="60">
        <f t="shared" si="1"/>
        <v>2732</v>
      </c>
      <c r="J4" s="60">
        <v>2691</v>
      </c>
      <c r="K4" s="60">
        <f t="shared" si="1"/>
        <v>2691</v>
      </c>
      <c r="L4" s="60">
        <f t="shared" si="1"/>
        <v>2693</v>
      </c>
      <c r="M4" s="60">
        <f t="shared" si="1"/>
        <v>2697</v>
      </c>
      <c r="N4" s="60">
        <f t="shared" si="1"/>
        <v>2701</v>
      </c>
      <c r="O4" s="60">
        <f t="shared" si="1"/>
        <v>2709</v>
      </c>
      <c r="P4" s="60">
        <f t="shared" si="1"/>
        <v>2717</v>
      </c>
      <c r="Q4" s="60">
        <f t="shared" si="1"/>
        <v>2725</v>
      </c>
      <c r="R4" s="60">
        <f t="shared" si="1"/>
        <v>2727</v>
      </c>
      <c r="S4" s="194">
        <f t="shared" si="1"/>
        <v>2735</v>
      </c>
    </row>
    <row r="5" spans="1:26" s="65" customFormat="1" ht="18.75" x14ac:dyDescent="0.3">
      <c r="A5" s="61" t="s">
        <v>70</v>
      </c>
      <c r="B5" s="61"/>
      <c r="C5" s="62">
        <f>EconomiaT48!C24</f>
        <v>5960252</v>
      </c>
      <c r="D5" s="63">
        <f>C5</f>
        <v>5960252</v>
      </c>
      <c r="E5" s="63">
        <f t="shared" ref="E5:Q5" si="2">D24</f>
        <v>5945691</v>
      </c>
      <c r="F5" s="63">
        <f t="shared" si="2"/>
        <v>5933430</v>
      </c>
      <c r="G5" s="63">
        <f t="shared" si="2"/>
        <v>6555846</v>
      </c>
      <c r="H5" s="63">
        <f t="shared" si="2"/>
        <v>6759848</v>
      </c>
      <c r="I5" s="63">
        <f t="shared" si="2"/>
        <v>7063505</v>
      </c>
      <c r="J5" s="63">
        <f t="shared" si="2"/>
        <v>7369146</v>
      </c>
      <c r="K5" s="63">
        <f t="shared" si="2"/>
        <v>8406316</v>
      </c>
      <c r="L5" s="63">
        <f t="shared" si="2"/>
        <v>-2886284</v>
      </c>
      <c r="M5" s="63">
        <f t="shared" si="2"/>
        <v>-2938428</v>
      </c>
      <c r="N5" s="63">
        <f t="shared" si="2"/>
        <v>-3004760</v>
      </c>
      <c r="O5" s="63">
        <f t="shared" si="2"/>
        <v>-2459220</v>
      </c>
      <c r="P5" s="63">
        <f t="shared" si="2"/>
        <v>-2524014</v>
      </c>
      <c r="Q5" s="63">
        <f t="shared" si="2"/>
        <v>-1979543</v>
      </c>
      <c r="R5" s="63">
        <f>Q24</f>
        <v>-1816624</v>
      </c>
      <c r="S5" s="64">
        <f>R24</f>
        <v>-1341616</v>
      </c>
    </row>
    <row r="6" spans="1:26" x14ac:dyDescent="0.25">
      <c r="A6" s="66" t="s">
        <v>71</v>
      </c>
      <c r="B6" s="66" t="s">
        <v>71</v>
      </c>
      <c r="C6" s="67">
        <f t="shared" ref="C6:C23" si="3">SUM(D6:S6)</f>
        <v>5131192</v>
      </c>
      <c r="D6" s="68">
        <v>34650</v>
      </c>
      <c r="E6" s="68">
        <v>34650</v>
      </c>
      <c r="F6" s="68">
        <f>548210+105927</f>
        <v>654137</v>
      </c>
      <c r="G6" s="68">
        <v>176840</v>
      </c>
      <c r="H6" s="68">
        <f>495849+203995</f>
        <v>699844</v>
      </c>
      <c r="I6" s="68">
        <v>327517</v>
      </c>
      <c r="J6" s="68">
        <v>877381</v>
      </c>
      <c r="K6" s="68">
        <f>381818</f>
        <v>381818</v>
      </c>
      <c r="L6" s="68">
        <v>17243</v>
      </c>
      <c r="M6" s="392">
        <v>21921</v>
      </c>
      <c r="N6" s="392">
        <v>633023</v>
      </c>
      <c r="O6" s="392">
        <v>19414</v>
      </c>
      <c r="P6" s="392">
        <f>609647+15477</f>
        <v>625124</v>
      </c>
      <c r="Q6" s="392">
        <v>18667</v>
      </c>
      <c r="R6" s="392">
        <v>566916</v>
      </c>
      <c r="S6" s="69">
        <v>42047</v>
      </c>
      <c r="Y6" s="66" t="s">
        <v>71</v>
      </c>
      <c r="Z6" s="70">
        <f>C6/$C$13</f>
        <v>0.52962031535536958</v>
      </c>
    </row>
    <row r="7" spans="1:26" x14ac:dyDescent="0.25">
      <c r="A7" s="66" t="s">
        <v>72</v>
      </c>
      <c r="B7" s="66" t="s">
        <v>72</v>
      </c>
      <c r="C7" s="67">
        <f t="shared" si="3"/>
        <v>2970900</v>
      </c>
      <c r="D7" s="71">
        <v>134315</v>
      </c>
      <c r="E7" s="71">
        <v>159845</v>
      </c>
      <c r="F7" s="71">
        <v>175015</v>
      </c>
      <c r="G7" s="71">
        <v>183525</v>
      </c>
      <c r="H7" s="71">
        <f>188150</f>
        <v>188150</v>
      </c>
      <c r="I7" s="71">
        <v>190740</v>
      </c>
      <c r="J7" s="71">
        <v>192035</v>
      </c>
      <c r="K7" s="71">
        <v>192405</v>
      </c>
      <c r="L7" s="71">
        <v>192775</v>
      </c>
      <c r="M7" s="464">
        <v>193050</v>
      </c>
      <c r="N7" s="71">
        <v>193700</v>
      </c>
      <c r="O7" s="71">
        <v>194255</v>
      </c>
      <c r="P7" s="71">
        <v>194810</v>
      </c>
      <c r="Q7" s="71">
        <v>195180</v>
      </c>
      <c r="R7" s="71">
        <v>195365</v>
      </c>
      <c r="S7" s="69">
        <v>195735</v>
      </c>
      <c r="Y7" s="66" t="s">
        <v>72</v>
      </c>
      <c r="Z7" s="70">
        <f t="shared" ref="Z7:Z12" si="4">C7/$C$13</f>
        <v>0.30664395229982966</v>
      </c>
    </row>
    <row r="8" spans="1:26" x14ac:dyDescent="0.25">
      <c r="A8" s="66" t="s">
        <v>73</v>
      </c>
      <c r="B8" s="66" t="s">
        <v>74</v>
      </c>
      <c r="C8" s="67">
        <f t="shared" si="3"/>
        <v>0</v>
      </c>
      <c r="D8" s="68">
        <v>0</v>
      </c>
      <c r="E8" s="68">
        <v>0</v>
      </c>
      <c r="F8" s="68">
        <v>0</v>
      </c>
      <c r="G8" s="68">
        <v>0</v>
      </c>
      <c r="H8" s="68">
        <v>0</v>
      </c>
      <c r="I8" s="68">
        <v>0</v>
      </c>
      <c r="J8" s="68">
        <v>0</v>
      </c>
      <c r="K8" s="68">
        <v>0</v>
      </c>
      <c r="L8" s="68">
        <v>0</v>
      </c>
      <c r="M8" s="388">
        <v>0</v>
      </c>
      <c r="N8" s="68">
        <v>0</v>
      </c>
      <c r="O8" s="68">
        <v>0</v>
      </c>
      <c r="P8" s="68">
        <v>0</v>
      </c>
      <c r="Q8" s="68">
        <v>0</v>
      </c>
      <c r="R8" s="68">
        <v>0</v>
      </c>
      <c r="S8" s="69">
        <v>0</v>
      </c>
      <c r="Y8" s="66" t="s">
        <v>74</v>
      </c>
      <c r="Z8" s="70">
        <f t="shared" si="4"/>
        <v>0</v>
      </c>
    </row>
    <row r="9" spans="1:26" x14ac:dyDescent="0.25">
      <c r="A9" s="66"/>
      <c r="B9" s="66" t="s">
        <v>75</v>
      </c>
      <c r="C9" s="67">
        <f t="shared" si="3"/>
        <v>272556</v>
      </c>
      <c r="D9" s="68">
        <v>0</v>
      </c>
      <c r="E9" s="68">
        <v>0</v>
      </c>
      <c r="F9" s="68">
        <v>0</v>
      </c>
      <c r="G9" s="68">
        <v>0</v>
      </c>
      <c r="H9" s="68">
        <v>0</v>
      </c>
      <c r="I9" s="68">
        <v>0</v>
      </c>
      <c r="J9" s="68">
        <v>0</v>
      </c>
      <c r="K9" s="68">
        <v>67830</v>
      </c>
      <c r="L9" s="68">
        <v>12351</v>
      </c>
      <c r="M9" s="388">
        <v>0</v>
      </c>
      <c r="N9" s="68">
        <v>0</v>
      </c>
      <c r="O9" s="68">
        <v>0</v>
      </c>
      <c r="P9" s="68">
        <v>0</v>
      </c>
      <c r="Q9" s="68">
        <v>192375</v>
      </c>
      <c r="R9" s="68">
        <v>0</v>
      </c>
      <c r="S9" s="69">
        <v>0</v>
      </c>
      <c r="Y9" s="66" t="s">
        <v>75</v>
      </c>
      <c r="Z9" s="70">
        <f t="shared" si="4"/>
        <v>2.8132097702054049E-2</v>
      </c>
    </row>
    <row r="10" spans="1:26" x14ac:dyDescent="0.25">
      <c r="A10" s="66" t="s">
        <v>76</v>
      </c>
      <c r="B10" s="66" t="s">
        <v>76</v>
      </c>
      <c r="C10" s="67">
        <f t="shared" si="3"/>
        <v>120557</v>
      </c>
      <c r="D10" s="71">
        <v>26320</v>
      </c>
      <c r="E10" s="71">
        <v>0</v>
      </c>
      <c r="F10" s="71">
        <v>20</v>
      </c>
      <c r="G10" s="71">
        <v>52163</v>
      </c>
      <c r="H10" s="71">
        <v>3034</v>
      </c>
      <c r="I10" s="71">
        <v>0</v>
      </c>
      <c r="J10" s="71">
        <v>0</v>
      </c>
      <c r="K10" s="71">
        <v>0</v>
      </c>
      <c r="L10" s="71">
        <v>0</v>
      </c>
      <c r="M10" s="389">
        <v>0</v>
      </c>
      <c r="N10" s="71">
        <v>0</v>
      </c>
      <c r="O10" s="71">
        <v>0</v>
      </c>
      <c r="P10" s="71">
        <v>0</v>
      </c>
      <c r="Q10" s="71">
        <v>39020</v>
      </c>
      <c r="R10" s="71">
        <v>0</v>
      </c>
      <c r="S10" s="69">
        <v>0</v>
      </c>
      <c r="Y10" s="66" t="s">
        <v>76</v>
      </c>
      <c r="Z10" s="70">
        <f t="shared" si="4"/>
        <v>1.2443392560305147E-2</v>
      </c>
    </row>
    <row r="11" spans="1:26" x14ac:dyDescent="0.25">
      <c r="A11" s="630" t="s">
        <v>77</v>
      </c>
      <c r="B11" s="66" t="s">
        <v>78</v>
      </c>
      <c r="C11" s="67">
        <f t="shared" si="3"/>
        <v>88230</v>
      </c>
      <c r="D11" s="71">
        <v>210</v>
      </c>
      <c r="E11" s="71">
        <v>300</v>
      </c>
      <c r="F11" s="71">
        <v>300</v>
      </c>
      <c r="G11" s="71">
        <v>270</v>
      </c>
      <c r="H11" s="71">
        <v>240</v>
      </c>
      <c r="I11" s="71">
        <v>120</v>
      </c>
      <c r="J11" s="71">
        <v>0</v>
      </c>
      <c r="K11" s="71">
        <v>60</v>
      </c>
      <c r="L11" s="71">
        <v>120</v>
      </c>
      <c r="M11" s="464">
        <v>120</v>
      </c>
      <c r="N11" s="71">
        <v>240</v>
      </c>
      <c r="O11" s="71">
        <v>240</v>
      </c>
      <c r="P11" s="71">
        <v>240</v>
      </c>
      <c r="Q11" s="71">
        <v>60</v>
      </c>
      <c r="R11" s="71">
        <v>240</v>
      </c>
      <c r="S11" s="69">
        <f>85230+240</f>
        <v>85470</v>
      </c>
      <c r="Y11" s="66" t="s">
        <v>78</v>
      </c>
      <c r="Z11" s="70">
        <f t="shared" si="4"/>
        <v>9.1067339565161966E-3</v>
      </c>
    </row>
    <row r="12" spans="1:26" x14ac:dyDescent="0.25">
      <c r="A12" s="631"/>
      <c r="B12" s="66" t="s">
        <v>79</v>
      </c>
      <c r="C12" s="67">
        <f t="shared" si="3"/>
        <v>1105000</v>
      </c>
      <c r="D12" s="71">
        <v>0</v>
      </c>
      <c r="E12" s="71">
        <v>0</v>
      </c>
      <c r="F12" s="71">
        <v>0</v>
      </c>
      <c r="G12" s="71">
        <v>0</v>
      </c>
      <c r="H12" s="71">
        <v>0</v>
      </c>
      <c r="I12" s="71">
        <v>0</v>
      </c>
      <c r="J12" s="71">
        <v>180000</v>
      </c>
      <c r="K12" s="71">
        <v>0</v>
      </c>
      <c r="L12" s="71">
        <v>0</v>
      </c>
      <c r="M12" s="389">
        <v>0</v>
      </c>
      <c r="N12" s="71">
        <v>0</v>
      </c>
      <c r="O12" s="71">
        <v>0</v>
      </c>
      <c r="P12" s="71">
        <v>0</v>
      </c>
      <c r="Q12" s="71">
        <v>0</v>
      </c>
      <c r="R12" s="71">
        <v>0</v>
      </c>
      <c r="S12" s="69">
        <v>925000</v>
      </c>
      <c r="Y12" s="66" t="s">
        <v>79</v>
      </c>
      <c r="Z12" s="70">
        <f t="shared" si="4"/>
        <v>0.11405350812592539</v>
      </c>
    </row>
    <row r="13" spans="1:26" s="77" customFormat="1" ht="18.75" x14ac:dyDescent="0.3">
      <c r="A13" s="72" t="s">
        <v>80</v>
      </c>
      <c r="B13" s="73"/>
      <c r="C13" s="74">
        <f t="shared" si="3"/>
        <v>9688435</v>
      </c>
      <c r="D13" s="75">
        <f t="shared" ref="D13:H13" si="5">SUM(D6:D12)</f>
        <v>195495</v>
      </c>
      <c r="E13" s="75">
        <f t="shared" si="5"/>
        <v>194795</v>
      </c>
      <c r="F13" s="75">
        <f>F12+F11+F10+F9+F8+F7+F6</f>
        <v>829472</v>
      </c>
      <c r="G13" s="75">
        <f t="shared" si="5"/>
        <v>412798</v>
      </c>
      <c r="H13" s="75">
        <f t="shared" si="5"/>
        <v>891268</v>
      </c>
      <c r="I13" s="75">
        <f t="shared" ref="I13:S13" si="6">SUM(I6:I12)</f>
        <v>518377</v>
      </c>
      <c r="J13" s="75">
        <f t="shared" si="6"/>
        <v>1249416</v>
      </c>
      <c r="K13" s="75">
        <f t="shared" si="6"/>
        <v>642113</v>
      </c>
      <c r="L13" s="75">
        <f t="shared" si="6"/>
        <v>222489</v>
      </c>
      <c r="M13" s="75">
        <f t="shared" si="6"/>
        <v>215091</v>
      </c>
      <c r="N13" s="75">
        <f t="shared" si="6"/>
        <v>826963</v>
      </c>
      <c r="O13" s="75">
        <f t="shared" si="6"/>
        <v>213909</v>
      </c>
      <c r="P13" s="75">
        <f t="shared" si="6"/>
        <v>820174</v>
      </c>
      <c r="Q13" s="75">
        <f t="shared" si="6"/>
        <v>445302</v>
      </c>
      <c r="R13" s="75">
        <f t="shared" si="6"/>
        <v>762521</v>
      </c>
      <c r="S13" s="76">
        <f t="shared" si="6"/>
        <v>1248252</v>
      </c>
      <c r="Z13" s="78">
        <f>SUM(Z6:Z12)</f>
        <v>1</v>
      </c>
    </row>
    <row r="14" spans="1:26" ht="18.75" x14ac:dyDescent="0.3">
      <c r="A14" s="79" t="s">
        <v>81</v>
      </c>
      <c r="B14" s="80" t="str">
        <f>A14</f>
        <v>Sueldos</v>
      </c>
      <c r="C14" s="81">
        <f t="shared" si="3"/>
        <v>1893144</v>
      </c>
      <c r="D14" s="82">
        <v>86000</v>
      </c>
      <c r="E14" s="82">
        <v>86000</v>
      </c>
      <c r="F14" s="82">
        <v>86000</v>
      </c>
      <c r="G14" s="82">
        <v>87740</v>
      </c>
      <c r="H14" s="82">
        <v>89070</v>
      </c>
      <c r="I14" s="82">
        <v>89680</v>
      </c>
      <c r="J14" s="82">
        <v>90190</v>
      </c>
      <c r="K14" s="82">
        <v>90780</v>
      </c>
      <c r="L14" s="82">
        <f>144216-400</f>
        <v>143816</v>
      </c>
      <c r="M14" s="391">
        <v>147606</v>
      </c>
      <c r="N14" s="82">
        <v>147606</v>
      </c>
      <c r="O14" s="82">
        <v>147886</v>
      </c>
      <c r="P14" s="82">
        <f t="shared" ref="M14:S15" si="7">O14</f>
        <v>147886</v>
      </c>
      <c r="Q14" s="82">
        <v>148566</v>
      </c>
      <c r="R14" s="82">
        <v>150696</v>
      </c>
      <c r="S14" s="69">
        <v>153622</v>
      </c>
      <c r="Y14" s="632">
        <f>C13</f>
        <v>9688435</v>
      </c>
      <c r="Z14" s="633"/>
    </row>
    <row r="15" spans="1:26" x14ac:dyDescent="0.25">
      <c r="A15" s="79" t="s">
        <v>82</v>
      </c>
      <c r="B15" s="80" t="str">
        <f>A15</f>
        <v xml:space="preserve">Mantenimiento </v>
      </c>
      <c r="C15" s="81">
        <f t="shared" si="3"/>
        <v>606265</v>
      </c>
      <c r="D15" s="82">
        <v>35776</v>
      </c>
      <c r="E15" s="82">
        <v>35776</v>
      </c>
      <c r="F15" s="82">
        <v>35776</v>
      </c>
      <c r="G15" s="82">
        <v>35776</v>
      </c>
      <c r="H15" s="82">
        <v>35776</v>
      </c>
      <c r="I15" s="82">
        <v>35776</v>
      </c>
      <c r="J15" s="82">
        <v>35776</v>
      </c>
      <c r="K15" s="82">
        <v>39537</v>
      </c>
      <c r="L15" s="82">
        <f>K15</f>
        <v>39537</v>
      </c>
      <c r="M15" s="391">
        <f t="shared" si="7"/>
        <v>39537</v>
      </c>
      <c r="N15" s="82">
        <f t="shared" si="7"/>
        <v>39537</v>
      </c>
      <c r="O15" s="82">
        <f t="shared" si="7"/>
        <v>39537</v>
      </c>
      <c r="P15" s="82">
        <f t="shared" si="7"/>
        <v>39537</v>
      </c>
      <c r="Q15" s="82">
        <f t="shared" si="7"/>
        <v>39537</v>
      </c>
      <c r="R15" s="82">
        <f t="shared" si="7"/>
        <v>39537</v>
      </c>
      <c r="S15" s="69">
        <f t="shared" si="7"/>
        <v>39537</v>
      </c>
    </row>
    <row r="16" spans="1:26" ht="20.25" customHeight="1" x14ac:dyDescent="0.25">
      <c r="A16" s="79" t="s">
        <v>83</v>
      </c>
      <c r="B16" s="80" t="s">
        <v>84</v>
      </c>
      <c r="C16" s="81">
        <f t="shared" si="3"/>
        <v>374485</v>
      </c>
      <c r="D16" s="82">
        <v>0</v>
      </c>
      <c r="E16" s="82">
        <v>0</v>
      </c>
      <c r="F16" s="82">
        <v>0</v>
      </c>
      <c r="G16" s="82">
        <v>0</v>
      </c>
      <c r="H16" s="82">
        <v>374485</v>
      </c>
      <c r="I16" s="82">
        <v>0</v>
      </c>
      <c r="J16" s="82">
        <v>0</v>
      </c>
      <c r="K16" s="82">
        <v>0</v>
      </c>
      <c r="L16" s="82">
        <v>0</v>
      </c>
      <c r="M16" s="391">
        <v>0</v>
      </c>
      <c r="N16" s="82">
        <v>0</v>
      </c>
      <c r="O16" s="82">
        <v>0</v>
      </c>
      <c r="P16" s="82">
        <v>0</v>
      </c>
      <c r="Q16" s="82">
        <v>0</v>
      </c>
      <c r="R16" s="82">
        <v>0</v>
      </c>
      <c r="S16" s="69">
        <v>0</v>
      </c>
    </row>
    <row r="17" spans="1:26" x14ac:dyDescent="0.25">
      <c r="A17" s="79" t="s">
        <v>85</v>
      </c>
      <c r="B17" s="80" t="str">
        <f>A17</f>
        <v>Empleados</v>
      </c>
      <c r="C17" s="81">
        <f t="shared" si="3"/>
        <v>1044480</v>
      </c>
      <c r="D17" s="82">
        <v>65280</v>
      </c>
      <c r="E17" s="82">
        <v>65280</v>
      </c>
      <c r="F17" s="82">
        <v>65280</v>
      </c>
      <c r="G17" s="82">
        <v>65280</v>
      </c>
      <c r="H17" s="82">
        <v>65280</v>
      </c>
      <c r="I17" s="82">
        <v>65280</v>
      </c>
      <c r="J17" s="82">
        <v>65280</v>
      </c>
      <c r="K17" s="82">
        <v>65280</v>
      </c>
      <c r="L17" s="82">
        <v>65280</v>
      </c>
      <c r="M17" s="391">
        <v>65280</v>
      </c>
      <c r="N17" s="82">
        <v>65280</v>
      </c>
      <c r="O17" s="82">
        <v>65280</v>
      </c>
      <c r="P17" s="82">
        <v>65280</v>
      </c>
      <c r="Q17" s="82">
        <v>65280</v>
      </c>
      <c r="R17" s="82">
        <v>65280</v>
      </c>
      <c r="S17" s="69">
        <v>65280</v>
      </c>
    </row>
    <row r="18" spans="1:26" x14ac:dyDescent="0.25">
      <c r="A18" s="79" t="s">
        <v>86</v>
      </c>
      <c r="B18" s="80" t="str">
        <f>A18</f>
        <v>Juveniles</v>
      </c>
      <c r="C18" s="81">
        <f t="shared" si="3"/>
        <v>320000</v>
      </c>
      <c r="D18" s="82">
        <v>20000</v>
      </c>
      <c r="E18" s="82">
        <v>20000</v>
      </c>
      <c r="F18" s="82">
        <v>20000</v>
      </c>
      <c r="G18" s="82">
        <v>20000</v>
      </c>
      <c r="H18" s="82">
        <v>20000</v>
      </c>
      <c r="I18" s="82">
        <v>20000</v>
      </c>
      <c r="J18" s="82">
        <v>20000</v>
      </c>
      <c r="K18" s="82">
        <v>20000</v>
      </c>
      <c r="L18" s="82">
        <v>20000</v>
      </c>
      <c r="M18" s="391">
        <v>20000</v>
      </c>
      <c r="N18" s="82">
        <v>20000</v>
      </c>
      <c r="O18" s="82">
        <v>20000</v>
      </c>
      <c r="P18" s="82">
        <v>20000</v>
      </c>
      <c r="Q18" s="82">
        <v>20000</v>
      </c>
      <c r="R18" s="82">
        <v>20000</v>
      </c>
      <c r="S18" s="69">
        <v>20000</v>
      </c>
    </row>
    <row r="19" spans="1:26" x14ac:dyDescent="0.25">
      <c r="A19" s="79" t="s">
        <v>87</v>
      </c>
      <c r="B19" s="80" t="s">
        <v>88</v>
      </c>
      <c r="C19" s="81">
        <f t="shared" si="3"/>
        <v>11716116</v>
      </c>
      <c r="D19" s="82">
        <v>0</v>
      </c>
      <c r="E19" s="82">
        <v>0</v>
      </c>
      <c r="F19" s="82">
        <v>0</v>
      </c>
      <c r="G19" s="82">
        <v>0</v>
      </c>
      <c r="H19" s="82">
        <v>0</v>
      </c>
      <c r="I19" s="82">
        <v>0</v>
      </c>
      <c r="J19" s="82">
        <v>0</v>
      </c>
      <c r="K19" s="82">
        <v>11716116</v>
      </c>
      <c r="L19" s="82">
        <v>0</v>
      </c>
      <c r="M19" s="391">
        <v>0</v>
      </c>
      <c r="N19" s="82">
        <v>0</v>
      </c>
      <c r="O19" s="82">
        <v>0</v>
      </c>
      <c r="P19" s="82">
        <v>0</v>
      </c>
      <c r="Q19" s="82">
        <v>0</v>
      </c>
      <c r="R19" s="82">
        <v>0</v>
      </c>
      <c r="S19" s="69">
        <v>0</v>
      </c>
    </row>
    <row r="20" spans="1:26" x14ac:dyDescent="0.25">
      <c r="A20" s="83" t="s">
        <v>77</v>
      </c>
      <c r="B20" s="80" t="s">
        <v>67</v>
      </c>
      <c r="C20" s="81">
        <f t="shared" si="3"/>
        <v>0</v>
      </c>
      <c r="D20" s="82">
        <v>0</v>
      </c>
      <c r="E20" s="82">
        <v>0</v>
      </c>
      <c r="F20" s="82">
        <v>0</v>
      </c>
      <c r="G20" s="82">
        <v>0</v>
      </c>
      <c r="H20" s="82">
        <v>0</v>
      </c>
      <c r="I20" s="82">
        <v>0</v>
      </c>
      <c r="J20" s="82">
        <v>0</v>
      </c>
      <c r="K20" s="82">
        <v>0</v>
      </c>
      <c r="L20" s="82">
        <v>0</v>
      </c>
      <c r="M20" s="391">
        <v>0</v>
      </c>
      <c r="N20" s="82">
        <v>0</v>
      </c>
      <c r="O20" s="82">
        <v>0</v>
      </c>
      <c r="P20" s="82">
        <v>0</v>
      </c>
      <c r="Q20" s="82">
        <v>0</v>
      </c>
      <c r="R20" s="82">
        <v>0</v>
      </c>
      <c r="S20" s="69">
        <v>0</v>
      </c>
    </row>
    <row r="21" spans="1:26" x14ac:dyDescent="0.25">
      <c r="A21" s="83"/>
      <c r="B21" s="80" t="s">
        <v>89</v>
      </c>
      <c r="C21" s="81">
        <f t="shared" si="3"/>
        <v>78000</v>
      </c>
      <c r="D21" s="82">
        <v>3000</v>
      </c>
      <c r="E21" s="82">
        <v>0</v>
      </c>
      <c r="F21" s="82">
        <v>0</v>
      </c>
      <c r="G21" s="82">
        <v>0</v>
      </c>
      <c r="H21" s="82">
        <v>3000</v>
      </c>
      <c r="I21" s="82">
        <v>2000</v>
      </c>
      <c r="J21" s="82">
        <v>1000</v>
      </c>
      <c r="K21" s="82">
        <v>3000</v>
      </c>
      <c r="L21" s="82">
        <v>6000</v>
      </c>
      <c r="M21" s="391">
        <v>9000</v>
      </c>
      <c r="N21" s="82">
        <v>9000</v>
      </c>
      <c r="O21" s="82">
        <v>6000</v>
      </c>
      <c r="P21" s="82">
        <v>3000</v>
      </c>
      <c r="Q21" s="82">
        <v>9000</v>
      </c>
      <c r="R21" s="82">
        <v>12000</v>
      </c>
      <c r="S21" s="69">
        <v>12000</v>
      </c>
    </row>
    <row r="22" spans="1:26" x14ac:dyDescent="0.25">
      <c r="A22" s="79" t="s">
        <v>90</v>
      </c>
      <c r="B22" s="80" t="str">
        <f>A22</f>
        <v>Intereses</v>
      </c>
      <c r="C22" s="81">
        <f t="shared" si="3"/>
        <v>0</v>
      </c>
      <c r="D22" s="82">
        <v>0</v>
      </c>
      <c r="E22" s="82">
        <v>0</v>
      </c>
      <c r="F22" s="82">
        <v>0</v>
      </c>
      <c r="G22" s="82">
        <v>0</v>
      </c>
      <c r="H22" s="82">
        <v>0</v>
      </c>
      <c r="I22" s="82">
        <v>0</v>
      </c>
      <c r="J22" s="82">
        <v>0</v>
      </c>
      <c r="K22" s="82">
        <v>0</v>
      </c>
      <c r="L22" s="82">
        <v>0</v>
      </c>
      <c r="M22" s="391">
        <v>0</v>
      </c>
      <c r="N22" s="82">
        <v>0</v>
      </c>
      <c r="O22" s="82">
        <v>0</v>
      </c>
      <c r="P22" s="82">
        <v>0</v>
      </c>
      <c r="Q22" s="82">
        <v>0</v>
      </c>
      <c r="R22" s="82">
        <v>0</v>
      </c>
      <c r="S22" s="69">
        <v>0</v>
      </c>
    </row>
    <row r="23" spans="1:26" s="89" customFormat="1" ht="18.75" x14ac:dyDescent="0.3">
      <c r="A23" s="84" t="s">
        <v>91</v>
      </c>
      <c r="B23" s="85"/>
      <c r="C23" s="86">
        <f t="shared" si="3"/>
        <v>16032490</v>
      </c>
      <c r="D23" s="87">
        <f t="shared" ref="D23:S23" si="8">SUM(D14:D22)</f>
        <v>210056</v>
      </c>
      <c r="E23" s="87">
        <f t="shared" si="8"/>
        <v>207056</v>
      </c>
      <c r="F23" s="87">
        <f t="shared" si="8"/>
        <v>207056</v>
      </c>
      <c r="G23" s="87">
        <f t="shared" si="8"/>
        <v>208796</v>
      </c>
      <c r="H23" s="87">
        <f t="shared" si="8"/>
        <v>587611</v>
      </c>
      <c r="I23" s="87">
        <f t="shared" si="8"/>
        <v>212736</v>
      </c>
      <c r="J23" s="87">
        <f t="shared" si="8"/>
        <v>212246</v>
      </c>
      <c r="K23" s="87">
        <f t="shared" si="8"/>
        <v>11934713</v>
      </c>
      <c r="L23" s="87">
        <f t="shared" si="8"/>
        <v>274633</v>
      </c>
      <c r="M23" s="87">
        <f t="shared" si="8"/>
        <v>281423</v>
      </c>
      <c r="N23" s="87">
        <f t="shared" si="8"/>
        <v>281423</v>
      </c>
      <c r="O23" s="87">
        <f t="shared" si="8"/>
        <v>278703</v>
      </c>
      <c r="P23" s="87">
        <f t="shared" si="8"/>
        <v>275703</v>
      </c>
      <c r="Q23" s="87">
        <f t="shared" si="8"/>
        <v>282383</v>
      </c>
      <c r="R23" s="87">
        <f t="shared" si="8"/>
        <v>287513</v>
      </c>
      <c r="S23" s="88">
        <f t="shared" si="8"/>
        <v>290439</v>
      </c>
      <c r="Y23" s="80" t="s">
        <v>81</v>
      </c>
      <c r="Z23" s="90">
        <f>C14/$C$23</f>
        <v>0.11808172030670221</v>
      </c>
    </row>
    <row r="24" spans="1:26" s="65" customFormat="1" ht="18.75" x14ac:dyDescent="0.3">
      <c r="A24" s="91" t="s">
        <v>92</v>
      </c>
      <c r="B24" s="91"/>
      <c r="C24" s="63">
        <f>C5+C13-C23</f>
        <v>-383803</v>
      </c>
      <c r="D24" s="63">
        <f t="shared" ref="D24:S24" si="9">D5+D13-D23</f>
        <v>5945691</v>
      </c>
      <c r="E24" s="63">
        <f t="shared" si="9"/>
        <v>5933430</v>
      </c>
      <c r="F24" s="63">
        <f t="shared" si="9"/>
        <v>6555846</v>
      </c>
      <c r="G24" s="63">
        <f t="shared" si="9"/>
        <v>6759848</v>
      </c>
      <c r="H24" s="63">
        <f t="shared" si="9"/>
        <v>7063505</v>
      </c>
      <c r="I24" s="63">
        <f t="shared" si="9"/>
        <v>7369146</v>
      </c>
      <c r="J24" s="63">
        <f t="shared" si="9"/>
        <v>8406316</v>
      </c>
      <c r="K24" s="63">
        <f t="shared" si="9"/>
        <v>-2886284</v>
      </c>
      <c r="L24" s="63">
        <f t="shared" si="9"/>
        <v>-2938428</v>
      </c>
      <c r="M24" s="63">
        <f t="shared" si="9"/>
        <v>-3004760</v>
      </c>
      <c r="N24" s="63">
        <f t="shared" si="9"/>
        <v>-2459220</v>
      </c>
      <c r="O24" s="63">
        <f t="shared" si="9"/>
        <v>-2524014</v>
      </c>
      <c r="P24" s="63">
        <f t="shared" si="9"/>
        <v>-1979543</v>
      </c>
      <c r="Q24" s="63">
        <f t="shared" si="9"/>
        <v>-1816624</v>
      </c>
      <c r="R24" s="63">
        <f t="shared" si="9"/>
        <v>-1341616</v>
      </c>
      <c r="S24" s="64">
        <f t="shared" si="9"/>
        <v>-383803</v>
      </c>
      <c r="Y24" s="80" t="s">
        <v>82</v>
      </c>
      <c r="Z24" s="90">
        <f t="shared" ref="Z24:Z31" si="10">C15/$C$23</f>
        <v>3.7814774872773974E-2</v>
      </c>
    </row>
    <row r="25" spans="1:26" s="53" customFormat="1" x14ac:dyDescent="0.25">
      <c r="A25" s="92"/>
      <c r="B25" s="92"/>
      <c r="C25" s="92"/>
      <c r="D25" s="93" t="e">
        <f>D2+7</f>
        <v>#REF!</v>
      </c>
      <c r="E25" s="93" t="e">
        <f t="shared" ref="E25:S25" si="11">D25+7</f>
        <v>#REF!</v>
      </c>
      <c r="F25" s="93" t="e">
        <f t="shared" si="11"/>
        <v>#REF!</v>
      </c>
      <c r="G25" s="93" t="e">
        <f t="shared" si="11"/>
        <v>#REF!</v>
      </c>
      <c r="H25" s="93" t="e">
        <f t="shared" si="11"/>
        <v>#REF!</v>
      </c>
      <c r="I25" s="93" t="e">
        <f t="shared" si="11"/>
        <v>#REF!</v>
      </c>
      <c r="J25" s="93" t="e">
        <f t="shared" si="11"/>
        <v>#REF!</v>
      </c>
      <c r="K25" s="93" t="e">
        <f t="shared" si="11"/>
        <v>#REF!</v>
      </c>
      <c r="L25" s="93" t="e">
        <f t="shared" si="11"/>
        <v>#REF!</v>
      </c>
      <c r="M25" s="93" t="e">
        <f t="shared" si="11"/>
        <v>#REF!</v>
      </c>
      <c r="N25" s="93" t="e">
        <f t="shared" si="11"/>
        <v>#REF!</v>
      </c>
      <c r="O25" s="93" t="e">
        <f t="shared" si="11"/>
        <v>#REF!</v>
      </c>
      <c r="P25" s="93" t="e">
        <f t="shared" si="11"/>
        <v>#REF!</v>
      </c>
      <c r="Q25" s="93" t="e">
        <f t="shared" si="11"/>
        <v>#REF!</v>
      </c>
      <c r="R25" s="93" t="e">
        <f t="shared" si="11"/>
        <v>#REF!</v>
      </c>
      <c r="S25" s="93" t="e">
        <f t="shared" si="11"/>
        <v>#REF!</v>
      </c>
      <c r="Y25" s="80" t="s">
        <v>84</v>
      </c>
      <c r="Z25" s="90">
        <f t="shared" si="10"/>
        <v>2.3357881402077906E-2</v>
      </c>
    </row>
    <row r="26" spans="1:26" s="53" customFormat="1" x14ac:dyDescent="0.25">
      <c r="A26" s="634" t="s">
        <v>93</v>
      </c>
      <c r="B26" s="634"/>
      <c r="C26" s="94">
        <f>C6+C7+C11</f>
        <v>8190322</v>
      </c>
      <c r="D26" s="94">
        <f t="shared" ref="D26:S26" si="12">D6+D7+D11</f>
        <v>169175</v>
      </c>
      <c r="E26" s="94">
        <f t="shared" si="12"/>
        <v>194795</v>
      </c>
      <c r="F26" s="94">
        <f t="shared" si="12"/>
        <v>829452</v>
      </c>
      <c r="G26" s="94">
        <f t="shared" si="12"/>
        <v>360635</v>
      </c>
      <c r="H26" s="94">
        <f t="shared" si="12"/>
        <v>888234</v>
      </c>
      <c r="I26" s="94">
        <f t="shared" si="12"/>
        <v>518377</v>
      </c>
      <c r="J26" s="94">
        <f t="shared" si="12"/>
        <v>1069416</v>
      </c>
      <c r="K26" s="94">
        <f t="shared" si="12"/>
        <v>574283</v>
      </c>
      <c r="L26" s="94">
        <f t="shared" si="12"/>
        <v>210138</v>
      </c>
      <c r="M26" s="94">
        <f t="shared" si="12"/>
        <v>215091</v>
      </c>
      <c r="N26" s="94">
        <f t="shared" si="12"/>
        <v>826963</v>
      </c>
      <c r="O26" s="94">
        <f t="shared" si="12"/>
        <v>213909</v>
      </c>
      <c r="P26" s="94">
        <f t="shared" si="12"/>
        <v>820174</v>
      </c>
      <c r="Q26" s="94">
        <f t="shared" si="12"/>
        <v>213907</v>
      </c>
      <c r="R26" s="94">
        <f>R6+R7+R11</f>
        <v>762521</v>
      </c>
      <c r="S26" s="94">
        <f t="shared" si="12"/>
        <v>323252</v>
      </c>
      <c r="T26" s="95"/>
      <c r="Y26" s="80" t="s">
        <v>85</v>
      </c>
      <c r="Z26" s="90">
        <f t="shared" si="10"/>
        <v>6.5147709432533563E-2</v>
      </c>
    </row>
    <row r="27" spans="1:26" s="53" customFormat="1" x14ac:dyDescent="0.25">
      <c r="A27" s="624" t="s">
        <v>94</v>
      </c>
      <c r="B27" s="624"/>
      <c r="C27" s="96">
        <f>C14+C15+C17+C18+C21</f>
        <v>3941889</v>
      </c>
      <c r="D27" s="96">
        <f t="shared" ref="D27:S27" si="13">D14+D15+D17+D18+D21</f>
        <v>210056</v>
      </c>
      <c r="E27" s="96">
        <f t="shared" si="13"/>
        <v>207056</v>
      </c>
      <c r="F27" s="96">
        <f t="shared" si="13"/>
        <v>207056</v>
      </c>
      <c r="G27" s="96">
        <f t="shared" si="13"/>
        <v>208796</v>
      </c>
      <c r="H27" s="96">
        <f t="shared" si="13"/>
        <v>213126</v>
      </c>
      <c r="I27" s="96">
        <f t="shared" si="13"/>
        <v>212736</v>
      </c>
      <c r="J27" s="96">
        <f t="shared" si="13"/>
        <v>212246</v>
      </c>
      <c r="K27" s="96">
        <f t="shared" si="13"/>
        <v>218597</v>
      </c>
      <c r="L27" s="96">
        <f t="shared" si="13"/>
        <v>274633</v>
      </c>
      <c r="M27" s="96">
        <f t="shared" si="13"/>
        <v>281423</v>
      </c>
      <c r="N27" s="96">
        <f t="shared" si="13"/>
        <v>281423</v>
      </c>
      <c r="O27" s="96">
        <f t="shared" si="13"/>
        <v>278703</v>
      </c>
      <c r="P27" s="96">
        <f t="shared" si="13"/>
        <v>275703</v>
      </c>
      <c r="Q27" s="96">
        <f t="shared" si="13"/>
        <v>282383</v>
      </c>
      <c r="R27" s="96">
        <f>R14+R15+R17+R18+R21</f>
        <v>287513</v>
      </c>
      <c r="S27" s="96">
        <f t="shared" si="13"/>
        <v>290439</v>
      </c>
      <c r="T27" s="97"/>
      <c r="Y27" s="80" t="s">
        <v>86</v>
      </c>
      <c r="Z27" s="90">
        <f t="shared" si="10"/>
        <v>1.9959469801634058E-2</v>
      </c>
    </row>
    <row r="28" spans="1:26" x14ac:dyDescent="0.25">
      <c r="A28" s="625" t="s">
        <v>95</v>
      </c>
      <c r="B28" s="625"/>
      <c r="C28" s="98">
        <f>C26-C27</f>
        <v>4248433</v>
      </c>
      <c r="D28" s="98">
        <f t="shared" ref="D28:S28" si="14">D26-D27</f>
        <v>-40881</v>
      </c>
      <c r="E28" s="98">
        <f t="shared" si="14"/>
        <v>-12261</v>
      </c>
      <c r="F28" s="98">
        <f t="shared" si="14"/>
        <v>622396</v>
      </c>
      <c r="G28" s="98">
        <f t="shared" si="14"/>
        <v>151839</v>
      </c>
      <c r="H28" s="98">
        <f t="shared" si="14"/>
        <v>675108</v>
      </c>
      <c r="I28" s="98">
        <f t="shared" si="14"/>
        <v>305641</v>
      </c>
      <c r="J28" s="98">
        <f t="shared" si="14"/>
        <v>857170</v>
      </c>
      <c r="K28" s="98">
        <f t="shared" si="14"/>
        <v>355686</v>
      </c>
      <c r="L28" s="98">
        <f t="shared" si="14"/>
        <v>-64495</v>
      </c>
      <c r="M28" s="98">
        <f t="shared" si="14"/>
        <v>-66332</v>
      </c>
      <c r="N28" s="98">
        <f t="shared" si="14"/>
        <v>545540</v>
      </c>
      <c r="O28" s="98">
        <f t="shared" si="14"/>
        <v>-64794</v>
      </c>
      <c r="P28" s="98">
        <f t="shared" si="14"/>
        <v>544471</v>
      </c>
      <c r="Q28" s="98">
        <f t="shared" si="14"/>
        <v>-68476</v>
      </c>
      <c r="R28" s="98">
        <f>R26-R27</f>
        <v>475008</v>
      </c>
      <c r="S28" s="98">
        <f t="shared" si="14"/>
        <v>32813</v>
      </c>
      <c r="T28" s="99"/>
      <c r="Y28" s="80" t="s">
        <v>88</v>
      </c>
      <c r="Z28" s="90">
        <f t="shared" si="10"/>
        <v>0.73077332342013002</v>
      </c>
    </row>
    <row r="29" spans="1:26" x14ac:dyDescent="0.25">
      <c r="A29" s="634" t="s">
        <v>96</v>
      </c>
      <c r="B29" s="634"/>
      <c r="C29" s="94">
        <f>C8+C9+C10+C12</f>
        <v>1498113</v>
      </c>
      <c r="D29" s="94">
        <f t="shared" ref="D29:S29" si="15">D8+D9+D10+D12</f>
        <v>26320</v>
      </c>
      <c r="E29" s="94">
        <f t="shared" si="15"/>
        <v>0</v>
      </c>
      <c r="F29" s="94">
        <f t="shared" si="15"/>
        <v>20</v>
      </c>
      <c r="G29" s="94">
        <f t="shared" si="15"/>
        <v>52163</v>
      </c>
      <c r="H29" s="94">
        <f t="shared" si="15"/>
        <v>3034</v>
      </c>
      <c r="I29" s="94">
        <f t="shared" si="15"/>
        <v>0</v>
      </c>
      <c r="J29" s="94">
        <f t="shared" si="15"/>
        <v>180000</v>
      </c>
      <c r="K29" s="94">
        <f t="shared" si="15"/>
        <v>67830</v>
      </c>
      <c r="L29" s="94">
        <f t="shared" si="15"/>
        <v>12351</v>
      </c>
      <c r="M29" s="94">
        <f t="shared" si="15"/>
        <v>0</v>
      </c>
      <c r="N29" s="94">
        <f t="shared" si="15"/>
        <v>0</v>
      </c>
      <c r="O29" s="94">
        <f t="shared" si="15"/>
        <v>0</v>
      </c>
      <c r="P29" s="94">
        <f t="shared" si="15"/>
        <v>0</v>
      </c>
      <c r="Q29" s="94">
        <f t="shared" si="15"/>
        <v>231395</v>
      </c>
      <c r="R29" s="94">
        <f>R8+R9+R10+R12</f>
        <v>0</v>
      </c>
      <c r="S29" s="94">
        <f t="shared" si="15"/>
        <v>925000</v>
      </c>
      <c r="T29" s="99"/>
      <c r="Y29" s="80" t="s">
        <v>67</v>
      </c>
      <c r="Z29" s="90">
        <f t="shared" si="10"/>
        <v>0</v>
      </c>
    </row>
    <row r="30" spans="1:26" s="58" customFormat="1" x14ac:dyDescent="0.25">
      <c r="A30" s="624" t="s">
        <v>97</v>
      </c>
      <c r="B30" s="624"/>
      <c r="C30" s="96">
        <f>C16+C19+C20+C22</f>
        <v>12090601</v>
      </c>
      <c r="D30" s="96">
        <f t="shared" ref="D30:S30" si="16">D16+D19+D20+D22</f>
        <v>0</v>
      </c>
      <c r="E30" s="96">
        <f t="shared" si="16"/>
        <v>0</v>
      </c>
      <c r="F30" s="96">
        <f t="shared" si="16"/>
        <v>0</v>
      </c>
      <c r="G30" s="96">
        <f t="shared" si="16"/>
        <v>0</v>
      </c>
      <c r="H30" s="96">
        <f t="shared" si="16"/>
        <v>374485</v>
      </c>
      <c r="I30" s="96">
        <f t="shared" si="16"/>
        <v>0</v>
      </c>
      <c r="J30" s="96">
        <f t="shared" si="16"/>
        <v>0</v>
      </c>
      <c r="K30" s="96">
        <f t="shared" si="16"/>
        <v>11716116</v>
      </c>
      <c r="L30" s="96">
        <f t="shared" si="16"/>
        <v>0</v>
      </c>
      <c r="M30" s="96">
        <f t="shared" si="16"/>
        <v>0</v>
      </c>
      <c r="N30" s="96">
        <f t="shared" si="16"/>
        <v>0</v>
      </c>
      <c r="O30" s="96">
        <f t="shared" si="16"/>
        <v>0</v>
      </c>
      <c r="P30" s="96">
        <f t="shared" si="16"/>
        <v>0</v>
      </c>
      <c r="Q30" s="96">
        <f t="shared" si="16"/>
        <v>0</v>
      </c>
      <c r="R30" s="96">
        <f>R16+R19+R20+R22</f>
        <v>0</v>
      </c>
      <c r="S30" s="96">
        <f t="shared" si="16"/>
        <v>0</v>
      </c>
      <c r="Y30" s="80" t="s">
        <v>89</v>
      </c>
      <c r="Z30" s="90">
        <f t="shared" si="10"/>
        <v>4.8651207641483016E-3</v>
      </c>
    </row>
    <row r="31" spans="1:26" s="58" customFormat="1" x14ac:dyDescent="0.25">
      <c r="A31" s="625" t="s">
        <v>98</v>
      </c>
      <c r="B31" s="625"/>
      <c r="C31" s="98">
        <f>C29-C30</f>
        <v>-10592488</v>
      </c>
      <c r="D31" s="98">
        <f t="shared" ref="D31:S31" si="17">D29-D30</f>
        <v>26320</v>
      </c>
      <c r="E31" s="98">
        <f t="shared" si="17"/>
        <v>0</v>
      </c>
      <c r="F31" s="98">
        <f t="shared" si="17"/>
        <v>20</v>
      </c>
      <c r="G31" s="98">
        <f t="shared" si="17"/>
        <v>52163</v>
      </c>
      <c r="H31" s="98">
        <f t="shared" si="17"/>
        <v>-371451</v>
      </c>
      <c r="I31" s="98">
        <f t="shared" si="17"/>
        <v>0</v>
      </c>
      <c r="J31" s="98">
        <f t="shared" si="17"/>
        <v>180000</v>
      </c>
      <c r="K31" s="98">
        <f t="shared" si="17"/>
        <v>-11648286</v>
      </c>
      <c r="L31" s="98">
        <f t="shared" si="17"/>
        <v>12351</v>
      </c>
      <c r="M31" s="98">
        <f t="shared" si="17"/>
        <v>0</v>
      </c>
      <c r="N31" s="98">
        <f t="shared" si="17"/>
        <v>0</v>
      </c>
      <c r="O31" s="98">
        <f t="shared" si="17"/>
        <v>0</v>
      </c>
      <c r="P31" s="98">
        <f t="shared" si="17"/>
        <v>0</v>
      </c>
      <c r="Q31" s="98">
        <f t="shared" si="17"/>
        <v>231395</v>
      </c>
      <c r="R31" s="98">
        <f>R29-R30</f>
        <v>0</v>
      </c>
      <c r="S31" s="98">
        <f t="shared" si="17"/>
        <v>925000</v>
      </c>
      <c r="Y31" s="80" t="s">
        <v>90</v>
      </c>
      <c r="Z31" s="90">
        <f t="shared" si="10"/>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0" customFormat="1" ht="18.75" x14ac:dyDescent="0.3">
      <c r="A33" s="321"/>
      <c r="B33" s="321"/>
      <c r="C33" s="322" t="s">
        <v>100</v>
      </c>
      <c r="D33" s="158">
        <v>21</v>
      </c>
      <c r="E33" s="158">
        <v>21</v>
      </c>
      <c r="F33" s="158">
        <v>21</v>
      </c>
      <c r="G33" s="158"/>
      <c r="H33" s="158">
        <v>21</v>
      </c>
      <c r="I33" s="158"/>
      <c r="J33" s="158">
        <v>22</v>
      </c>
      <c r="K33" s="158">
        <v>22</v>
      </c>
      <c r="L33" s="158">
        <v>22</v>
      </c>
      <c r="M33" s="158"/>
      <c r="N33" s="158"/>
      <c r="O33" s="158">
        <v>21</v>
      </c>
      <c r="P33" s="158">
        <v>21</v>
      </c>
      <c r="Q33" s="158"/>
      <c r="R33" s="158">
        <v>21</v>
      </c>
      <c r="S33" s="158">
        <v>21</v>
      </c>
      <c r="Z33" s="323"/>
    </row>
    <row r="34" spans="1:26" s="58" customFormat="1" ht="18.75" x14ac:dyDescent="0.3">
      <c r="A34" s="57"/>
      <c r="B34" s="626" t="s">
        <v>368</v>
      </c>
      <c r="C34" s="157" t="s">
        <v>176</v>
      </c>
      <c r="D34" s="158">
        <v>822630</v>
      </c>
      <c r="E34" s="158">
        <v>857970</v>
      </c>
      <c r="F34" s="158">
        <v>858890</v>
      </c>
      <c r="G34" s="158"/>
      <c r="H34" s="158">
        <v>924780</v>
      </c>
      <c r="I34" s="158"/>
      <c r="J34" s="158">
        <v>945480</v>
      </c>
      <c r="K34" s="158">
        <v>942560</v>
      </c>
      <c r="L34" s="158">
        <v>1056530</v>
      </c>
      <c r="M34" s="158"/>
      <c r="N34" s="158"/>
      <c r="O34" s="158">
        <v>1100960</v>
      </c>
      <c r="P34" s="158">
        <v>1132050</v>
      </c>
      <c r="Q34" s="158"/>
      <c r="R34" s="158">
        <v>1149100</v>
      </c>
      <c r="S34" s="158">
        <v>1165160</v>
      </c>
      <c r="Y34" s="627">
        <f>C23</f>
        <v>16032490</v>
      </c>
      <c r="Z34" s="628"/>
    </row>
    <row r="35" spans="1:26" x14ac:dyDescent="0.25">
      <c r="A35" s="57"/>
      <c r="B35" s="626"/>
      <c r="C35" s="157" t="s">
        <v>103</v>
      </c>
      <c r="D35" s="158">
        <v>85970</v>
      </c>
      <c r="E35" s="158">
        <v>85700</v>
      </c>
      <c r="F35" s="158">
        <v>85700</v>
      </c>
      <c r="G35" s="158"/>
      <c r="H35" s="158">
        <v>88740</v>
      </c>
      <c r="I35" s="158"/>
      <c r="J35" s="158">
        <v>89890</v>
      </c>
      <c r="K35" s="158">
        <v>90810</v>
      </c>
      <c r="L35" s="158">
        <v>145806</v>
      </c>
      <c r="M35" s="158"/>
      <c r="N35" s="158"/>
      <c r="O35" s="158">
        <v>147586</v>
      </c>
      <c r="P35" s="158">
        <v>148266</v>
      </c>
      <c r="Q35" s="158"/>
      <c r="R35" s="158">
        <v>150396</v>
      </c>
      <c r="S35" s="158">
        <v>153322</v>
      </c>
    </row>
    <row r="36" spans="1:26" x14ac:dyDescent="0.25">
      <c r="A36" s="57"/>
      <c r="B36" s="626"/>
      <c r="C36" s="157" t="s">
        <v>509</v>
      </c>
      <c r="D36" s="158">
        <v>722970</v>
      </c>
      <c r="E36" s="158">
        <v>754480</v>
      </c>
      <c r="F36" s="158">
        <v>754760</v>
      </c>
      <c r="G36" s="158"/>
      <c r="H36" s="158">
        <v>818520</v>
      </c>
      <c r="I36" s="158"/>
      <c r="J36" s="158">
        <v>836020</v>
      </c>
      <c r="K36" s="158">
        <v>836190</v>
      </c>
      <c r="L36" s="158">
        <v>935210</v>
      </c>
      <c r="M36" s="158"/>
      <c r="N36" s="158"/>
      <c r="O36" s="158">
        <v>970750</v>
      </c>
      <c r="P36" s="158">
        <v>1001650</v>
      </c>
      <c r="Q36" s="158"/>
      <c r="R36" s="158">
        <v>1014120</v>
      </c>
      <c r="S36" s="158">
        <v>1026070</v>
      </c>
    </row>
    <row r="37" spans="1:26" x14ac:dyDescent="0.25">
      <c r="A37" s="57"/>
      <c r="B37" s="626"/>
      <c r="C37" s="157" t="s">
        <v>510</v>
      </c>
      <c r="D37" s="158">
        <v>72350</v>
      </c>
      <c r="E37" s="158">
        <v>67710</v>
      </c>
      <c r="F37" s="158">
        <v>67710</v>
      </c>
      <c r="G37" s="158"/>
      <c r="H37" s="158">
        <v>70730</v>
      </c>
      <c r="I37" s="158"/>
      <c r="J37" s="158">
        <v>71370</v>
      </c>
      <c r="K37" s="158">
        <v>71370</v>
      </c>
      <c r="L37" s="158">
        <v>125136</v>
      </c>
      <c r="M37" s="158"/>
      <c r="N37" s="158"/>
      <c r="O37" s="158">
        <v>126776</v>
      </c>
      <c r="P37" s="158">
        <v>126776</v>
      </c>
      <c r="Q37" s="158"/>
      <c r="R37" s="158">
        <v>129076</v>
      </c>
      <c r="S37" s="158">
        <v>132232</v>
      </c>
    </row>
    <row r="38" spans="1:26" x14ac:dyDescent="0.25">
      <c r="A38" s="57"/>
      <c r="B38" s="626"/>
      <c r="C38" s="157" t="s">
        <v>511</v>
      </c>
      <c r="D38" s="159" t="s">
        <v>612</v>
      </c>
      <c r="E38" s="159" t="s">
        <v>613</v>
      </c>
      <c r="F38" s="159" t="s">
        <v>614</v>
      </c>
      <c r="G38" s="159"/>
      <c r="H38" s="159" t="s">
        <v>615</v>
      </c>
      <c r="I38" s="159"/>
      <c r="J38" s="159" t="s">
        <v>616</v>
      </c>
      <c r="K38" s="159" t="s">
        <v>617</v>
      </c>
      <c r="L38" s="159" t="s">
        <v>620</v>
      </c>
      <c r="M38" s="159"/>
      <c r="N38" s="159"/>
      <c r="O38" s="159" t="s">
        <v>623</v>
      </c>
      <c r="P38" s="159" t="s">
        <v>624</v>
      </c>
      <c r="Q38" s="159"/>
      <c r="R38" s="159" t="s">
        <v>625</v>
      </c>
      <c r="S38" s="159" t="s">
        <v>627</v>
      </c>
    </row>
    <row r="39" spans="1:26" x14ac:dyDescent="0.25">
      <c r="A39" s="57"/>
      <c r="B39" s="626"/>
      <c r="C39" s="157" t="s">
        <v>512</v>
      </c>
      <c r="D39" s="160">
        <v>7</v>
      </c>
      <c r="E39" s="160">
        <v>7</v>
      </c>
      <c r="F39" s="160">
        <v>7</v>
      </c>
      <c r="G39" s="160"/>
      <c r="H39" s="160">
        <v>7</v>
      </c>
      <c r="I39" s="160"/>
      <c r="J39" s="160">
        <v>7</v>
      </c>
      <c r="K39" s="160">
        <v>7</v>
      </c>
      <c r="L39" s="160">
        <v>7</v>
      </c>
      <c r="M39" s="160"/>
      <c r="N39" s="160"/>
      <c r="O39" s="160">
        <v>7</v>
      </c>
      <c r="P39" s="160">
        <v>7</v>
      </c>
      <c r="Q39" s="160"/>
      <c r="R39" s="160">
        <v>7</v>
      </c>
      <c r="S39" s="160">
        <v>7</v>
      </c>
    </row>
    <row r="40" spans="1:26" x14ac:dyDescent="0.25">
      <c r="B40" s="626"/>
      <c r="C40" s="157" t="s">
        <v>513</v>
      </c>
      <c r="D40" s="160">
        <v>6</v>
      </c>
      <c r="E40" s="160">
        <v>6</v>
      </c>
      <c r="F40" s="160">
        <v>6</v>
      </c>
      <c r="G40" s="160"/>
      <c r="H40" s="160">
        <v>6.5</v>
      </c>
      <c r="I40" s="160"/>
      <c r="J40" s="160">
        <v>6.75</v>
      </c>
      <c r="K40" s="160">
        <v>6.5</v>
      </c>
      <c r="L40" s="160">
        <v>6.5</v>
      </c>
      <c r="M40" s="160"/>
      <c r="N40" s="160"/>
      <c r="O40" s="160">
        <v>6.5</v>
      </c>
      <c r="P40" s="160">
        <v>6.75</v>
      </c>
      <c r="Q40" s="160"/>
      <c r="R40" s="160">
        <v>6.25</v>
      </c>
      <c r="S40" s="160">
        <v>6.25</v>
      </c>
    </row>
    <row r="41" spans="1:26" x14ac:dyDescent="0.25">
      <c r="B41" s="626"/>
      <c r="C41" s="157" t="s">
        <v>514</v>
      </c>
      <c r="D41" s="160">
        <v>5.25</v>
      </c>
      <c r="E41" s="160">
        <v>5</v>
      </c>
      <c r="F41" s="160">
        <v>5</v>
      </c>
      <c r="G41" s="160"/>
      <c r="H41" s="160">
        <v>5.25</v>
      </c>
      <c r="I41" s="160"/>
      <c r="J41" s="160">
        <v>5.5</v>
      </c>
      <c r="K41" s="160">
        <v>5.5</v>
      </c>
      <c r="L41" s="160">
        <v>6.5</v>
      </c>
      <c r="M41" s="160"/>
      <c r="N41" s="160"/>
      <c r="O41" s="160">
        <v>6.5</v>
      </c>
      <c r="P41" s="160">
        <v>6.5</v>
      </c>
      <c r="Q41" s="160"/>
      <c r="R41" s="160">
        <v>6.75</v>
      </c>
      <c r="S41" s="160">
        <v>6.75</v>
      </c>
    </row>
    <row r="42" spans="1:26" ht="15" customHeight="1" x14ac:dyDescent="0.25">
      <c r="C42" s="153" t="s">
        <v>369</v>
      </c>
      <c r="D42" s="256">
        <f>D34/D35</f>
        <v>9.5688030708386638</v>
      </c>
      <c r="E42" s="256">
        <f>E34/E35</f>
        <v>10.011318553092183</v>
      </c>
      <c r="F42" s="256">
        <f t="shared" ref="F42:S42" si="18">F34/F35</f>
        <v>10.022053675612602</v>
      </c>
      <c r="G42" s="256" t="e">
        <f t="shared" si="18"/>
        <v>#DIV/0!</v>
      </c>
      <c r="H42" s="256">
        <f t="shared" si="18"/>
        <v>10.421230561189994</v>
      </c>
      <c r="I42" s="256" t="e">
        <f t="shared" si="18"/>
        <v>#DIV/0!</v>
      </c>
      <c r="J42" s="256">
        <f t="shared" si="18"/>
        <v>10.518188897541439</v>
      </c>
      <c r="K42" s="256">
        <f t="shared" si="18"/>
        <v>10.379473626252615</v>
      </c>
      <c r="L42" s="256">
        <f t="shared" si="18"/>
        <v>7.246135275640234</v>
      </c>
      <c r="M42" s="256" t="e">
        <f t="shared" si="18"/>
        <v>#DIV/0!</v>
      </c>
      <c r="N42" s="256" t="e">
        <f t="shared" si="18"/>
        <v>#DIV/0!</v>
      </c>
      <c r="O42" s="256">
        <f t="shared" si="18"/>
        <v>7.4597861585787273</v>
      </c>
      <c r="P42" s="256">
        <f t="shared" si="18"/>
        <v>7.6352636477682001</v>
      </c>
      <c r="Q42" s="256" t="e">
        <f t="shared" si="18"/>
        <v>#DIV/0!</v>
      </c>
      <c r="R42" s="256">
        <f t="shared" si="18"/>
        <v>7.6404957578659003</v>
      </c>
      <c r="S42" s="256">
        <f t="shared" si="18"/>
        <v>7.5994312623106923</v>
      </c>
    </row>
    <row r="43" spans="1:26" ht="15" customHeight="1" x14ac:dyDescent="0.25">
      <c r="D43" s="9"/>
      <c r="E43" s="465"/>
      <c r="G43" s="629"/>
      <c r="H43" s="629"/>
      <c r="I43" s="629"/>
      <c r="J43" s="629"/>
    </row>
    <row r="44" spans="1:26" x14ac:dyDescent="0.25">
      <c r="E44" s="335"/>
      <c r="F44" s="335"/>
      <c r="G44" s="335"/>
      <c r="H44" s="335"/>
      <c r="I44" s="335"/>
      <c r="J44" s="335"/>
      <c r="K44" s="335"/>
      <c r="L44" s="335"/>
      <c r="M44" s="335"/>
      <c r="N44" s="335"/>
      <c r="O44" s="335"/>
      <c r="P44" s="335"/>
    </row>
    <row r="45" spans="1:26" x14ac:dyDescent="0.25">
      <c r="D45" s="324"/>
      <c r="G45" s="52"/>
      <c r="H45" s="52"/>
      <c r="I45" s="52"/>
      <c r="J45" s="52"/>
      <c r="K45" s="52"/>
      <c r="L45" s="52"/>
      <c r="M45" s="52"/>
      <c r="N45" s="52"/>
      <c r="O45" s="52"/>
      <c r="P45" s="52"/>
      <c r="Q45" s="52"/>
      <c r="R45" s="52"/>
      <c r="S45" s="52"/>
    </row>
    <row r="46" spans="1:26" x14ac:dyDescent="0.25">
      <c r="G46" s="623"/>
      <c r="H46" s="623"/>
      <c r="I46" s="623"/>
      <c r="J46" s="623"/>
      <c r="M46" s="329"/>
    </row>
    <row r="47" spans="1:26" x14ac:dyDescent="0.25">
      <c r="E47" s="102"/>
      <c r="G47" s="466"/>
      <c r="H47" s="466"/>
      <c r="I47" s="466"/>
      <c r="J47" s="466"/>
    </row>
    <row r="48" spans="1:26" x14ac:dyDescent="0.25">
      <c r="G48" s="623"/>
      <c r="H48" s="623"/>
      <c r="I48" s="623"/>
      <c r="J48" s="623"/>
      <c r="P48" s="329"/>
    </row>
    <row r="49" spans="7:10" ht="15" customHeight="1" x14ac:dyDescent="0.25">
      <c r="G49" s="623"/>
      <c r="H49" s="623"/>
      <c r="I49" s="623"/>
      <c r="J49" s="101"/>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5" t="s">
        <v>609</v>
      </c>
      <c r="C2" s="636"/>
      <c r="D2" s="636"/>
      <c r="E2" s="636"/>
      <c r="F2" s="636"/>
      <c r="G2" s="637"/>
      <c r="I2" s="638" t="s">
        <v>610</v>
      </c>
      <c r="J2" s="639"/>
      <c r="K2" s="639"/>
      <c r="L2" s="639"/>
      <c r="M2" s="639"/>
      <c r="N2" s="639"/>
      <c r="O2" s="639"/>
      <c r="P2" s="639"/>
      <c r="Q2" s="639"/>
      <c r="R2" s="639"/>
      <c r="S2" s="640"/>
    </row>
    <row r="3" spans="2:19" x14ac:dyDescent="0.25">
      <c r="B3" s="641" t="s">
        <v>101</v>
      </c>
      <c r="C3" s="642"/>
      <c r="D3" s="642"/>
      <c r="E3" s="642"/>
      <c r="F3" s="642"/>
      <c r="G3" s="643"/>
      <c r="I3" s="103" t="s">
        <v>102</v>
      </c>
      <c r="J3" s="48" t="s">
        <v>100</v>
      </c>
      <c r="K3" s="48" t="s">
        <v>88</v>
      </c>
      <c r="L3" s="48" t="s">
        <v>103</v>
      </c>
      <c r="M3" s="48" t="s">
        <v>104</v>
      </c>
      <c r="N3" s="48" t="s">
        <v>105</v>
      </c>
      <c r="O3" s="48" t="s">
        <v>106</v>
      </c>
      <c r="P3" s="48" t="s">
        <v>107</v>
      </c>
      <c r="Q3" s="396" t="s">
        <v>108</v>
      </c>
      <c r="R3" s="104" t="s">
        <v>109</v>
      </c>
      <c r="S3" s="104" t="s">
        <v>110</v>
      </c>
    </row>
    <row r="4" spans="2:19" ht="18.75" x14ac:dyDescent="0.3">
      <c r="B4" s="644" t="s">
        <v>111</v>
      </c>
      <c r="C4" s="645"/>
      <c r="D4" s="105"/>
      <c r="E4" s="646" t="s">
        <v>112</v>
      </c>
      <c r="F4" s="647"/>
      <c r="G4" s="105"/>
      <c r="I4" s="338" t="s">
        <v>405</v>
      </c>
      <c r="J4" s="339" t="s">
        <v>621</v>
      </c>
      <c r="K4" s="338">
        <v>0</v>
      </c>
      <c r="L4" s="338">
        <v>0</v>
      </c>
      <c r="M4" s="338">
        <v>71400</v>
      </c>
      <c r="N4" s="338">
        <f>M4*0.05</f>
        <v>3570</v>
      </c>
      <c r="O4" s="340">
        <f t="shared" ref="O4" si="0">IF(M4=0,0,M4-K4)-N4</f>
        <v>67830</v>
      </c>
      <c r="P4" s="340">
        <f t="shared" ref="P4" si="1">IF(M4=0,K4,0)</f>
        <v>0</v>
      </c>
      <c r="Q4" s="341"/>
      <c r="R4" s="342"/>
      <c r="S4" s="342">
        <v>42467</v>
      </c>
    </row>
    <row r="5" spans="2:19" x14ac:dyDescent="0.25">
      <c r="B5" s="109"/>
      <c r="C5" s="110"/>
      <c r="D5" s="183"/>
      <c r="E5" s="109"/>
      <c r="F5" s="110"/>
      <c r="G5" s="111"/>
      <c r="I5" s="338" t="s">
        <v>405</v>
      </c>
      <c r="J5" s="339" t="s">
        <v>622</v>
      </c>
      <c r="K5" s="338">
        <v>0</v>
      </c>
      <c r="L5" s="338">
        <v>0</v>
      </c>
      <c r="M5" s="338">
        <v>13001</v>
      </c>
      <c r="N5" s="338">
        <v>650</v>
      </c>
      <c r="O5" s="340">
        <f t="shared" ref="O5" si="2">IF(M5=0,0,M5-K5)-N5</f>
        <v>12351</v>
      </c>
      <c r="P5" s="340">
        <f t="shared" ref="P5" si="3">IF(M5=0,K5,0)</f>
        <v>0</v>
      </c>
      <c r="Q5" s="341"/>
      <c r="R5" s="342"/>
      <c r="S5" s="342">
        <v>42471</v>
      </c>
    </row>
    <row r="6" spans="2:19" x14ac:dyDescent="0.25">
      <c r="B6" s="112" t="s">
        <v>114</v>
      </c>
      <c r="C6" s="113" t="e">
        <f>SUM(C7:C9)</f>
        <v>#REF!</v>
      </c>
      <c r="D6" s="133" t="e">
        <f>C6/C34</f>
        <v>#REF!</v>
      </c>
      <c r="E6" s="112" t="s">
        <v>115</v>
      </c>
      <c r="F6" s="113" t="e">
        <f>F7+F8+F9</f>
        <v>#REF!</v>
      </c>
      <c r="G6" s="114" t="e">
        <f>F6/$F$34</f>
        <v>#REF!</v>
      </c>
      <c r="I6" s="468" t="s">
        <v>113</v>
      </c>
      <c r="J6" s="106" t="s">
        <v>619</v>
      </c>
      <c r="K6" s="468">
        <v>11662680</v>
      </c>
      <c r="L6" s="468">
        <v>53436</v>
      </c>
      <c r="M6" s="468">
        <v>0</v>
      </c>
      <c r="N6" s="468">
        <v>0</v>
      </c>
      <c r="O6" s="107">
        <f t="shared" ref="O6" si="4">IF(M6=0,0,M6-K6)-N6</f>
        <v>0</v>
      </c>
      <c r="P6" s="107">
        <f t="shared" ref="P6" si="5">IF(M6=0,K6,0)</f>
        <v>11662680</v>
      </c>
      <c r="Q6" s="469"/>
      <c r="R6" s="108">
        <v>42468</v>
      </c>
      <c r="S6" s="108"/>
    </row>
    <row r="7" spans="2:19" x14ac:dyDescent="0.25">
      <c r="B7" s="115" t="s">
        <v>84</v>
      </c>
      <c r="C7" s="116" t="e">
        <f>'A-P_T48'!C7+EconomiaT49!C16</f>
        <v>#REF!</v>
      </c>
      <c r="D7" s="184" t="e">
        <f>C7/C34</f>
        <v>#REF!</v>
      </c>
      <c r="E7" s="185" t="s">
        <v>116</v>
      </c>
      <c r="F7" s="186">
        <v>300000</v>
      </c>
      <c r="G7" s="117" t="e">
        <f>F7/$F$34</f>
        <v>#REF!</v>
      </c>
      <c r="I7" s="399"/>
      <c r="J7" s="399"/>
      <c r="K7" s="399"/>
      <c r="L7" s="399"/>
      <c r="M7" s="399"/>
      <c r="N7" s="399"/>
      <c r="O7" s="399"/>
      <c r="P7" s="399"/>
      <c r="Q7" s="399"/>
      <c r="R7" s="399"/>
      <c r="S7" s="399"/>
    </row>
    <row r="8" spans="2:19" x14ac:dyDescent="0.25">
      <c r="B8" s="115" t="s">
        <v>67</v>
      </c>
      <c r="C8" s="116" t="e">
        <f>'A-P_T48'!C8+EconomiaT49!C20+'A-P_T48'!C9</f>
        <v>#REF!</v>
      </c>
      <c r="D8" s="184" t="e">
        <f>C8/C34</f>
        <v>#REF!</v>
      </c>
      <c r="E8" s="185" t="s">
        <v>237</v>
      </c>
      <c r="F8" s="186" t="e">
        <f>'A-P_T48'!F9+'A-P_T48'!F8</f>
        <v>#REF!</v>
      </c>
      <c r="G8" s="117" t="e">
        <f>F8/$F$34</f>
        <v>#REF!</v>
      </c>
      <c r="I8" s="399"/>
      <c r="J8" s="399"/>
      <c r="K8" s="399"/>
      <c r="L8" s="399"/>
      <c r="M8" s="399"/>
      <c r="N8" s="399"/>
      <c r="O8" s="399"/>
      <c r="P8" s="399"/>
      <c r="Q8" s="399"/>
      <c r="R8" s="399"/>
      <c r="S8" s="399"/>
    </row>
    <row r="9" spans="2:19" x14ac:dyDescent="0.25">
      <c r="B9" s="118" t="s">
        <v>117</v>
      </c>
      <c r="C9" s="119">
        <v>0</v>
      </c>
      <c r="D9" s="184" t="e">
        <f>C9/C34</f>
        <v>#REF!</v>
      </c>
      <c r="E9" s="185" t="s">
        <v>611</v>
      </c>
      <c r="F9" s="186">
        <f>'A-P_T48'!F11-2059800</f>
        <v>398312</v>
      </c>
      <c r="G9" s="117" t="e">
        <f>F9/$F$34</f>
        <v>#REF!</v>
      </c>
      <c r="I9" s="399"/>
      <c r="J9" s="399"/>
      <c r="K9" s="399"/>
      <c r="L9" s="399"/>
      <c r="M9" s="399"/>
      <c r="N9" s="399"/>
      <c r="O9" s="399"/>
      <c r="P9" s="399"/>
      <c r="Q9" s="399"/>
      <c r="R9" s="399"/>
      <c r="S9" s="399"/>
    </row>
    <row r="10" spans="2:19" x14ac:dyDescent="0.25">
      <c r="B10" s="120"/>
      <c r="C10" s="121"/>
      <c r="D10" s="133"/>
      <c r="E10" s="187"/>
      <c r="F10" s="121"/>
      <c r="G10" s="114"/>
      <c r="I10" s="399"/>
      <c r="J10" s="399"/>
      <c r="K10" s="399"/>
      <c r="L10" s="399"/>
      <c r="M10" s="399"/>
      <c r="N10" s="399"/>
      <c r="O10" s="399"/>
      <c r="P10" s="399"/>
      <c r="Q10" s="399"/>
      <c r="R10" s="399"/>
      <c r="S10" s="399"/>
    </row>
    <row r="11" spans="2:19" x14ac:dyDescent="0.25">
      <c r="B11" s="112" t="s">
        <v>100</v>
      </c>
      <c r="C11" s="113">
        <f>SUM(C12:C15)</f>
        <v>11662680</v>
      </c>
      <c r="D11" s="133" t="e">
        <f>C11/C34</f>
        <v>#REF!</v>
      </c>
      <c r="E11" s="112" t="s">
        <v>503</v>
      </c>
      <c r="F11" s="113">
        <f>SUM(F12:F17)</f>
        <v>5554171</v>
      </c>
      <c r="G11" s="114" t="e">
        <f t="shared" ref="G11:G17" si="6">F11/$F$34</f>
        <v>#REF!</v>
      </c>
      <c r="I11" s="399"/>
      <c r="J11" s="399"/>
      <c r="K11" s="399"/>
      <c r="L11" s="399"/>
      <c r="M11" s="399"/>
      <c r="N11" s="399"/>
      <c r="O11" s="399"/>
      <c r="P11" s="399"/>
      <c r="Q11" s="399"/>
      <c r="R11" s="399"/>
      <c r="S11" s="399"/>
    </row>
    <row r="12" spans="2:19" x14ac:dyDescent="0.25">
      <c r="B12" s="122" t="s">
        <v>118</v>
      </c>
      <c r="C12" s="123">
        <f>SUMIF(I4:I520,"S",$P$4:$P$520)</f>
        <v>0</v>
      </c>
      <c r="D12" s="184" t="e">
        <f>C12/C34</f>
        <v>#REF!</v>
      </c>
      <c r="E12" s="49" t="s">
        <v>119</v>
      </c>
      <c r="F12" s="124">
        <f>SUMIF(I4:I520,"J",$O$4:$O$520)</f>
        <v>0</v>
      </c>
      <c r="G12" s="117" t="e">
        <f t="shared" si="6"/>
        <v>#REF!</v>
      </c>
      <c r="I12" s="399"/>
      <c r="J12" s="399"/>
      <c r="K12" s="399"/>
      <c r="L12" s="399"/>
      <c r="M12" s="399"/>
      <c r="N12" s="399"/>
      <c r="O12" s="399"/>
      <c r="P12" s="399"/>
      <c r="Q12" s="399"/>
      <c r="R12" s="399"/>
      <c r="S12" s="399"/>
    </row>
    <row r="13" spans="2:19" x14ac:dyDescent="0.25">
      <c r="B13" s="122" t="s">
        <v>100</v>
      </c>
      <c r="C13" s="123">
        <f>SUMIF(I4:I520,"J",$P$4:$P$520)</f>
        <v>11662680</v>
      </c>
      <c r="D13" s="184" t="e">
        <f>C13/C34</f>
        <v>#REF!</v>
      </c>
      <c r="E13" s="49" t="s">
        <v>120</v>
      </c>
      <c r="F13" s="124">
        <f>SUMIF(I4:I520,"S",$O$4:$O$520)</f>
        <v>0</v>
      </c>
      <c r="G13" s="117" t="e">
        <f t="shared" si="6"/>
        <v>#REF!</v>
      </c>
      <c r="I13" s="399"/>
      <c r="J13" s="399"/>
      <c r="K13" s="399"/>
      <c r="L13" s="399"/>
      <c r="M13" s="399"/>
      <c r="N13" s="399"/>
      <c r="O13" s="399"/>
      <c r="P13" s="399"/>
      <c r="Q13" s="399"/>
      <c r="R13" s="399"/>
      <c r="S13" s="399"/>
    </row>
    <row r="14" spans="2:19" x14ac:dyDescent="0.25">
      <c r="B14" s="122" t="s">
        <v>99</v>
      </c>
      <c r="C14" s="123">
        <f>SUMIF(I4:I520,"E",$P$4:$P$520)</f>
        <v>0</v>
      </c>
      <c r="D14" s="184" t="e">
        <f>C14/C34</f>
        <v>#REF!</v>
      </c>
      <c r="E14" s="49" t="s">
        <v>121</v>
      </c>
      <c r="F14" s="124">
        <f>SUMIF(I4:I520,"C",$O$4:$O$520)</f>
        <v>80181</v>
      </c>
      <c r="G14" s="117" t="e">
        <f t="shared" si="6"/>
        <v>#REF!</v>
      </c>
      <c r="I14" s="399"/>
      <c r="J14" s="399"/>
      <c r="K14" s="399"/>
      <c r="L14" s="399"/>
      <c r="M14" s="399"/>
      <c r="N14" s="399"/>
      <c r="O14" s="399"/>
      <c r="P14" s="399"/>
      <c r="Q14" s="399"/>
      <c r="R14" s="399"/>
      <c r="S14" s="399"/>
    </row>
    <row r="15" spans="2:19" x14ac:dyDescent="0.25">
      <c r="B15" s="122" t="s">
        <v>122</v>
      </c>
      <c r="C15" s="123">
        <f>SUMIF(I4:I520,"M",$P$4:$P$520)</f>
        <v>0</v>
      </c>
      <c r="D15" s="184" t="e">
        <f>C15/C34</f>
        <v>#REF!</v>
      </c>
      <c r="E15" s="49" t="s">
        <v>123</v>
      </c>
      <c r="F15" s="124">
        <f>SUMIF(I4:I520,"E",$O$4:$O$520)</f>
        <v>0</v>
      </c>
      <c r="G15" s="117" t="e">
        <f t="shared" si="6"/>
        <v>#REF!</v>
      </c>
      <c r="I15" s="399"/>
      <c r="J15" s="399"/>
      <c r="K15" s="399"/>
      <c r="L15" s="399"/>
      <c r="M15" s="399"/>
      <c r="N15" s="399"/>
      <c r="O15" s="399"/>
      <c r="P15" s="399"/>
      <c r="Q15" s="399"/>
      <c r="R15" s="399"/>
      <c r="S15" s="399"/>
    </row>
    <row r="16" spans="2:19" x14ac:dyDescent="0.25">
      <c r="B16" s="125"/>
      <c r="C16" s="126"/>
      <c r="D16" s="133"/>
      <c r="E16" s="49" t="s">
        <v>124</v>
      </c>
      <c r="F16" s="124">
        <f>SUMIF(I4:I520,"M",$O$4:$O$520)</f>
        <v>0</v>
      </c>
      <c r="G16" s="117" t="e">
        <f t="shared" si="6"/>
        <v>#REF!</v>
      </c>
      <c r="I16" s="399"/>
      <c r="J16" s="399"/>
      <c r="K16" s="399"/>
      <c r="L16" s="399"/>
      <c r="M16" s="399"/>
      <c r="N16" s="399"/>
      <c r="O16" s="399"/>
      <c r="P16" s="399"/>
      <c r="Q16" s="399"/>
      <c r="R16" s="399"/>
      <c r="S16" s="399"/>
    </row>
    <row r="17" spans="2:11" x14ac:dyDescent="0.25">
      <c r="B17" s="112" t="s">
        <v>74</v>
      </c>
      <c r="C17" s="127">
        <f>C18+C19</f>
        <v>80181</v>
      </c>
      <c r="D17" s="133" t="e">
        <f>C17/C34</f>
        <v>#REF!</v>
      </c>
      <c r="E17" s="128" t="s">
        <v>504</v>
      </c>
      <c r="F17" s="129">
        <f>C27-F27+C9</f>
        <v>5473990</v>
      </c>
      <c r="G17" s="117" t="e">
        <f t="shared" si="6"/>
        <v>#REF!</v>
      </c>
      <c r="K17" s="102"/>
    </row>
    <row r="18" spans="2:11" x14ac:dyDescent="0.25">
      <c r="B18" s="122" t="s">
        <v>74</v>
      </c>
      <c r="C18" s="123">
        <f>SUM(M4:M520)</f>
        <v>84401</v>
      </c>
      <c r="D18" s="184" t="e">
        <f>C18/C34</f>
        <v>#REF!</v>
      </c>
      <c r="E18" s="120"/>
      <c r="F18" s="121"/>
      <c r="G18" s="130"/>
    </row>
    <row r="19" spans="2:11" x14ac:dyDescent="0.25">
      <c r="B19" s="118" t="s">
        <v>76</v>
      </c>
      <c r="C19" s="119">
        <f>SUM(N4:N520)*-1</f>
        <v>-4220</v>
      </c>
      <c r="D19" s="184" t="e">
        <f>C19/C34</f>
        <v>#REF!</v>
      </c>
      <c r="E19" s="112" t="s">
        <v>125</v>
      </c>
      <c r="F19" s="127">
        <f>F20+F21</f>
        <v>11662680</v>
      </c>
      <c r="G19" s="114" t="e">
        <f>F19/$F$34</f>
        <v>#REF!</v>
      </c>
    </row>
    <row r="20" spans="2:11" x14ac:dyDescent="0.25">
      <c r="B20" s="125"/>
      <c r="C20" s="126"/>
      <c r="D20" s="184"/>
      <c r="E20" s="188" t="s">
        <v>88</v>
      </c>
      <c r="F20" s="189">
        <f>EconomiaT49!C19</f>
        <v>11716116</v>
      </c>
      <c r="G20" s="117" t="e">
        <f>F20/$F$34</f>
        <v>#REF!</v>
      </c>
    </row>
    <row r="21" spans="2:11" x14ac:dyDescent="0.25">
      <c r="B21" s="112" t="s">
        <v>505</v>
      </c>
      <c r="C21" s="113">
        <f>EconomiaT49!C5</f>
        <v>5960252</v>
      </c>
      <c r="D21" s="133" t="e">
        <f>C21/C34</f>
        <v>#REF!</v>
      </c>
      <c r="E21" s="118" t="s">
        <v>126</v>
      </c>
      <c r="F21" s="190">
        <f>SUM(L4:L520)*-1</f>
        <v>-53436</v>
      </c>
      <c r="G21" s="117" t="e">
        <f>F21/$F$34</f>
        <v>#REF!</v>
      </c>
    </row>
    <row r="22" spans="2:11" x14ac:dyDescent="0.25">
      <c r="B22" s="112"/>
      <c r="C22" s="113"/>
      <c r="D22" s="133"/>
      <c r="E22" s="125"/>
      <c r="F22" s="397"/>
      <c r="G22" s="398"/>
    </row>
    <row r="23" spans="2:11" x14ac:dyDescent="0.25">
      <c r="B23" s="112"/>
      <c r="C23" s="113"/>
      <c r="D23" s="133"/>
      <c r="E23" s="112" t="s">
        <v>238</v>
      </c>
      <c r="F23" s="113">
        <f>SUM(F24:F25)</f>
        <v>374485</v>
      </c>
      <c r="G23" s="114" t="e">
        <f>F23/$F$34</f>
        <v>#REF!</v>
      </c>
    </row>
    <row r="24" spans="2:11" x14ac:dyDescent="0.25">
      <c r="B24" s="112"/>
      <c r="C24" s="113"/>
      <c r="D24" s="133"/>
      <c r="E24" s="188" t="s">
        <v>84</v>
      </c>
      <c r="F24" s="191">
        <f>EconomiaT49!C16</f>
        <v>374485</v>
      </c>
      <c r="G24" s="117" t="e">
        <f>F24/$F$34</f>
        <v>#REF!</v>
      </c>
    </row>
    <row r="25" spans="2:11" x14ac:dyDescent="0.25">
      <c r="B25" s="112"/>
      <c r="C25" s="113"/>
      <c r="D25" s="133"/>
      <c r="E25" s="188" t="s">
        <v>67</v>
      </c>
      <c r="F25" s="191">
        <f>EconomiaT49!C20</f>
        <v>0</v>
      </c>
      <c r="G25" s="117" t="e">
        <f>F25/$F$34</f>
        <v>#REF!</v>
      </c>
    </row>
    <row r="26" spans="2:11" x14ac:dyDescent="0.25">
      <c r="B26" s="470"/>
      <c r="C26" s="471"/>
      <c r="D26" s="472"/>
      <c r="E26" s="473"/>
      <c r="F26" s="474"/>
      <c r="G26" s="475"/>
    </row>
    <row r="27" spans="2:11" x14ac:dyDescent="0.25">
      <c r="B27" s="112" t="s">
        <v>127</v>
      </c>
      <c r="C27" s="113">
        <f>SUM(C28:C32)</f>
        <v>9415879</v>
      </c>
      <c r="D27" s="133" t="e">
        <f>C27/C34</f>
        <v>#REF!</v>
      </c>
      <c r="E27" s="112" t="s">
        <v>239</v>
      </c>
      <c r="F27" s="113">
        <f>SUM(F28:F33)</f>
        <v>3941889</v>
      </c>
      <c r="G27" s="114" t="e">
        <f t="shared" ref="G27:G33" si="7">F27/$F$34</f>
        <v>#REF!</v>
      </c>
    </row>
    <row r="28" spans="2:11" x14ac:dyDescent="0.25">
      <c r="B28" s="131" t="s">
        <v>69</v>
      </c>
      <c r="C28" s="132">
        <f>EconomiaT49!C11</f>
        <v>88230</v>
      </c>
      <c r="D28" s="184" t="e">
        <f>C28/C34</f>
        <v>#REF!</v>
      </c>
      <c r="E28" s="188" t="s">
        <v>128</v>
      </c>
      <c r="F28" s="191">
        <f>EconomiaT49!C14</f>
        <v>1893144</v>
      </c>
      <c r="G28" s="117" t="e">
        <f t="shared" si="7"/>
        <v>#REF!</v>
      </c>
    </row>
    <row r="29" spans="2:11" x14ac:dyDescent="0.25">
      <c r="B29" s="131" t="s">
        <v>79</v>
      </c>
      <c r="C29" s="132">
        <f>EconomiaT49!C12</f>
        <v>1105000</v>
      </c>
      <c r="D29" s="184" t="e">
        <f>C29/C34</f>
        <v>#REF!</v>
      </c>
      <c r="E29" s="188" t="s">
        <v>82</v>
      </c>
      <c r="F29" s="191">
        <f>EconomiaT49!C15</f>
        <v>606265</v>
      </c>
      <c r="G29" s="117" t="e">
        <f t="shared" si="7"/>
        <v>#REF!</v>
      </c>
    </row>
    <row r="30" spans="2:11" x14ac:dyDescent="0.25">
      <c r="B30" s="131" t="s">
        <v>71</v>
      </c>
      <c r="C30" s="132">
        <f>EconomiaT49!C6</f>
        <v>5131192</v>
      </c>
      <c r="D30" s="184" t="e">
        <f>C30/C34</f>
        <v>#REF!</v>
      </c>
      <c r="E30" s="188" t="s">
        <v>85</v>
      </c>
      <c r="F30" s="191">
        <f>EconomiaT49!C17</f>
        <v>1044480</v>
      </c>
      <c r="G30" s="117" t="e">
        <f t="shared" si="7"/>
        <v>#REF!</v>
      </c>
    </row>
    <row r="31" spans="2:11" x14ac:dyDescent="0.25">
      <c r="B31" s="131" t="s">
        <v>72</v>
      </c>
      <c r="C31" s="132">
        <f>EconomiaT49!C7</f>
        <v>2970900</v>
      </c>
      <c r="D31" s="184" t="e">
        <f>C31/C34</f>
        <v>#REF!</v>
      </c>
      <c r="E31" s="188" t="s">
        <v>86</v>
      </c>
      <c r="F31" s="191">
        <f>EconomiaT49!C18</f>
        <v>320000</v>
      </c>
      <c r="G31" s="117" t="e">
        <f t="shared" si="7"/>
        <v>#REF!</v>
      </c>
    </row>
    <row r="32" spans="2:11" x14ac:dyDescent="0.25">
      <c r="B32" s="131" t="s">
        <v>76</v>
      </c>
      <c r="C32" s="132">
        <f>EconomiaT49!C10</f>
        <v>120557</v>
      </c>
      <c r="D32" s="184" t="e">
        <f>C32/C34</f>
        <v>#REF!</v>
      </c>
      <c r="E32" s="188" t="s">
        <v>89</v>
      </c>
      <c r="F32" s="191">
        <f>EconomiaT49!C21</f>
        <v>78000</v>
      </c>
      <c r="G32" s="117" t="e">
        <f t="shared" si="7"/>
        <v>#REF!</v>
      </c>
    </row>
    <row r="33" spans="2:10" x14ac:dyDescent="0.25">
      <c r="B33" s="112"/>
      <c r="C33" s="113"/>
      <c r="D33" s="133"/>
      <c r="E33" s="400" t="s">
        <v>90</v>
      </c>
      <c r="F33" s="401">
        <f>EconomiaT49!C22</f>
        <v>0</v>
      </c>
      <c r="G33" s="402" t="e">
        <f t="shared" si="7"/>
        <v>#REF!</v>
      </c>
    </row>
    <row r="34" spans="2:10" ht="18.75" x14ac:dyDescent="0.3">
      <c r="B34" s="135" t="s">
        <v>27</v>
      </c>
      <c r="C34" s="136" t="e">
        <f>C27+C21+C17+C11+C6</f>
        <v>#REF!</v>
      </c>
      <c r="D34" s="403" t="e">
        <f>C34/C34</f>
        <v>#REF!</v>
      </c>
      <c r="E34" s="135" t="s">
        <v>27</v>
      </c>
      <c r="F34" s="136" t="e">
        <f>F27+F19+F11+F6+F23</f>
        <v>#REF!</v>
      </c>
      <c r="G34" s="134" t="e">
        <f>F34/$F$34</f>
        <v>#REF!</v>
      </c>
      <c r="J34" s="102"/>
    </row>
    <row r="35" spans="2:10" x14ac:dyDescent="0.25">
      <c r="C35" s="102"/>
      <c r="D35" s="404"/>
      <c r="E35" s="405" t="s">
        <v>470</v>
      </c>
      <c r="F35" s="406" t="e">
        <f>F34-C34</f>
        <v>#REF!</v>
      </c>
      <c r="G35" s="102"/>
    </row>
    <row r="36" spans="2:10" x14ac:dyDescent="0.25">
      <c r="C36" s="102"/>
      <c r="D36" s="102"/>
      <c r="F36" s="102"/>
      <c r="G36" s="102"/>
      <c r="H36" s="102"/>
    </row>
    <row r="37" spans="2:10" ht="15.75" x14ac:dyDescent="0.25">
      <c r="B37" s="407" t="s">
        <v>506</v>
      </c>
      <c r="C37" s="408">
        <f>EconomiaT48!C24</f>
        <v>5960252</v>
      </c>
      <c r="D37" s="102"/>
      <c r="E37" s="4" t="s">
        <v>507</v>
      </c>
      <c r="F37" s="98">
        <f>C27-F27</f>
        <v>5473990</v>
      </c>
      <c r="G37" s="98"/>
    </row>
    <row r="38" spans="2:10" x14ac:dyDescent="0.25">
      <c r="C38" s="98">
        <f>C37-C21</f>
        <v>0</v>
      </c>
      <c r="D38" s="102"/>
      <c r="F38" s="102"/>
      <c r="G38" s="102"/>
    </row>
    <row r="39" spans="2:10" x14ac:dyDescent="0.25">
      <c r="C39" s="102"/>
      <c r="D39" s="102"/>
      <c r="F39" s="102"/>
      <c r="G39" s="102"/>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EconomiaT49!S25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0" customFormat="1" x14ac:dyDescent="0.25">
      <c r="A3" s="294"/>
      <c r="B3" s="294"/>
      <c r="C3" s="294" t="s">
        <v>483</v>
      </c>
      <c r="D3" s="318" t="s">
        <v>28</v>
      </c>
      <c r="E3" s="318" t="s">
        <v>29</v>
      </c>
      <c r="F3" s="318" t="s">
        <v>30</v>
      </c>
      <c r="G3" s="318" t="s">
        <v>31</v>
      </c>
      <c r="H3" s="318" t="s">
        <v>32</v>
      </c>
      <c r="I3" s="318" t="s">
        <v>33</v>
      </c>
      <c r="J3" s="318" t="s">
        <v>34</v>
      </c>
      <c r="K3" s="318" t="s">
        <v>35</v>
      </c>
      <c r="L3" s="318" t="s">
        <v>36</v>
      </c>
      <c r="M3" s="318" t="s">
        <v>37</v>
      </c>
      <c r="N3" s="318" t="s">
        <v>38</v>
      </c>
      <c r="O3" s="318" t="s">
        <v>39</v>
      </c>
      <c r="P3" s="318" t="s">
        <v>40</v>
      </c>
      <c r="Q3" s="318" t="s">
        <v>41</v>
      </c>
      <c r="R3" s="318" t="s">
        <v>42</v>
      </c>
      <c r="S3" s="319" t="s">
        <v>43</v>
      </c>
    </row>
    <row r="4" spans="1:26" s="58" customFormat="1" x14ac:dyDescent="0.25">
      <c r="A4" s="57"/>
      <c r="B4" s="59"/>
      <c r="C4" s="59" t="s">
        <v>69</v>
      </c>
      <c r="D4" s="60">
        <v>2849</v>
      </c>
      <c r="E4" s="60">
        <f t="shared" ref="E4:S4" si="1">D4+(D11/30)</f>
        <v>2853</v>
      </c>
      <c r="F4" s="60">
        <f t="shared" si="1"/>
        <v>2861</v>
      </c>
      <c r="G4" s="60">
        <f t="shared" si="1"/>
        <v>2869</v>
      </c>
      <c r="H4" s="60">
        <f t="shared" si="1"/>
        <v>2873</v>
      </c>
      <c r="I4" s="60">
        <f t="shared" si="1"/>
        <v>2877</v>
      </c>
      <c r="J4" s="60">
        <f t="shared" ref="J4" si="2">I4+(I11/30)</f>
        <v>2884</v>
      </c>
      <c r="K4" s="60">
        <f t="shared" ref="K4" si="3">J4+(J11/30)</f>
        <v>2889</v>
      </c>
      <c r="L4" s="60">
        <f t="shared" ref="L4" si="4">K4+(K11/30)</f>
        <v>2891</v>
      </c>
      <c r="M4" s="60">
        <f t="shared" ref="M4" si="5">L4+(L11/30)</f>
        <v>2897</v>
      </c>
      <c r="N4" s="60">
        <f t="shared" ref="N4" si="6">M4+(M11/30)</f>
        <v>2903</v>
      </c>
      <c r="O4" s="60">
        <f t="shared" ref="O4" si="7">N4+(N11/30)</f>
        <v>2904</v>
      </c>
      <c r="P4" s="60">
        <f t="shared" ref="P4" si="8">O4+(O11/30)</f>
        <v>2904</v>
      </c>
      <c r="Q4" s="60">
        <f t="shared" ref="Q4" si="9">P4+(P11/30)</f>
        <v>2905</v>
      </c>
      <c r="R4" s="60">
        <f t="shared" ref="R4" si="10">Q4+(Q11/30)</f>
        <v>2912</v>
      </c>
      <c r="S4" s="194">
        <f t="shared" si="1"/>
        <v>2918</v>
      </c>
    </row>
    <row r="5" spans="1:26" s="65" customFormat="1" ht="18.75" x14ac:dyDescent="0.3">
      <c r="A5" s="61" t="s">
        <v>70</v>
      </c>
      <c r="B5" s="61"/>
      <c r="C5" s="62">
        <f>EconomiaT49!C24</f>
        <v>-383803</v>
      </c>
      <c r="D5" s="63">
        <f>C5</f>
        <v>-383803</v>
      </c>
      <c r="E5" s="63">
        <f t="shared" ref="E5:Q5" si="11">D24</f>
        <v>-437797</v>
      </c>
      <c r="F5" s="63">
        <f t="shared" si="11"/>
        <v>-942083</v>
      </c>
      <c r="G5" s="63">
        <f t="shared" si="11"/>
        <v>-367424</v>
      </c>
      <c r="H5" s="63">
        <f t="shared" si="11"/>
        <v>-272077</v>
      </c>
      <c r="I5" s="63">
        <f t="shared" si="11"/>
        <v>264462</v>
      </c>
      <c r="J5" s="63">
        <f t="shared" si="11"/>
        <v>978434</v>
      </c>
      <c r="K5" s="63">
        <f t="shared" si="11"/>
        <v>1487831</v>
      </c>
      <c r="L5" s="63">
        <f t="shared" si="11"/>
        <v>2546319</v>
      </c>
      <c r="M5" s="63">
        <f t="shared" si="11"/>
        <v>3288287</v>
      </c>
      <c r="N5" s="63">
        <f t="shared" si="11"/>
        <v>3753864</v>
      </c>
      <c r="O5" s="63">
        <f t="shared" si="11"/>
        <v>3716393</v>
      </c>
      <c r="P5" s="63">
        <f t="shared" si="11"/>
        <v>3737630</v>
      </c>
      <c r="Q5" s="63">
        <f t="shared" si="11"/>
        <v>4134025</v>
      </c>
      <c r="R5" s="63">
        <f>Q24</f>
        <v>4045914</v>
      </c>
      <c r="S5" s="64">
        <f>R24</f>
        <v>2716871</v>
      </c>
    </row>
    <row r="6" spans="1:26" x14ac:dyDescent="0.25">
      <c r="A6" s="66" t="s">
        <v>71</v>
      </c>
      <c r="B6" s="66" t="s">
        <v>71</v>
      </c>
      <c r="C6" s="67">
        <f t="shared" ref="C6:C23" si="12">SUM(D6:S6)</f>
        <v>6222531</v>
      </c>
      <c r="D6" s="68">
        <v>34650</v>
      </c>
      <c r="E6" s="68">
        <v>53998</v>
      </c>
      <c r="F6" s="68">
        <v>674608</v>
      </c>
      <c r="G6" s="68">
        <v>189581</v>
      </c>
      <c r="H6" s="68">
        <v>637879</v>
      </c>
      <c r="I6" s="68">
        <v>754027</v>
      </c>
      <c r="J6" s="68">
        <v>359672</v>
      </c>
      <c r="K6" s="68">
        <v>1076131</v>
      </c>
      <c r="L6" s="68">
        <v>602458</v>
      </c>
      <c r="M6" s="392">
        <f>25483+550584</f>
        <v>576067</v>
      </c>
      <c r="N6" s="392">
        <f>14126+59043</f>
        <v>73169</v>
      </c>
      <c r="O6" s="392">
        <v>21707</v>
      </c>
      <c r="P6" s="392">
        <f>22579+394156</f>
        <v>416735</v>
      </c>
      <c r="Q6" s="392">
        <v>21824</v>
      </c>
      <c r="R6" s="392">
        <f>681438+23776</f>
        <v>705214</v>
      </c>
      <c r="S6" s="69">
        <v>24811</v>
      </c>
      <c r="Y6" s="66" t="s">
        <v>71</v>
      </c>
      <c r="Z6" s="70">
        <f>C6/$C$13</f>
        <v>0.5685946521026749</v>
      </c>
    </row>
    <row r="7" spans="1:26" x14ac:dyDescent="0.25">
      <c r="A7" s="66" t="s">
        <v>72</v>
      </c>
      <c r="B7" s="66" t="s">
        <v>72</v>
      </c>
      <c r="C7" s="67">
        <f t="shared" si="12"/>
        <v>3046995</v>
      </c>
      <c r="D7" s="71">
        <v>138385</v>
      </c>
      <c r="E7" s="71">
        <v>164470</v>
      </c>
      <c r="F7" s="71">
        <v>180010</v>
      </c>
      <c r="G7" s="71">
        <v>188705</v>
      </c>
      <c r="H7" s="71">
        <v>193330</v>
      </c>
      <c r="I7" s="71">
        <v>195735</v>
      </c>
      <c r="J7" s="71">
        <v>197215</v>
      </c>
      <c r="K7" s="71">
        <v>198140</v>
      </c>
      <c r="L7" s="71">
        <v>198540</v>
      </c>
      <c r="M7" s="71">
        <f t="shared" ref="M7:P7" si="13">L7</f>
        <v>198540</v>
      </c>
      <c r="N7" s="71">
        <f t="shared" si="13"/>
        <v>198540</v>
      </c>
      <c r="O7" s="71">
        <f t="shared" si="13"/>
        <v>198540</v>
      </c>
      <c r="P7" s="71">
        <f t="shared" si="13"/>
        <v>198540</v>
      </c>
      <c r="Q7" s="71">
        <v>199065</v>
      </c>
      <c r="R7" s="71">
        <v>199435</v>
      </c>
      <c r="S7" s="69">
        <v>199805</v>
      </c>
      <c r="Y7" s="66" t="s">
        <v>72</v>
      </c>
      <c r="Z7" s="70">
        <f t="shared" ref="Z7:Z12" si="14">C7/$C$13</f>
        <v>0.27842449671742736</v>
      </c>
    </row>
    <row r="8" spans="1:26" x14ac:dyDescent="0.25">
      <c r="A8" s="66" t="s">
        <v>73</v>
      </c>
      <c r="B8" s="66" t="s">
        <v>74</v>
      </c>
      <c r="C8" s="67">
        <f t="shared" si="12"/>
        <v>0</v>
      </c>
      <c r="D8" s="68">
        <v>0</v>
      </c>
      <c r="E8" s="68">
        <v>0</v>
      </c>
      <c r="F8" s="68">
        <v>0</v>
      </c>
      <c r="G8" s="68">
        <v>0</v>
      </c>
      <c r="H8" s="68">
        <v>0</v>
      </c>
      <c r="I8" s="68">
        <v>0</v>
      </c>
      <c r="J8" s="68">
        <v>0</v>
      </c>
      <c r="K8" s="68">
        <v>0</v>
      </c>
      <c r="L8" s="68">
        <v>0</v>
      </c>
      <c r="M8" s="68">
        <v>0</v>
      </c>
      <c r="N8" s="68">
        <v>0</v>
      </c>
      <c r="O8" s="68">
        <v>0</v>
      </c>
      <c r="P8" s="68">
        <v>0</v>
      </c>
      <c r="Q8" s="68">
        <v>0</v>
      </c>
      <c r="R8" s="68">
        <v>0</v>
      </c>
      <c r="S8" s="69">
        <v>0</v>
      </c>
      <c r="Y8" s="66" t="s">
        <v>74</v>
      </c>
      <c r="Z8" s="70">
        <f t="shared" si="14"/>
        <v>0</v>
      </c>
    </row>
    <row r="9" spans="1:26" x14ac:dyDescent="0.25">
      <c r="A9" s="66"/>
      <c r="B9" s="66" t="s">
        <v>75</v>
      </c>
      <c r="C9" s="67">
        <f t="shared" si="12"/>
        <v>585827</v>
      </c>
      <c r="D9" s="68">
        <v>56050</v>
      </c>
      <c r="E9" s="68">
        <v>0</v>
      </c>
      <c r="F9" s="68">
        <v>0</v>
      </c>
      <c r="G9" s="68">
        <v>0</v>
      </c>
      <c r="H9" s="68">
        <v>0</v>
      </c>
      <c r="I9" s="68">
        <v>1900</v>
      </c>
      <c r="J9" s="68">
        <v>247950</v>
      </c>
      <c r="K9" s="68">
        <v>80427</v>
      </c>
      <c r="L9" s="68">
        <v>0</v>
      </c>
      <c r="M9" s="68">
        <v>0</v>
      </c>
      <c r="N9" s="68">
        <v>0</v>
      </c>
      <c r="O9" s="68">
        <v>110200</v>
      </c>
      <c r="P9" s="68">
        <f>79800+9500</f>
        <v>89300</v>
      </c>
      <c r="Q9" s="68">
        <v>0</v>
      </c>
      <c r="R9" s="68">
        <v>0</v>
      </c>
      <c r="S9" s="69">
        <v>0</v>
      </c>
      <c r="Y9" s="66" t="s">
        <v>75</v>
      </c>
      <c r="Z9" s="70">
        <f t="shared" si="14"/>
        <v>5.3530966620713299E-2</v>
      </c>
    </row>
    <row r="10" spans="1:26" x14ac:dyDescent="0.25">
      <c r="A10" s="66" t="s">
        <v>76</v>
      </c>
      <c r="B10" s="66" t="s">
        <v>76</v>
      </c>
      <c r="C10" s="67">
        <f t="shared" si="12"/>
        <v>73830</v>
      </c>
      <c r="D10" s="71">
        <v>0</v>
      </c>
      <c r="E10" s="71">
        <v>0</v>
      </c>
      <c r="F10" s="71">
        <v>0</v>
      </c>
      <c r="G10" s="71">
        <v>0</v>
      </c>
      <c r="H10" s="71">
        <v>0</v>
      </c>
      <c r="I10" s="71">
        <v>54960</v>
      </c>
      <c r="J10" s="71">
        <v>0</v>
      </c>
      <c r="K10" s="71">
        <v>0</v>
      </c>
      <c r="L10" s="71">
        <v>0</v>
      </c>
      <c r="M10" s="71">
        <v>0</v>
      </c>
      <c r="N10" s="71">
        <v>0</v>
      </c>
      <c r="O10" s="71">
        <v>0</v>
      </c>
      <c r="P10" s="71">
        <v>0</v>
      </c>
      <c r="Q10" s="71">
        <v>0</v>
      </c>
      <c r="R10" s="71">
        <v>0</v>
      </c>
      <c r="S10" s="69">
        <v>18870</v>
      </c>
      <c r="Y10" s="66" t="s">
        <v>76</v>
      </c>
      <c r="Z10" s="70">
        <f t="shared" si="14"/>
        <v>6.7463453640874572E-3</v>
      </c>
    </row>
    <row r="11" spans="1:26" x14ac:dyDescent="0.25">
      <c r="A11" s="630" t="s">
        <v>77</v>
      </c>
      <c r="B11" s="66" t="s">
        <v>78</v>
      </c>
      <c r="C11" s="67">
        <f t="shared" si="12"/>
        <v>89520</v>
      </c>
      <c r="D11" s="71">
        <v>120</v>
      </c>
      <c r="E11" s="71">
        <v>240</v>
      </c>
      <c r="F11" s="71">
        <v>240</v>
      </c>
      <c r="G11" s="71">
        <v>120</v>
      </c>
      <c r="H11" s="71">
        <v>120</v>
      </c>
      <c r="I11" s="71">
        <v>210</v>
      </c>
      <c r="J11" s="71">
        <v>150</v>
      </c>
      <c r="K11" s="71">
        <v>60</v>
      </c>
      <c r="L11" s="71">
        <v>180</v>
      </c>
      <c r="M11" s="71">
        <v>180</v>
      </c>
      <c r="N11" s="71">
        <v>30</v>
      </c>
      <c r="O11" s="71">
        <v>0</v>
      </c>
      <c r="P11" s="71">
        <v>30</v>
      </c>
      <c r="Q11" s="71">
        <v>210</v>
      </c>
      <c r="R11" s="71">
        <v>180</v>
      </c>
      <c r="S11" s="69">
        <f>87270+90+90</f>
        <v>87450</v>
      </c>
      <c r="Y11" s="66" t="s">
        <v>78</v>
      </c>
      <c r="Z11" s="70">
        <f t="shared" si="14"/>
        <v>8.1800465527984458E-3</v>
      </c>
    </row>
    <row r="12" spans="1:26" x14ac:dyDescent="0.25">
      <c r="A12" s="631"/>
      <c r="B12" s="66" t="s">
        <v>79</v>
      </c>
      <c r="C12" s="67">
        <f t="shared" si="12"/>
        <v>925000</v>
      </c>
      <c r="D12" s="71">
        <v>0</v>
      </c>
      <c r="E12" s="71">
        <v>0</v>
      </c>
      <c r="F12" s="71">
        <v>0</v>
      </c>
      <c r="G12" s="71">
        <v>0</v>
      </c>
      <c r="H12" s="71">
        <v>0</v>
      </c>
      <c r="I12" s="71">
        <v>0</v>
      </c>
      <c r="J12" s="71">
        <v>0</v>
      </c>
      <c r="K12" s="71">
        <v>0</v>
      </c>
      <c r="L12" s="71">
        <v>250000</v>
      </c>
      <c r="M12" s="71">
        <v>0</v>
      </c>
      <c r="N12" s="71">
        <v>0</v>
      </c>
      <c r="O12" s="71">
        <v>0</v>
      </c>
      <c r="P12" s="71">
        <v>0</v>
      </c>
      <c r="Q12" s="71">
        <v>0</v>
      </c>
      <c r="R12" s="71">
        <v>0</v>
      </c>
      <c r="S12" s="69">
        <v>675000</v>
      </c>
      <c r="Y12" s="66" t="s">
        <v>79</v>
      </c>
      <c r="Z12" s="70">
        <f t="shared" si="14"/>
        <v>8.4523492642298498E-2</v>
      </c>
    </row>
    <row r="13" spans="1:26" s="77" customFormat="1" ht="18.75" x14ac:dyDescent="0.3">
      <c r="A13" s="72" t="s">
        <v>80</v>
      </c>
      <c r="B13" s="73"/>
      <c r="C13" s="74">
        <f t="shared" si="12"/>
        <v>10943703</v>
      </c>
      <c r="D13" s="75">
        <f t="shared" ref="D13:H13" si="15">SUM(D6:D12)</f>
        <v>229205</v>
      </c>
      <c r="E13" s="75">
        <f t="shared" si="15"/>
        <v>218708</v>
      </c>
      <c r="F13" s="75">
        <f>F12+F11+F10+F9+F8+F7+F6</f>
        <v>854858</v>
      </c>
      <c r="G13" s="75">
        <f t="shared" si="15"/>
        <v>378406</v>
      </c>
      <c r="H13" s="75">
        <f t="shared" si="15"/>
        <v>831329</v>
      </c>
      <c r="I13" s="75">
        <f t="shared" ref="I13:S13" si="16">SUM(I6:I12)</f>
        <v>1006832</v>
      </c>
      <c r="J13" s="75">
        <f t="shared" si="16"/>
        <v>804987</v>
      </c>
      <c r="K13" s="75">
        <f t="shared" si="16"/>
        <v>1354758</v>
      </c>
      <c r="L13" s="75">
        <f t="shared" si="16"/>
        <v>1051178</v>
      </c>
      <c r="M13" s="75">
        <f t="shared" si="16"/>
        <v>774787</v>
      </c>
      <c r="N13" s="75">
        <f t="shared" si="16"/>
        <v>271739</v>
      </c>
      <c r="O13" s="75">
        <f t="shared" si="16"/>
        <v>330447</v>
      </c>
      <c r="P13" s="75">
        <f t="shared" si="16"/>
        <v>704605</v>
      </c>
      <c r="Q13" s="75">
        <f t="shared" si="16"/>
        <v>221099</v>
      </c>
      <c r="R13" s="75">
        <f t="shared" si="16"/>
        <v>904829</v>
      </c>
      <c r="S13" s="76">
        <f t="shared" si="16"/>
        <v>1005936</v>
      </c>
      <c r="Z13" s="78">
        <f>SUM(Z6:Z12)</f>
        <v>1</v>
      </c>
    </row>
    <row r="14" spans="1:26" ht="18.75" x14ac:dyDescent="0.3">
      <c r="A14" s="79" t="s">
        <v>81</v>
      </c>
      <c r="B14" s="80" t="str">
        <f>A14</f>
        <v>Sueldos</v>
      </c>
      <c r="C14" s="81">
        <f t="shared" si="12"/>
        <v>2646284</v>
      </c>
      <c r="D14" s="82">
        <v>155382</v>
      </c>
      <c r="E14" s="82">
        <f>D14</f>
        <v>155382</v>
      </c>
      <c r="F14" s="82">
        <f t="shared" ref="F14" si="17">E14</f>
        <v>155382</v>
      </c>
      <c r="G14" s="82">
        <v>158242</v>
      </c>
      <c r="H14" s="82">
        <v>161502</v>
      </c>
      <c r="I14" s="82">
        <v>163572</v>
      </c>
      <c r="J14" s="82">
        <v>163302</v>
      </c>
      <c r="K14" s="82">
        <v>163982</v>
      </c>
      <c r="L14" s="82">
        <v>170922</v>
      </c>
      <c r="M14" s="82">
        <v>170922</v>
      </c>
      <c r="N14" s="82">
        <v>170922</v>
      </c>
      <c r="O14" s="82">
        <v>170922</v>
      </c>
      <c r="P14" s="82">
        <v>170922</v>
      </c>
      <c r="Q14" s="82">
        <v>170922</v>
      </c>
      <c r="R14" s="82">
        <v>173212</v>
      </c>
      <c r="S14" s="69">
        <v>170794</v>
      </c>
      <c r="Y14" s="632">
        <f>C13</f>
        <v>10943703</v>
      </c>
      <c r="Z14" s="633"/>
    </row>
    <row r="15" spans="1:26" x14ac:dyDescent="0.25">
      <c r="A15" s="79" t="s">
        <v>82</v>
      </c>
      <c r="B15" s="80" t="str">
        <f>A15</f>
        <v xml:space="preserve">Mantenimiento </v>
      </c>
      <c r="C15" s="81">
        <f t="shared" si="12"/>
        <v>686244</v>
      </c>
      <c r="D15" s="82">
        <f>EconomiaT49!S15</f>
        <v>39537</v>
      </c>
      <c r="E15" s="82">
        <f t="shared" ref="E15:S22" si="18">D15</f>
        <v>39537</v>
      </c>
      <c r="F15" s="82">
        <f t="shared" si="18"/>
        <v>39537</v>
      </c>
      <c r="G15" s="82">
        <f t="shared" si="18"/>
        <v>39537</v>
      </c>
      <c r="H15" s="82">
        <v>44008</v>
      </c>
      <c r="I15" s="82">
        <f t="shared" si="18"/>
        <v>44008</v>
      </c>
      <c r="J15" s="82">
        <f t="shared" si="18"/>
        <v>44008</v>
      </c>
      <c r="K15" s="82">
        <f t="shared" si="18"/>
        <v>44008</v>
      </c>
      <c r="L15" s="82">
        <f t="shared" si="18"/>
        <v>44008</v>
      </c>
      <c r="M15" s="82">
        <f t="shared" si="18"/>
        <v>44008</v>
      </c>
      <c r="N15" s="82">
        <f t="shared" si="18"/>
        <v>44008</v>
      </c>
      <c r="O15" s="82">
        <f t="shared" si="18"/>
        <v>44008</v>
      </c>
      <c r="P15" s="82">
        <f t="shared" si="18"/>
        <v>44008</v>
      </c>
      <c r="Q15" s="82">
        <f t="shared" si="18"/>
        <v>44008</v>
      </c>
      <c r="R15" s="82">
        <f t="shared" si="18"/>
        <v>44008</v>
      </c>
      <c r="S15" s="69">
        <f t="shared" si="18"/>
        <v>44008</v>
      </c>
    </row>
    <row r="16" spans="1:26" ht="20.25" customHeight="1" x14ac:dyDescent="0.25">
      <c r="A16" s="79" t="s">
        <v>83</v>
      </c>
      <c r="B16" s="80" t="s">
        <v>84</v>
      </c>
      <c r="C16" s="81">
        <f t="shared" si="12"/>
        <v>442795</v>
      </c>
      <c r="D16" s="82">
        <f>EconomiaT49!S16</f>
        <v>0</v>
      </c>
      <c r="E16" s="82">
        <v>442795</v>
      </c>
      <c r="F16" s="82">
        <v>0</v>
      </c>
      <c r="G16" s="82">
        <f t="shared" si="18"/>
        <v>0</v>
      </c>
      <c r="H16" s="82">
        <f t="shared" si="18"/>
        <v>0</v>
      </c>
      <c r="I16" s="82">
        <f t="shared" si="18"/>
        <v>0</v>
      </c>
      <c r="J16" s="82">
        <f t="shared" si="18"/>
        <v>0</v>
      </c>
      <c r="K16" s="82">
        <f t="shared" si="18"/>
        <v>0</v>
      </c>
      <c r="L16" s="82">
        <f t="shared" si="18"/>
        <v>0</v>
      </c>
      <c r="M16" s="82">
        <f t="shared" si="18"/>
        <v>0</v>
      </c>
      <c r="N16" s="82">
        <f t="shared" si="18"/>
        <v>0</v>
      </c>
      <c r="O16" s="82">
        <f t="shared" si="18"/>
        <v>0</v>
      </c>
      <c r="P16" s="82">
        <f t="shared" si="18"/>
        <v>0</v>
      </c>
      <c r="Q16" s="82">
        <f t="shared" si="18"/>
        <v>0</v>
      </c>
      <c r="R16" s="82">
        <f t="shared" si="18"/>
        <v>0</v>
      </c>
      <c r="S16" s="69">
        <f t="shared" si="18"/>
        <v>0</v>
      </c>
    </row>
    <row r="17" spans="1:26" x14ac:dyDescent="0.25">
      <c r="A17" s="79" t="s">
        <v>85</v>
      </c>
      <c r="B17" s="80" t="str">
        <f>A17</f>
        <v>Empleados</v>
      </c>
      <c r="C17" s="81">
        <f t="shared" si="12"/>
        <v>1044480</v>
      </c>
      <c r="D17" s="82">
        <f>EconomiaT49!S17</f>
        <v>65280</v>
      </c>
      <c r="E17" s="82">
        <f t="shared" si="18"/>
        <v>65280</v>
      </c>
      <c r="F17" s="82">
        <f t="shared" si="18"/>
        <v>65280</v>
      </c>
      <c r="G17" s="82">
        <f t="shared" si="18"/>
        <v>65280</v>
      </c>
      <c r="H17" s="82">
        <f t="shared" si="18"/>
        <v>65280</v>
      </c>
      <c r="I17" s="82">
        <f t="shared" si="18"/>
        <v>65280</v>
      </c>
      <c r="J17" s="82">
        <f t="shared" si="18"/>
        <v>65280</v>
      </c>
      <c r="K17" s="82">
        <f t="shared" si="18"/>
        <v>65280</v>
      </c>
      <c r="L17" s="82">
        <f t="shared" si="18"/>
        <v>65280</v>
      </c>
      <c r="M17" s="82">
        <f t="shared" si="18"/>
        <v>65280</v>
      </c>
      <c r="N17" s="82">
        <f t="shared" si="18"/>
        <v>65280</v>
      </c>
      <c r="O17" s="82">
        <f t="shared" si="18"/>
        <v>65280</v>
      </c>
      <c r="P17" s="82">
        <f t="shared" si="18"/>
        <v>65280</v>
      </c>
      <c r="Q17" s="82">
        <f t="shared" si="18"/>
        <v>65280</v>
      </c>
      <c r="R17" s="82">
        <f t="shared" si="18"/>
        <v>65280</v>
      </c>
      <c r="S17" s="69">
        <f t="shared" si="18"/>
        <v>65280</v>
      </c>
    </row>
    <row r="18" spans="1:26" x14ac:dyDescent="0.25">
      <c r="A18" s="79" t="s">
        <v>86</v>
      </c>
      <c r="B18" s="80" t="str">
        <f>A18</f>
        <v>Juveniles</v>
      </c>
      <c r="C18" s="81">
        <f t="shared" si="12"/>
        <v>320000</v>
      </c>
      <c r="D18" s="82">
        <f>EconomiaT49!S18</f>
        <v>20000</v>
      </c>
      <c r="E18" s="82">
        <f t="shared" si="18"/>
        <v>20000</v>
      </c>
      <c r="F18" s="82">
        <f t="shared" si="18"/>
        <v>20000</v>
      </c>
      <c r="G18" s="82">
        <f t="shared" si="18"/>
        <v>20000</v>
      </c>
      <c r="H18" s="82">
        <f t="shared" si="18"/>
        <v>20000</v>
      </c>
      <c r="I18" s="82">
        <f t="shared" si="18"/>
        <v>20000</v>
      </c>
      <c r="J18" s="82">
        <f t="shared" si="18"/>
        <v>20000</v>
      </c>
      <c r="K18" s="82">
        <f t="shared" si="18"/>
        <v>20000</v>
      </c>
      <c r="L18" s="82">
        <f t="shared" si="18"/>
        <v>20000</v>
      </c>
      <c r="M18" s="82">
        <f t="shared" si="18"/>
        <v>20000</v>
      </c>
      <c r="N18" s="82">
        <f t="shared" si="18"/>
        <v>20000</v>
      </c>
      <c r="O18" s="82">
        <f t="shared" si="18"/>
        <v>20000</v>
      </c>
      <c r="P18" s="82">
        <f t="shared" si="18"/>
        <v>20000</v>
      </c>
      <c r="Q18" s="82">
        <f t="shared" si="18"/>
        <v>20000</v>
      </c>
      <c r="R18" s="82">
        <f t="shared" si="18"/>
        <v>20000</v>
      </c>
      <c r="S18" s="69">
        <f t="shared" si="18"/>
        <v>20000</v>
      </c>
    </row>
    <row r="19" spans="1:26" x14ac:dyDescent="0.25">
      <c r="A19" s="79" t="s">
        <v>87</v>
      </c>
      <c r="B19" s="80" t="s">
        <v>88</v>
      </c>
      <c r="C19" s="81">
        <f t="shared" si="12"/>
        <v>0</v>
      </c>
      <c r="D19" s="82">
        <f>EconomiaT49!S19</f>
        <v>0</v>
      </c>
      <c r="E19" s="82">
        <f t="shared" si="18"/>
        <v>0</v>
      </c>
      <c r="F19" s="82">
        <f t="shared" si="18"/>
        <v>0</v>
      </c>
      <c r="G19" s="82">
        <f t="shared" si="18"/>
        <v>0</v>
      </c>
      <c r="H19" s="82">
        <f t="shared" si="18"/>
        <v>0</v>
      </c>
      <c r="I19" s="82">
        <f t="shared" si="18"/>
        <v>0</v>
      </c>
      <c r="J19" s="82">
        <f t="shared" si="18"/>
        <v>0</v>
      </c>
      <c r="K19" s="82">
        <f t="shared" si="18"/>
        <v>0</v>
      </c>
      <c r="L19" s="82">
        <f t="shared" si="18"/>
        <v>0</v>
      </c>
      <c r="M19" s="82">
        <f t="shared" si="18"/>
        <v>0</v>
      </c>
      <c r="N19" s="82">
        <f t="shared" si="18"/>
        <v>0</v>
      </c>
      <c r="O19" s="82">
        <f t="shared" si="18"/>
        <v>0</v>
      </c>
      <c r="P19" s="82">
        <f t="shared" si="18"/>
        <v>0</v>
      </c>
      <c r="Q19" s="82">
        <f t="shared" si="18"/>
        <v>0</v>
      </c>
      <c r="R19" s="82">
        <f t="shared" si="18"/>
        <v>0</v>
      </c>
      <c r="S19" s="69">
        <f t="shared" si="18"/>
        <v>0</v>
      </c>
    </row>
    <row r="20" spans="1:26" x14ac:dyDescent="0.25">
      <c r="A20" s="83" t="s">
        <v>77</v>
      </c>
      <c r="B20" s="80" t="s">
        <v>67</v>
      </c>
      <c r="C20" s="81">
        <f t="shared" si="12"/>
        <v>1916372</v>
      </c>
      <c r="D20" s="82">
        <f>EconomiaT49!S20</f>
        <v>0</v>
      </c>
      <c r="E20" s="82">
        <f t="shared" si="18"/>
        <v>0</v>
      </c>
      <c r="F20" s="82">
        <f t="shared" si="18"/>
        <v>0</v>
      </c>
      <c r="G20" s="82">
        <f t="shared" si="18"/>
        <v>0</v>
      </c>
      <c r="H20" s="82">
        <f t="shared" si="18"/>
        <v>0</v>
      </c>
      <c r="I20" s="82">
        <f t="shared" si="18"/>
        <v>0</v>
      </c>
      <c r="J20" s="82">
        <f t="shared" si="18"/>
        <v>0</v>
      </c>
      <c r="K20" s="82">
        <f t="shared" si="18"/>
        <v>0</v>
      </c>
      <c r="L20" s="82">
        <f t="shared" si="18"/>
        <v>0</v>
      </c>
      <c r="M20" s="82">
        <f t="shared" si="18"/>
        <v>0</v>
      </c>
      <c r="N20" s="82">
        <f t="shared" si="18"/>
        <v>0</v>
      </c>
      <c r="O20" s="82">
        <f t="shared" si="18"/>
        <v>0</v>
      </c>
      <c r="P20" s="82">
        <f t="shared" si="18"/>
        <v>0</v>
      </c>
      <c r="Q20" s="82">
        <f t="shared" si="18"/>
        <v>0</v>
      </c>
      <c r="R20" s="82">
        <v>1916372</v>
      </c>
      <c r="S20" s="69">
        <v>0</v>
      </c>
    </row>
    <row r="21" spans="1:26" x14ac:dyDescent="0.25">
      <c r="A21" s="83"/>
      <c r="B21" s="80" t="s">
        <v>89</v>
      </c>
      <c r="C21" s="81">
        <f t="shared" si="12"/>
        <v>87000</v>
      </c>
      <c r="D21" s="82">
        <v>3000</v>
      </c>
      <c r="E21" s="82">
        <v>0</v>
      </c>
      <c r="F21" s="82">
        <v>0</v>
      </c>
      <c r="G21" s="82">
        <v>0</v>
      </c>
      <c r="H21" s="82">
        <v>4000</v>
      </c>
      <c r="I21" s="82">
        <v>0</v>
      </c>
      <c r="J21" s="82">
        <v>3000</v>
      </c>
      <c r="K21" s="82">
        <f t="shared" si="18"/>
        <v>3000</v>
      </c>
      <c r="L21" s="82">
        <v>9000</v>
      </c>
      <c r="M21" s="82">
        <v>9000</v>
      </c>
      <c r="N21" s="82">
        <f t="shared" si="18"/>
        <v>9000</v>
      </c>
      <c r="O21" s="82">
        <v>9000</v>
      </c>
      <c r="P21" s="82">
        <f>2000+6000</f>
        <v>8000</v>
      </c>
      <c r="Q21" s="82">
        <v>9000</v>
      </c>
      <c r="R21" s="82">
        <v>15000</v>
      </c>
      <c r="S21" s="69">
        <v>6000</v>
      </c>
    </row>
    <row r="22" spans="1:26" x14ac:dyDescent="0.25">
      <c r="A22" s="79" t="s">
        <v>90</v>
      </c>
      <c r="B22" s="80" t="str">
        <f>A22</f>
        <v>Intereses</v>
      </c>
      <c r="C22" s="81">
        <f t="shared" si="12"/>
        <v>0</v>
      </c>
      <c r="D22" s="82">
        <f>EconomiaT49!S22</f>
        <v>0</v>
      </c>
      <c r="E22" s="82">
        <f t="shared" si="18"/>
        <v>0</v>
      </c>
      <c r="F22" s="82">
        <f t="shared" si="18"/>
        <v>0</v>
      </c>
      <c r="G22" s="82">
        <f t="shared" si="18"/>
        <v>0</v>
      </c>
      <c r="H22" s="82">
        <f t="shared" si="18"/>
        <v>0</v>
      </c>
      <c r="I22" s="82">
        <f t="shared" si="18"/>
        <v>0</v>
      </c>
      <c r="J22" s="82">
        <f t="shared" si="18"/>
        <v>0</v>
      </c>
      <c r="K22" s="82">
        <f t="shared" si="18"/>
        <v>0</v>
      </c>
      <c r="L22" s="82">
        <f t="shared" si="18"/>
        <v>0</v>
      </c>
      <c r="M22" s="82">
        <f t="shared" si="18"/>
        <v>0</v>
      </c>
      <c r="N22" s="82">
        <f t="shared" si="18"/>
        <v>0</v>
      </c>
      <c r="O22" s="82">
        <f t="shared" si="18"/>
        <v>0</v>
      </c>
      <c r="P22" s="82">
        <f t="shared" si="18"/>
        <v>0</v>
      </c>
      <c r="Q22" s="82">
        <f t="shared" si="18"/>
        <v>0</v>
      </c>
      <c r="R22" s="82">
        <f t="shared" si="18"/>
        <v>0</v>
      </c>
      <c r="S22" s="69">
        <f t="shared" si="18"/>
        <v>0</v>
      </c>
    </row>
    <row r="23" spans="1:26" s="89" customFormat="1" ht="18.75" x14ac:dyDescent="0.3">
      <c r="A23" s="84" t="s">
        <v>91</v>
      </c>
      <c r="B23" s="85"/>
      <c r="C23" s="86">
        <f t="shared" si="12"/>
        <v>7143175</v>
      </c>
      <c r="D23" s="87">
        <f t="shared" ref="D23:S23" si="19">SUM(D14:D22)</f>
        <v>283199</v>
      </c>
      <c r="E23" s="87">
        <f t="shared" si="19"/>
        <v>722994</v>
      </c>
      <c r="F23" s="87">
        <f t="shared" si="19"/>
        <v>280199</v>
      </c>
      <c r="G23" s="87">
        <f t="shared" si="19"/>
        <v>283059</v>
      </c>
      <c r="H23" s="87">
        <f t="shared" si="19"/>
        <v>294790</v>
      </c>
      <c r="I23" s="87">
        <f t="shared" si="19"/>
        <v>292860</v>
      </c>
      <c r="J23" s="87">
        <f t="shared" si="19"/>
        <v>295590</v>
      </c>
      <c r="K23" s="87">
        <f t="shared" si="19"/>
        <v>296270</v>
      </c>
      <c r="L23" s="87">
        <f t="shared" si="19"/>
        <v>309210</v>
      </c>
      <c r="M23" s="87">
        <f t="shared" si="19"/>
        <v>309210</v>
      </c>
      <c r="N23" s="87">
        <f t="shared" si="19"/>
        <v>309210</v>
      </c>
      <c r="O23" s="87">
        <f t="shared" si="19"/>
        <v>309210</v>
      </c>
      <c r="P23" s="87">
        <f t="shared" si="19"/>
        <v>308210</v>
      </c>
      <c r="Q23" s="87">
        <f t="shared" si="19"/>
        <v>309210</v>
      </c>
      <c r="R23" s="87">
        <f t="shared" si="19"/>
        <v>2233872</v>
      </c>
      <c r="S23" s="88">
        <f t="shared" si="19"/>
        <v>306082</v>
      </c>
      <c r="Y23" s="80" t="s">
        <v>81</v>
      </c>
      <c r="Z23" s="90">
        <f>C14/$C$23</f>
        <v>0.37046327438428989</v>
      </c>
    </row>
    <row r="24" spans="1:26" s="65" customFormat="1" ht="18.75" x14ac:dyDescent="0.3">
      <c r="A24" s="91" t="s">
        <v>92</v>
      </c>
      <c r="B24" s="91"/>
      <c r="C24" s="63">
        <f>C5+C13-C23</f>
        <v>3416725</v>
      </c>
      <c r="D24" s="63">
        <f t="shared" ref="D24:S24" si="20">D5+D13-D23</f>
        <v>-437797</v>
      </c>
      <c r="E24" s="63">
        <f t="shared" si="20"/>
        <v>-942083</v>
      </c>
      <c r="F24" s="63">
        <f t="shared" si="20"/>
        <v>-367424</v>
      </c>
      <c r="G24" s="63">
        <f t="shared" si="20"/>
        <v>-272077</v>
      </c>
      <c r="H24" s="63">
        <f t="shared" si="20"/>
        <v>264462</v>
      </c>
      <c r="I24" s="63">
        <f t="shared" si="20"/>
        <v>978434</v>
      </c>
      <c r="J24" s="63">
        <f t="shared" si="20"/>
        <v>1487831</v>
      </c>
      <c r="K24" s="63">
        <f t="shared" si="20"/>
        <v>2546319</v>
      </c>
      <c r="L24" s="63">
        <f t="shared" si="20"/>
        <v>3288287</v>
      </c>
      <c r="M24" s="63">
        <f t="shared" si="20"/>
        <v>3753864</v>
      </c>
      <c r="N24" s="63">
        <f t="shared" si="20"/>
        <v>3716393</v>
      </c>
      <c r="O24" s="63">
        <f t="shared" si="20"/>
        <v>3737630</v>
      </c>
      <c r="P24" s="63">
        <f t="shared" si="20"/>
        <v>4134025</v>
      </c>
      <c r="Q24" s="63">
        <f t="shared" si="20"/>
        <v>4045914</v>
      </c>
      <c r="R24" s="63">
        <f t="shared" si="20"/>
        <v>2716871</v>
      </c>
      <c r="S24" s="64">
        <f t="shared" si="20"/>
        <v>3416725</v>
      </c>
      <c r="Y24" s="80" t="s">
        <v>82</v>
      </c>
      <c r="Z24" s="90">
        <f t="shared" ref="Z24:Z31" si="21">C15/$C$23</f>
        <v>9.6069884890122387E-2</v>
      </c>
    </row>
    <row r="25" spans="1:26" s="53" customFormat="1" x14ac:dyDescent="0.25">
      <c r="A25" s="92"/>
      <c r="B25" s="92"/>
      <c r="C25" s="92"/>
      <c r="D25" s="93" t="e">
        <f>D2+7</f>
        <v>#REF!</v>
      </c>
      <c r="E25" s="93" t="e">
        <f t="shared" ref="E25:S25" si="22">D25+7</f>
        <v>#REF!</v>
      </c>
      <c r="F25" s="93" t="e">
        <f t="shared" si="22"/>
        <v>#REF!</v>
      </c>
      <c r="G25" s="93" t="e">
        <f t="shared" si="22"/>
        <v>#REF!</v>
      </c>
      <c r="H25" s="93" t="e">
        <f t="shared" si="22"/>
        <v>#REF!</v>
      </c>
      <c r="I25" s="93" t="e">
        <f t="shared" si="22"/>
        <v>#REF!</v>
      </c>
      <c r="J25" s="93" t="e">
        <f t="shared" si="22"/>
        <v>#REF!</v>
      </c>
      <c r="K25" s="93" t="e">
        <f t="shared" si="22"/>
        <v>#REF!</v>
      </c>
      <c r="L25" s="93" t="e">
        <f t="shared" si="22"/>
        <v>#REF!</v>
      </c>
      <c r="M25" s="93" t="e">
        <f t="shared" si="22"/>
        <v>#REF!</v>
      </c>
      <c r="N25" s="93" t="e">
        <f t="shared" si="22"/>
        <v>#REF!</v>
      </c>
      <c r="O25" s="93" t="e">
        <f t="shared" si="22"/>
        <v>#REF!</v>
      </c>
      <c r="P25" s="93" t="e">
        <f t="shared" si="22"/>
        <v>#REF!</v>
      </c>
      <c r="Q25" s="93" t="e">
        <f t="shared" si="22"/>
        <v>#REF!</v>
      </c>
      <c r="R25" s="93" t="e">
        <f t="shared" si="22"/>
        <v>#REF!</v>
      </c>
      <c r="S25" s="93" t="e">
        <f t="shared" si="22"/>
        <v>#REF!</v>
      </c>
      <c r="Y25" s="80" t="s">
        <v>84</v>
      </c>
      <c r="Z25" s="90">
        <f t="shared" si="21"/>
        <v>6.1988541509902809E-2</v>
      </c>
    </row>
    <row r="26" spans="1:26" s="53" customFormat="1" x14ac:dyDescent="0.25">
      <c r="A26" s="634" t="s">
        <v>93</v>
      </c>
      <c r="B26" s="634"/>
      <c r="C26" s="94">
        <f>C6+C7+C11</f>
        <v>9359046</v>
      </c>
      <c r="D26" s="94">
        <f t="shared" ref="D26:S26" si="23">D6+D7+D11</f>
        <v>173155</v>
      </c>
      <c r="E26" s="94">
        <f t="shared" si="23"/>
        <v>218708</v>
      </c>
      <c r="F26" s="94">
        <f t="shared" si="23"/>
        <v>854858</v>
      </c>
      <c r="G26" s="94">
        <f t="shared" si="23"/>
        <v>378406</v>
      </c>
      <c r="H26" s="94">
        <f t="shared" si="23"/>
        <v>831329</v>
      </c>
      <c r="I26" s="94">
        <f t="shared" si="23"/>
        <v>949972</v>
      </c>
      <c r="J26" s="94">
        <f t="shared" si="23"/>
        <v>557037</v>
      </c>
      <c r="K26" s="94">
        <f t="shared" si="23"/>
        <v>1274331</v>
      </c>
      <c r="L26" s="94">
        <f t="shared" si="23"/>
        <v>801178</v>
      </c>
      <c r="M26" s="94">
        <f t="shared" si="23"/>
        <v>774787</v>
      </c>
      <c r="N26" s="94">
        <f t="shared" si="23"/>
        <v>271739</v>
      </c>
      <c r="O26" s="94">
        <f t="shared" si="23"/>
        <v>220247</v>
      </c>
      <c r="P26" s="94">
        <f t="shared" si="23"/>
        <v>615305</v>
      </c>
      <c r="Q26" s="94">
        <f t="shared" si="23"/>
        <v>221099</v>
      </c>
      <c r="R26" s="94">
        <f>R6+R7+R11</f>
        <v>904829</v>
      </c>
      <c r="S26" s="94">
        <f t="shared" si="23"/>
        <v>312066</v>
      </c>
      <c r="T26" s="95"/>
      <c r="Y26" s="80" t="s">
        <v>85</v>
      </c>
      <c r="Z26" s="90">
        <f t="shared" si="21"/>
        <v>0.14622069317915354</v>
      </c>
    </row>
    <row r="27" spans="1:26" s="53" customFormat="1" x14ac:dyDescent="0.25">
      <c r="A27" s="624" t="s">
        <v>94</v>
      </c>
      <c r="B27" s="624"/>
      <c r="C27" s="96">
        <f>C14+C15+C17+C18+C21</f>
        <v>4784008</v>
      </c>
      <c r="D27" s="96">
        <f t="shared" ref="D27:S27" si="24">D14+D15+D17+D18+D21</f>
        <v>283199</v>
      </c>
      <c r="E27" s="96">
        <f t="shared" si="24"/>
        <v>280199</v>
      </c>
      <c r="F27" s="96">
        <f t="shared" si="24"/>
        <v>280199</v>
      </c>
      <c r="G27" s="96">
        <f t="shared" si="24"/>
        <v>283059</v>
      </c>
      <c r="H27" s="96">
        <f t="shared" si="24"/>
        <v>294790</v>
      </c>
      <c r="I27" s="96">
        <f t="shared" si="24"/>
        <v>292860</v>
      </c>
      <c r="J27" s="96">
        <f t="shared" si="24"/>
        <v>295590</v>
      </c>
      <c r="K27" s="96">
        <f t="shared" si="24"/>
        <v>296270</v>
      </c>
      <c r="L27" s="96">
        <f t="shared" si="24"/>
        <v>309210</v>
      </c>
      <c r="M27" s="96">
        <f t="shared" si="24"/>
        <v>309210</v>
      </c>
      <c r="N27" s="96">
        <f t="shared" si="24"/>
        <v>309210</v>
      </c>
      <c r="O27" s="96">
        <f t="shared" si="24"/>
        <v>309210</v>
      </c>
      <c r="P27" s="96">
        <f t="shared" si="24"/>
        <v>308210</v>
      </c>
      <c r="Q27" s="96">
        <f t="shared" si="24"/>
        <v>309210</v>
      </c>
      <c r="R27" s="96">
        <f>R14+R15+R17+R18+R21</f>
        <v>317500</v>
      </c>
      <c r="S27" s="96">
        <f t="shared" si="24"/>
        <v>306082</v>
      </c>
      <c r="T27" s="97"/>
      <c r="Y27" s="80" t="s">
        <v>86</v>
      </c>
      <c r="Z27" s="90">
        <f t="shared" si="21"/>
        <v>4.4798006488711253E-2</v>
      </c>
    </row>
    <row r="28" spans="1:26" x14ac:dyDescent="0.25">
      <c r="A28" s="625" t="s">
        <v>95</v>
      </c>
      <c r="B28" s="625"/>
      <c r="C28" s="98">
        <f>C26-C27</f>
        <v>4575038</v>
      </c>
      <c r="D28" s="98">
        <f t="shared" ref="D28:S28" si="25">D26-D27</f>
        <v>-110044</v>
      </c>
      <c r="E28" s="98">
        <f t="shared" si="25"/>
        <v>-61491</v>
      </c>
      <c r="F28" s="98">
        <f t="shared" si="25"/>
        <v>574659</v>
      </c>
      <c r="G28" s="98">
        <f t="shared" si="25"/>
        <v>95347</v>
      </c>
      <c r="H28" s="98">
        <f t="shared" si="25"/>
        <v>536539</v>
      </c>
      <c r="I28" s="98">
        <f t="shared" si="25"/>
        <v>657112</v>
      </c>
      <c r="J28" s="98">
        <f t="shared" si="25"/>
        <v>261447</v>
      </c>
      <c r="K28" s="98">
        <f t="shared" si="25"/>
        <v>978061</v>
      </c>
      <c r="L28" s="98">
        <f t="shared" si="25"/>
        <v>491968</v>
      </c>
      <c r="M28" s="98">
        <f t="shared" si="25"/>
        <v>465577</v>
      </c>
      <c r="N28" s="98">
        <f t="shared" si="25"/>
        <v>-37471</v>
      </c>
      <c r="O28" s="98">
        <f t="shared" si="25"/>
        <v>-88963</v>
      </c>
      <c r="P28" s="98">
        <f t="shared" si="25"/>
        <v>307095</v>
      </c>
      <c r="Q28" s="98">
        <f t="shared" si="25"/>
        <v>-88111</v>
      </c>
      <c r="R28" s="98">
        <f>R26-R27</f>
        <v>587329</v>
      </c>
      <c r="S28" s="98">
        <f t="shared" si="25"/>
        <v>5984</v>
      </c>
      <c r="T28" s="99"/>
      <c r="Y28" s="80" t="s">
        <v>88</v>
      </c>
      <c r="Z28" s="90">
        <f t="shared" si="21"/>
        <v>0</v>
      </c>
    </row>
    <row r="29" spans="1:26" x14ac:dyDescent="0.25">
      <c r="A29" s="634" t="s">
        <v>96</v>
      </c>
      <c r="B29" s="634"/>
      <c r="C29" s="94">
        <f>C8+C9+C10+C12</f>
        <v>1584657</v>
      </c>
      <c r="D29" s="94">
        <f t="shared" ref="D29:S29" si="26">D8+D9+D10+D12</f>
        <v>56050</v>
      </c>
      <c r="E29" s="94">
        <f t="shared" si="26"/>
        <v>0</v>
      </c>
      <c r="F29" s="94">
        <f t="shared" si="26"/>
        <v>0</v>
      </c>
      <c r="G29" s="94">
        <f t="shared" si="26"/>
        <v>0</v>
      </c>
      <c r="H29" s="94">
        <f t="shared" si="26"/>
        <v>0</v>
      </c>
      <c r="I29" s="94">
        <f t="shared" si="26"/>
        <v>56860</v>
      </c>
      <c r="J29" s="94">
        <f t="shared" si="26"/>
        <v>247950</v>
      </c>
      <c r="K29" s="94">
        <f t="shared" si="26"/>
        <v>80427</v>
      </c>
      <c r="L29" s="94">
        <f t="shared" si="26"/>
        <v>250000</v>
      </c>
      <c r="M29" s="94">
        <f t="shared" si="26"/>
        <v>0</v>
      </c>
      <c r="N29" s="94">
        <f t="shared" si="26"/>
        <v>0</v>
      </c>
      <c r="O29" s="94">
        <f t="shared" si="26"/>
        <v>110200</v>
      </c>
      <c r="P29" s="94">
        <f t="shared" si="26"/>
        <v>89300</v>
      </c>
      <c r="Q29" s="94">
        <f t="shared" si="26"/>
        <v>0</v>
      </c>
      <c r="R29" s="94">
        <f>R8+R9+R10+R12</f>
        <v>0</v>
      </c>
      <c r="S29" s="94">
        <f t="shared" si="26"/>
        <v>693870</v>
      </c>
      <c r="T29" s="99"/>
      <c r="Y29" s="80" t="s">
        <v>67</v>
      </c>
      <c r="Z29" s="90">
        <f t="shared" si="21"/>
        <v>0.26828014153370178</v>
      </c>
    </row>
    <row r="30" spans="1:26" s="58" customFormat="1" x14ac:dyDescent="0.25">
      <c r="A30" s="624" t="s">
        <v>97</v>
      </c>
      <c r="B30" s="624"/>
      <c r="C30" s="96">
        <f>C16+C19+C20+C22</f>
        <v>2359167</v>
      </c>
      <c r="D30" s="96">
        <f t="shared" ref="D30:S30" si="27">D16+D19+D20+D22</f>
        <v>0</v>
      </c>
      <c r="E30" s="96">
        <f t="shared" si="27"/>
        <v>442795</v>
      </c>
      <c r="F30" s="96">
        <f t="shared" si="27"/>
        <v>0</v>
      </c>
      <c r="G30" s="96">
        <f t="shared" si="27"/>
        <v>0</v>
      </c>
      <c r="H30" s="96">
        <f t="shared" si="27"/>
        <v>0</v>
      </c>
      <c r="I30" s="96">
        <f t="shared" si="27"/>
        <v>0</v>
      </c>
      <c r="J30" s="96">
        <f t="shared" si="27"/>
        <v>0</v>
      </c>
      <c r="K30" s="96">
        <f t="shared" si="27"/>
        <v>0</v>
      </c>
      <c r="L30" s="96">
        <f t="shared" si="27"/>
        <v>0</v>
      </c>
      <c r="M30" s="96">
        <f t="shared" si="27"/>
        <v>0</v>
      </c>
      <c r="N30" s="96">
        <f t="shared" si="27"/>
        <v>0</v>
      </c>
      <c r="O30" s="96">
        <f t="shared" si="27"/>
        <v>0</v>
      </c>
      <c r="P30" s="96">
        <f t="shared" si="27"/>
        <v>0</v>
      </c>
      <c r="Q30" s="96">
        <f t="shared" si="27"/>
        <v>0</v>
      </c>
      <c r="R30" s="96">
        <f>R16+R19+R20+R22</f>
        <v>1916372</v>
      </c>
      <c r="S30" s="96">
        <f t="shared" si="27"/>
        <v>0</v>
      </c>
      <c r="Y30" s="80" t="s">
        <v>89</v>
      </c>
      <c r="Z30" s="90">
        <f t="shared" si="21"/>
        <v>1.2179458014118372E-2</v>
      </c>
    </row>
    <row r="31" spans="1:26" s="58" customFormat="1" x14ac:dyDescent="0.25">
      <c r="A31" s="625" t="s">
        <v>98</v>
      </c>
      <c r="B31" s="625"/>
      <c r="C31" s="98">
        <f>C29-C30</f>
        <v>-774510</v>
      </c>
      <c r="D31" s="98">
        <f t="shared" ref="D31:S31" si="28">D29-D30</f>
        <v>56050</v>
      </c>
      <c r="E31" s="98">
        <f t="shared" si="28"/>
        <v>-442795</v>
      </c>
      <c r="F31" s="98">
        <f t="shared" si="28"/>
        <v>0</v>
      </c>
      <c r="G31" s="98">
        <f t="shared" si="28"/>
        <v>0</v>
      </c>
      <c r="H31" s="98">
        <f t="shared" si="28"/>
        <v>0</v>
      </c>
      <c r="I31" s="98">
        <f t="shared" si="28"/>
        <v>56860</v>
      </c>
      <c r="J31" s="98">
        <f t="shared" si="28"/>
        <v>247950</v>
      </c>
      <c r="K31" s="98">
        <f t="shared" si="28"/>
        <v>80427</v>
      </c>
      <c r="L31" s="98">
        <f t="shared" si="28"/>
        <v>250000</v>
      </c>
      <c r="M31" s="98">
        <f t="shared" si="28"/>
        <v>0</v>
      </c>
      <c r="N31" s="98">
        <f t="shared" si="28"/>
        <v>0</v>
      </c>
      <c r="O31" s="98">
        <f t="shared" si="28"/>
        <v>110200</v>
      </c>
      <c r="P31" s="98">
        <f t="shared" si="28"/>
        <v>89300</v>
      </c>
      <c r="Q31" s="98">
        <f t="shared" si="28"/>
        <v>0</v>
      </c>
      <c r="R31" s="98">
        <f>R29-R30</f>
        <v>-1916372</v>
      </c>
      <c r="S31" s="98">
        <f t="shared" si="28"/>
        <v>693870</v>
      </c>
      <c r="Y31" s="80" t="s">
        <v>90</v>
      </c>
      <c r="Z31" s="90">
        <f t="shared" si="21"/>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0" customFormat="1" ht="18.75" x14ac:dyDescent="0.3">
      <c r="A33" s="321"/>
      <c r="B33" s="321"/>
      <c r="C33" s="322" t="s">
        <v>100</v>
      </c>
      <c r="D33" s="158">
        <v>22</v>
      </c>
      <c r="E33" s="158">
        <v>21</v>
      </c>
      <c r="F33" s="158"/>
      <c r="G33" s="158">
        <v>21</v>
      </c>
      <c r="H33" s="158">
        <v>21</v>
      </c>
      <c r="I33" s="158">
        <v>21</v>
      </c>
      <c r="J33" s="158">
        <v>22</v>
      </c>
      <c r="K33" s="158">
        <v>21</v>
      </c>
      <c r="L33" s="158">
        <v>22</v>
      </c>
      <c r="M33" s="158"/>
      <c r="N33" s="158"/>
      <c r="O33" s="158"/>
      <c r="P33" s="158"/>
      <c r="Q33" s="158"/>
      <c r="R33" s="158">
        <v>22</v>
      </c>
      <c r="S33" s="158">
        <v>21</v>
      </c>
      <c r="Z33" s="323"/>
    </row>
    <row r="34" spans="1:26" s="58" customFormat="1" ht="18.75" x14ac:dyDescent="0.3">
      <c r="A34" s="57"/>
      <c r="B34" s="626" t="s">
        <v>368</v>
      </c>
      <c r="C34" s="157" t="s">
        <v>176</v>
      </c>
      <c r="D34" s="158">
        <v>1196590</v>
      </c>
      <c r="E34" s="158">
        <v>1210970</v>
      </c>
      <c r="F34" s="158"/>
      <c r="G34" s="158">
        <v>1224400</v>
      </c>
      <c r="H34" s="158">
        <v>1250130</v>
      </c>
      <c r="I34" s="158">
        <v>1216540</v>
      </c>
      <c r="J34" s="158">
        <v>1205280</v>
      </c>
      <c r="K34" s="158">
        <v>1216570</v>
      </c>
      <c r="L34" s="158">
        <v>1203720</v>
      </c>
      <c r="M34" s="158"/>
      <c r="N34" s="158"/>
      <c r="O34" s="158"/>
      <c r="P34" s="158"/>
      <c r="Q34" s="158"/>
      <c r="R34" s="158">
        <v>1352030</v>
      </c>
      <c r="S34" s="158">
        <v>1365930</v>
      </c>
      <c r="Y34" s="627">
        <f>C23</f>
        <v>7143175</v>
      </c>
      <c r="Z34" s="628"/>
    </row>
    <row r="35" spans="1:26" x14ac:dyDescent="0.25">
      <c r="A35" s="57"/>
      <c r="B35" s="626"/>
      <c r="C35" s="157" t="s">
        <v>103</v>
      </c>
      <c r="D35" s="158">
        <v>155082</v>
      </c>
      <c r="E35" s="158">
        <v>155082</v>
      </c>
      <c r="F35" s="158"/>
      <c r="G35" s="158">
        <v>157942</v>
      </c>
      <c r="H35" s="158">
        <v>161202</v>
      </c>
      <c r="I35" s="158">
        <v>162982</v>
      </c>
      <c r="J35" s="158">
        <v>163332</v>
      </c>
      <c r="K35" s="158">
        <v>163682</v>
      </c>
      <c r="L35" s="158">
        <v>170232</v>
      </c>
      <c r="M35" s="158"/>
      <c r="N35" s="158"/>
      <c r="O35" s="158"/>
      <c r="P35" s="158"/>
      <c r="Q35" s="158"/>
      <c r="R35" s="158">
        <v>173702</v>
      </c>
      <c r="S35" s="158">
        <v>170144</v>
      </c>
    </row>
    <row r="36" spans="1:26" x14ac:dyDescent="0.25">
      <c r="A36" s="57"/>
      <c r="B36" s="626"/>
      <c r="C36" s="157" t="s">
        <v>509</v>
      </c>
      <c r="D36" s="158">
        <v>1053870</v>
      </c>
      <c r="E36" s="158">
        <v>1070960</v>
      </c>
      <c r="F36" s="158"/>
      <c r="G36" s="158">
        <v>1085330</v>
      </c>
      <c r="H36" s="158">
        <v>1110180</v>
      </c>
      <c r="I36" s="158">
        <v>1077690</v>
      </c>
      <c r="J36" s="158">
        <v>1068030</v>
      </c>
      <c r="K36" s="158">
        <v>1081450</v>
      </c>
      <c r="L36" s="158">
        <v>1063680</v>
      </c>
      <c r="M36" s="158"/>
      <c r="N36" s="158"/>
      <c r="O36" s="158"/>
      <c r="P36" s="158"/>
      <c r="Q36" s="158"/>
      <c r="R36" s="158">
        <v>1199560</v>
      </c>
      <c r="S36" s="158">
        <v>1218160</v>
      </c>
    </row>
    <row r="37" spans="1:26" x14ac:dyDescent="0.25">
      <c r="A37" s="57"/>
      <c r="B37" s="626"/>
      <c r="C37" s="157" t="s">
        <v>510</v>
      </c>
      <c r="D37" s="158">
        <v>133872</v>
      </c>
      <c r="E37" s="158">
        <v>133872</v>
      </c>
      <c r="F37" s="158"/>
      <c r="G37" s="158">
        <v>136732</v>
      </c>
      <c r="H37" s="158">
        <v>139932</v>
      </c>
      <c r="I37" s="158">
        <v>141712</v>
      </c>
      <c r="J37" s="158">
        <v>141712</v>
      </c>
      <c r="K37" s="158">
        <v>141712</v>
      </c>
      <c r="L37" s="158">
        <v>147972</v>
      </c>
      <c r="M37" s="158"/>
      <c r="N37" s="158"/>
      <c r="O37" s="158"/>
      <c r="P37" s="158"/>
      <c r="Q37" s="158"/>
      <c r="R37" s="158">
        <v>151312</v>
      </c>
      <c r="S37" s="158">
        <v>148252</v>
      </c>
    </row>
    <row r="38" spans="1:26" x14ac:dyDescent="0.25">
      <c r="A38" s="57"/>
      <c r="B38" s="626"/>
      <c r="C38" s="157" t="s">
        <v>511</v>
      </c>
      <c r="D38" s="159" t="s">
        <v>632</v>
      </c>
      <c r="E38" s="159" t="s">
        <v>636</v>
      </c>
      <c r="F38" s="159"/>
      <c r="G38" s="159" t="s">
        <v>652</v>
      </c>
      <c r="H38" s="159" t="s">
        <v>653</v>
      </c>
      <c r="I38" s="159" t="s">
        <v>654</v>
      </c>
      <c r="J38" s="159" t="s">
        <v>657</v>
      </c>
      <c r="K38" s="159" t="s">
        <v>663</v>
      </c>
      <c r="L38" s="159" t="s">
        <v>673</v>
      </c>
      <c r="M38" s="159"/>
      <c r="N38" s="159"/>
      <c r="O38" s="159"/>
      <c r="P38" s="159"/>
      <c r="Q38" s="159"/>
      <c r="R38" s="159" t="s">
        <v>679</v>
      </c>
      <c r="S38" s="159" t="s">
        <v>681</v>
      </c>
    </row>
    <row r="39" spans="1:26" x14ac:dyDescent="0.25">
      <c r="A39" s="57"/>
      <c r="B39" s="626"/>
      <c r="C39" s="157" t="s">
        <v>512</v>
      </c>
      <c r="D39" s="160">
        <v>7</v>
      </c>
      <c r="E39" s="160">
        <v>7</v>
      </c>
      <c r="F39" s="160"/>
      <c r="G39" s="160">
        <v>7</v>
      </c>
      <c r="H39" s="160">
        <v>7</v>
      </c>
      <c r="I39" s="160">
        <v>6.75</v>
      </c>
      <c r="J39" s="160">
        <v>6.75</v>
      </c>
      <c r="K39" s="160">
        <v>6.75</v>
      </c>
      <c r="L39" s="160">
        <v>6.75</v>
      </c>
      <c r="M39" s="160"/>
      <c r="N39" s="160"/>
      <c r="O39" s="160"/>
      <c r="P39" s="160"/>
      <c r="Q39" s="160"/>
      <c r="R39" s="160">
        <v>6.75</v>
      </c>
      <c r="S39" s="160">
        <v>6.75</v>
      </c>
    </row>
    <row r="40" spans="1:26" x14ac:dyDescent="0.25">
      <c r="B40" s="626"/>
      <c r="C40" s="157" t="s">
        <v>513</v>
      </c>
      <c r="D40" s="160">
        <v>6.5</v>
      </c>
      <c r="E40" s="160">
        <v>6.5</v>
      </c>
      <c r="F40" s="160"/>
      <c r="G40" s="160">
        <v>6.5</v>
      </c>
      <c r="H40" s="160">
        <v>6.25</v>
      </c>
      <c r="I40" s="160">
        <v>6</v>
      </c>
      <c r="J40" s="160">
        <v>6</v>
      </c>
      <c r="K40" s="160">
        <v>6</v>
      </c>
      <c r="L40" s="160">
        <v>6</v>
      </c>
      <c r="M40" s="160"/>
      <c r="N40" s="160"/>
      <c r="O40" s="160"/>
      <c r="P40" s="160"/>
      <c r="Q40" s="160"/>
      <c r="R40" s="160">
        <v>6.25</v>
      </c>
      <c r="S40" s="160">
        <v>6.25</v>
      </c>
    </row>
    <row r="41" spans="1:26" x14ac:dyDescent="0.25">
      <c r="B41" s="626"/>
      <c r="C41" s="157" t="s">
        <v>514</v>
      </c>
      <c r="D41" s="160">
        <v>6.75</v>
      </c>
      <c r="E41" s="160">
        <v>6.75</v>
      </c>
      <c r="F41" s="160"/>
      <c r="G41" s="160">
        <v>7</v>
      </c>
      <c r="H41" s="160">
        <v>7</v>
      </c>
      <c r="I41" s="160">
        <v>7.25</v>
      </c>
      <c r="J41" s="160">
        <v>7.25</v>
      </c>
      <c r="K41" s="160">
        <v>7.25</v>
      </c>
      <c r="L41" s="160">
        <v>7.5</v>
      </c>
      <c r="M41" s="160"/>
      <c r="N41" s="160"/>
      <c r="O41" s="160"/>
      <c r="P41" s="160"/>
      <c r="Q41" s="160"/>
      <c r="R41" s="160">
        <v>7.5</v>
      </c>
      <c r="S41" s="160">
        <v>7.5</v>
      </c>
    </row>
    <row r="42" spans="1:26" ht="15" customHeight="1" x14ac:dyDescent="0.25">
      <c r="C42" s="153" t="s">
        <v>369</v>
      </c>
      <c r="D42" s="256">
        <f>D34/D35</f>
        <v>7.715853548445339</v>
      </c>
      <c r="E42" s="256">
        <f>E34/E35</f>
        <v>7.8085786874040828</v>
      </c>
      <c r="F42" s="256" t="e">
        <f t="shared" ref="F42:S42" si="29">F34/F35</f>
        <v>#DIV/0!</v>
      </c>
      <c r="G42" s="256">
        <f t="shared" si="29"/>
        <v>7.7522128376239383</v>
      </c>
      <c r="H42" s="256">
        <f t="shared" si="29"/>
        <v>7.7550526668403617</v>
      </c>
      <c r="I42" s="256">
        <f t="shared" si="29"/>
        <v>7.4642598569167147</v>
      </c>
      <c r="J42" s="256">
        <f t="shared" si="29"/>
        <v>7.3793255455146571</v>
      </c>
      <c r="K42" s="256">
        <f t="shared" si="29"/>
        <v>7.4325215967546825</v>
      </c>
      <c r="L42" s="256">
        <f t="shared" si="29"/>
        <v>7.0710559706753138</v>
      </c>
      <c r="M42" s="256" t="e">
        <f t="shared" si="29"/>
        <v>#DIV/0!</v>
      </c>
      <c r="N42" s="256" t="e">
        <f t="shared" si="29"/>
        <v>#DIV/0!</v>
      </c>
      <c r="O42" s="256" t="e">
        <f t="shared" si="29"/>
        <v>#DIV/0!</v>
      </c>
      <c r="P42" s="256" t="e">
        <f t="shared" si="29"/>
        <v>#DIV/0!</v>
      </c>
      <c r="Q42" s="256" t="e">
        <f t="shared" si="29"/>
        <v>#DIV/0!</v>
      </c>
      <c r="R42" s="256">
        <f t="shared" si="29"/>
        <v>7.78361792034634</v>
      </c>
      <c r="S42" s="256">
        <f t="shared" si="29"/>
        <v>8.0280820951664467</v>
      </c>
    </row>
    <row r="43" spans="1:26" ht="15" customHeight="1" x14ac:dyDescent="0.25">
      <c r="D43" s="9"/>
      <c r="E43" s="488"/>
      <c r="G43" s="629"/>
      <c r="H43" s="629"/>
      <c r="I43" s="629"/>
      <c r="J43" s="629"/>
    </row>
    <row r="44" spans="1:26" x14ac:dyDescent="0.25">
      <c r="E44" s="335"/>
      <c r="F44" s="335"/>
      <c r="G44" s="335"/>
      <c r="H44" s="335"/>
      <c r="I44" s="335"/>
      <c r="J44" s="335"/>
      <c r="K44" s="335"/>
      <c r="L44" s="335"/>
      <c r="M44" s="335"/>
      <c r="N44" s="335"/>
      <c r="O44" s="335"/>
      <c r="P44" s="335"/>
    </row>
    <row r="45" spans="1:26" x14ac:dyDescent="0.25">
      <c r="D45" s="324"/>
      <c r="G45" s="52"/>
      <c r="H45" s="52"/>
      <c r="I45" s="52"/>
      <c r="J45" s="52"/>
      <c r="K45" s="52"/>
      <c r="L45" s="52"/>
      <c r="M45" s="52"/>
      <c r="N45" s="52"/>
      <c r="O45" s="52"/>
      <c r="P45" s="52"/>
      <c r="Q45" s="52"/>
      <c r="R45" s="52"/>
      <c r="S45" s="52"/>
    </row>
    <row r="46" spans="1:26" x14ac:dyDescent="0.25">
      <c r="G46" s="623"/>
      <c r="H46" s="623"/>
      <c r="I46" s="623"/>
      <c r="J46" s="623"/>
      <c r="M46" s="329"/>
    </row>
    <row r="47" spans="1:26" x14ac:dyDescent="0.25">
      <c r="E47" s="102"/>
      <c r="G47" s="489"/>
      <c r="H47" s="489"/>
      <c r="I47" s="489"/>
      <c r="J47" s="489"/>
    </row>
    <row r="48" spans="1:26" x14ac:dyDescent="0.25">
      <c r="G48" s="623"/>
      <c r="H48" s="623"/>
      <c r="I48" s="623"/>
      <c r="J48" s="623"/>
      <c r="P48" s="329"/>
    </row>
    <row r="49" spans="7:10" ht="15" customHeight="1" x14ac:dyDescent="0.25">
      <c r="G49" s="623"/>
      <c r="H49" s="623"/>
      <c r="I49" s="623"/>
      <c r="J49" s="101"/>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5" t="s">
        <v>629</v>
      </c>
      <c r="C2" s="636"/>
      <c r="D2" s="636"/>
      <c r="E2" s="636"/>
      <c r="F2" s="636"/>
      <c r="G2" s="637"/>
      <c r="I2" s="638" t="s">
        <v>630</v>
      </c>
      <c r="J2" s="639"/>
      <c r="K2" s="639"/>
      <c r="L2" s="639"/>
      <c r="M2" s="639"/>
      <c r="N2" s="639"/>
      <c r="O2" s="639"/>
      <c r="P2" s="639"/>
      <c r="Q2" s="639"/>
      <c r="R2" s="639"/>
      <c r="S2" s="640"/>
    </row>
    <row r="3" spans="2:19" x14ac:dyDescent="0.25">
      <c r="B3" s="641" t="s">
        <v>101</v>
      </c>
      <c r="C3" s="642"/>
      <c r="D3" s="642"/>
      <c r="E3" s="642"/>
      <c r="F3" s="642"/>
      <c r="G3" s="643"/>
      <c r="I3" s="103" t="s">
        <v>102</v>
      </c>
      <c r="J3" s="48" t="s">
        <v>100</v>
      </c>
      <c r="K3" s="48" t="s">
        <v>88</v>
      </c>
      <c r="L3" s="48" t="s">
        <v>103</v>
      </c>
      <c r="M3" s="48" t="s">
        <v>104</v>
      </c>
      <c r="N3" s="48" t="s">
        <v>105</v>
      </c>
      <c r="O3" s="48" t="s">
        <v>106</v>
      </c>
      <c r="P3" s="48" t="s">
        <v>107</v>
      </c>
      <c r="Q3" s="396" t="s">
        <v>108</v>
      </c>
      <c r="R3" s="104" t="s">
        <v>109</v>
      </c>
      <c r="S3" s="104" t="s">
        <v>110</v>
      </c>
    </row>
    <row r="4" spans="2:19" ht="18.75" x14ac:dyDescent="0.3">
      <c r="B4" s="644" t="s">
        <v>111</v>
      </c>
      <c r="C4" s="645"/>
      <c r="D4" s="105"/>
      <c r="E4" s="646" t="s">
        <v>112</v>
      </c>
      <c r="F4" s="647"/>
      <c r="G4" s="105"/>
      <c r="I4" s="468" t="s">
        <v>113</v>
      </c>
      <c r="J4" s="106" t="s">
        <v>619</v>
      </c>
      <c r="K4" s="521">
        <f>11662680+53436</f>
        <v>11716116</v>
      </c>
      <c r="L4" s="521">
        <v>0</v>
      </c>
      <c r="M4" s="521">
        <v>0</v>
      </c>
      <c r="N4" s="521">
        <v>0</v>
      </c>
      <c r="O4" s="107">
        <f t="shared" ref="O4:O5" si="0">IF(M4=0,0,M4-K4)-N4</f>
        <v>0</v>
      </c>
      <c r="P4" s="107">
        <f t="shared" ref="P4:P5" si="1">IF(M4=0,K4,0)</f>
        <v>11716116</v>
      </c>
      <c r="Q4" s="469"/>
      <c r="R4" s="108">
        <v>42468</v>
      </c>
      <c r="S4" s="108"/>
    </row>
    <row r="5" spans="2:19" x14ac:dyDescent="0.25">
      <c r="B5" s="109"/>
      <c r="C5" s="110"/>
      <c r="D5" s="183"/>
      <c r="E5" s="109"/>
      <c r="F5" s="110"/>
      <c r="G5" s="111"/>
      <c r="I5" s="338" t="s">
        <v>405</v>
      </c>
      <c r="J5" s="339" t="s">
        <v>655</v>
      </c>
      <c r="K5" s="522">
        <v>0</v>
      </c>
      <c r="L5" s="522">
        <v>0</v>
      </c>
      <c r="M5" s="522">
        <v>2000</v>
      </c>
      <c r="N5" s="522">
        <v>650</v>
      </c>
      <c r="O5" s="340">
        <f t="shared" si="0"/>
        <v>1350</v>
      </c>
      <c r="P5" s="340">
        <f t="shared" si="1"/>
        <v>0</v>
      </c>
      <c r="Q5" s="341"/>
      <c r="R5" s="342"/>
      <c r="S5" s="342">
        <v>42562</v>
      </c>
    </row>
    <row r="6" spans="2:19" x14ac:dyDescent="0.25">
      <c r="B6" s="112" t="s">
        <v>114</v>
      </c>
      <c r="C6" s="113" t="e">
        <f>SUM(C7:C9)</f>
        <v>#REF!</v>
      </c>
      <c r="D6" s="133" t="e">
        <f>C6/C34</f>
        <v>#REF!</v>
      </c>
      <c r="E6" s="112" t="s">
        <v>115</v>
      </c>
      <c r="F6" s="113" t="e">
        <f>F7+F8+F9</f>
        <v>#REF!</v>
      </c>
      <c r="G6" s="114" t="e">
        <f>F6/$F$34</f>
        <v>#REF!</v>
      </c>
      <c r="I6" s="338" t="s">
        <v>405</v>
      </c>
      <c r="J6" s="339" t="s">
        <v>656</v>
      </c>
      <c r="K6" s="522">
        <v>0</v>
      </c>
      <c r="L6" s="522">
        <v>0</v>
      </c>
      <c r="M6" s="522">
        <v>59000</v>
      </c>
      <c r="N6" s="522">
        <v>650</v>
      </c>
      <c r="O6" s="340">
        <f t="shared" ref="O6" si="2">IF(M6=0,0,M6-K6)-N6</f>
        <v>58350</v>
      </c>
      <c r="P6" s="340">
        <f t="shared" ref="P6" si="3">IF(M6=0,K6,0)</f>
        <v>0</v>
      </c>
      <c r="Q6" s="341"/>
      <c r="R6" s="342"/>
      <c r="S6" s="342">
        <v>42530</v>
      </c>
    </row>
    <row r="7" spans="2:19" x14ac:dyDescent="0.25">
      <c r="B7" s="115" t="s">
        <v>84</v>
      </c>
      <c r="C7" s="116" t="e">
        <f>'A-P_T49'!C7+EconomiaT50!C16</f>
        <v>#REF!</v>
      </c>
      <c r="D7" s="184" t="e">
        <f>C7/C34</f>
        <v>#REF!</v>
      </c>
      <c r="E7" s="185" t="s">
        <v>116</v>
      </c>
      <c r="F7" s="186">
        <v>300000</v>
      </c>
      <c r="G7" s="117" t="e">
        <f>F7/$F$34</f>
        <v>#REF!</v>
      </c>
      <c r="I7" s="338" t="s">
        <v>405</v>
      </c>
      <c r="J7" s="339" t="s">
        <v>660</v>
      </c>
      <c r="K7" s="522">
        <v>0</v>
      </c>
      <c r="L7" s="522">
        <v>0</v>
      </c>
      <c r="M7" s="522">
        <v>261000</v>
      </c>
      <c r="N7" s="522">
        <f>M7-247950</f>
        <v>13050</v>
      </c>
      <c r="O7" s="340">
        <f t="shared" ref="O7" si="4">IF(M7=0,0,M7-K7)-N7</f>
        <v>247950</v>
      </c>
      <c r="P7" s="340">
        <f t="shared" ref="P7" si="5">IF(M7=0,K7,0)</f>
        <v>0</v>
      </c>
      <c r="Q7" s="341"/>
      <c r="R7" s="342"/>
      <c r="S7" s="342">
        <v>42572</v>
      </c>
    </row>
    <row r="8" spans="2:19" x14ac:dyDescent="0.25">
      <c r="B8" s="115" t="s">
        <v>67</v>
      </c>
      <c r="C8" s="116" t="e">
        <f>'A-P_T49'!C8+EconomiaT50!C20+'A-P_T49'!C9</f>
        <v>#REF!</v>
      </c>
      <c r="D8" s="184" t="e">
        <f>C8/C34</f>
        <v>#REF!</v>
      </c>
      <c r="E8" s="185" t="s">
        <v>237</v>
      </c>
      <c r="F8" s="186" t="e">
        <f>'A-P_T49'!F9+'A-P_T49'!F8</f>
        <v>#REF!</v>
      </c>
      <c r="G8" s="117" t="e">
        <f>F8/$F$34</f>
        <v>#REF!</v>
      </c>
      <c r="I8" s="338" t="s">
        <v>405</v>
      </c>
      <c r="J8" s="339" t="s">
        <v>662</v>
      </c>
      <c r="K8" s="522">
        <v>0</v>
      </c>
      <c r="L8" s="522">
        <v>0</v>
      </c>
      <c r="M8" s="522">
        <v>84660</v>
      </c>
      <c r="N8" s="522">
        <f>M8-81427</f>
        <v>3233</v>
      </c>
      <c r="O8" s="340">
        <f t="shared" ref="O8" si="6">IF(M8=0,0,M8-K8)-N8</f>
        <v>81427</v>
      </c>
      <c r="P8" s="340">
        <f t="shared" ref="P8" si="7">IF(M8=0,K8,0)</f>
        <v>0</v>
      </c>
      <c r="Q8" s="341"/>
      <c r="R8" s="342"/>
      <c r="S8" s="342">
        <v>42578</v>
      </c>
    </row>
    <row r="9" spans="2:19" x14ac:dyDescent="0.25">
      <c r="B9" s="118" t="s">
        <v>117</v>
      </c>
      <c r="C9" s="119">
        <v>0</v>
      </c>
      <c r="D9" s="184" t="e">
        <f>C9/C34</f>
        <v>#REF!</v>
      </c>
      <c r="E9" s="185" t="s">
        <v>631</v>
      </c>
      <c r="F9" s="186">
        <f>'A-P_T49'!F11+192375</f>
        <v>5746546</v>
      </c>
      <c r="G9" s="117" t="e">
        <f>F9/$F$34</f>
        <v>#REF!</v>
      </c>
      <c r="I9" s="338" t="s">
        <v>405</v>
      </c>
      <c r="J9" s="339" t="s">
        <v>676</v>
      </c>
      <c r="K9" s="522">
        <v>0</v>
      </c>
      <c r="L9" s="522">
        <v>0</v>
      </c>
      <c r="M9" s="522">
        <v>84000</v>
      </c>
      <c r="N9" s="522">
        <f>M9-79800</f>
        <v>4200</v>
      </c>
      <c r="O9" s="340">
        <f t="shared" ref="O9" si="8">IF(M9=0,0,M9-K9)-N9</f>
        <v>79800</v>
      </c>
      <c r="P9" s="340">
        <f t="shared" ref="P9" si="9">IF(M9=0,K9,0)</f>
        <v>0</v>
      </c>
      <c r="Q9" s="341"/>
      <c r="R9" s="342"/>
      <c r="S9" s="342">
        <v>42613</v>
      </c>
    </row>
    <row r="10" spans="2:19" x14ac:dyDescent="0.25">
      <c r="B10" s="120"/>
      <c r="C10" s="121"/>
      <c r="D10" s="133"/>
      <c r="E10" s="187"/>
      <c r="F10" s="121"/>
      <c r="G10" s="114"/>
      <c r="I10" s="338" t="s">
        <v>405</v>
      </c>
      <c r="J10" s="339" t="s">
        <v>677</v>
      </c>
      <c r="K10" s="522">
        <v>0</v>
      </c>
      <c r="L10" s="522">
        <v>0</v>
      </c>
      <c r="M10" s="522">
        <v>10000</v>
      </c>
      <c r="N10" s="522">
        <f>M10-9500</f>
        <v>500</v>
      </c>
      <c r="O10" s="340">
        <f t="shared" ref="O10" si="10">IF(M10=0,0,M10-K10)-N10</f>
        <v>9500</v>
      </c>
      <c r="P10" s="340">
        <f t="shared" ref="P10" si="11">IF(M10=0,K10,0)</f>
        <v>0</v>
      </c>
      <c r="Q10" s="341"/>
      <c r="R10" s="342"/>
      <c r="S10" s="342">
        <v>42613</v>
      </c>
    </row>
    <row r="11" spans="2:19" x14ac:dyDescent="0.25">
      <c r="B11" s="112" t="s">
        <v>100</v>
      </c>
      <c r="C11" s="113">
        <f>SUM(C12:C15)</f>
        <v>11716116</v>
      </c>
      <c r="D11" s="133" t="e">
        <f>C11/C34</f>
        <v>#REF!</v>
      </c>
      <c r="E11" s="112" t="s">
        <v>503</v>
      </c>
      <c r="F11" s="113">
        <f>SUM(F12:F17)</f>
        <v>6162445</v>
      </c>
      <c r="G11" s="114" t="e">
        <f t="shared" ref="G11:G17" si="12">F11/$F$34</f>
        <v>#REF!</v>
      </c>
      <c r="I11" s="338" t="s">
        <v>405</v>
      </c>
      <c r="J11" s="339" t="s">
        <v>678</v>
      </c>
      <c r="K11" s="522">
        <v>0</v>
      </c>
      <c r="L11" s="522">
        <v>0</v>
      </c>
      <c r="M11" s="522">
        <v>116000</v>
      </c>
      <c r="N11" s="522">
        <f>M11-110200</f>
        <v>5800</v>
      </c>
      <c r="O11" s="340">
        <f t="shared" ref="O11:O12" si="13">IF(M11=0,0,M11-K11)-N11</f>
        <v>110200</v>
      </c>
      <c r="P11" s="340">
        <f t="shared" ref="P11:P12" si="14">IF(M11=0,K11,0)</f>
        <v>0</v>
      </c>
      <c r="Q11" s="341"/>
      <c r="R11" s="342"/>
      <c r="S11" s="342">
        <v>42608</v>
      </c>
    </row>
    <row r="12" spans="2:19" x14ac:dyDescent="0.25">
      <c r="B12" s="122" t="s">
        <v>118</v>
      </c>
      <c r="C12" s="123">
        <f>SUMIF(I4:I518,"S",$P$4:$P$518)</f>
        <v>0</v>
      </c>
      <c r="D12" s="184" t="e">
        <f>C12/C34</f>
        <v>#REF!</v>
      </c>
      <c r="E12" s="49" t="s">
        <v>119</v>
      </c>
      <c r="F12" s="124">
        <f>SUMIF(I4:I518,"J",$O$4:$O$518)</f>
        <v>0</v>
      </c>
      <c r="G12" s="117" t="e">
        <f t="shared" si="12"/>
        <v>#REF!</v>
      </c>
      <c r="I12" s="468" t="s">
        <v>367</v>
      </c>
      <c r="J12" s="106" t="s">
        <v>680</v>
      </c>
      <c r="K12" s="521">
        <v>1916000</v>
      </c>
      <c r="L12" s="521">
        <v>372</v>
      </c>
      <c r="M12" s="521">
        <v>0</v>
      </c>
      <c r="N12" s="521">
        <v>0</v>
      </c>
      <c r="O12" s="107">
        <f t="shared" si="13"/>
        <v>0</v>
      </c>
      <c r="P12" s="107">
        <f t="shared" si="14"/>
        <v>1916000</v>
      </c>
      <c r="Q12" s="469"/>
      <c r="R12" s="108">
        <v>42628</v>
      </c>
      <c r="S12" s="108"/>
    </row>
    <row r="13" spans="2:19" x14ac:dyDescent="0.25">
      <c r="B13" s="122" t="s">
        <v>100</v>
      </c>
      <c r="C13" s="123">
        <f>SUMIF(I4:I518,"J",$P$4:$P$518)</f>
        <v>11716116</v>
      </c>
      <c r="D13" s="184" t="e">
        <f>C13/C34</f>
        <v>#REF!</v>
      </c>
      <c r="E13" s="49" t="s">
        <v>120</v>
      </c>
      <c r="F13" s="124">
        <f>SUMIF(I4:I518,"S",$O$4:$O$518)</f>
        <v>0</v>
      </c>
      <c r="G13" s="117" t="e">
        <f t="shared" si="12"/>
        <v>#REF!</v>
      </c>
      <c r="I13" s="399"/>
      <c r="J13" s="399"/>
      <c r="K13" s="399"/>
      <c r="L13" s="399"/>
      <c r="M13" s="399"/>
      <c r="N13" s="399"/>
      <c r="O13" s="399"/>
      <c r="P13" s="399"/>
      <c r="Q13" s="399"/>
      <c r="R13" s="399"/>
      <c r="S13" s="399"/>
    </row>
    <row r="14" spans="2:19" x14ac:dyDescent="0.25">
      <c r="B14" s="122" t="s">
        <v>99</v>
      </c>
      <c r="C14" s="123">
        <f>SUMIF(I4:I518,"E",$P$4:$P$518)</f>
        <v>0</v>
      </c>
      <c r="D14" s="184" t="e">
        <f>C14/C34</f>
        <v>#REF!</v>
      </c>
      <c r="E14" s="49" t="s">
        <v>121</v>
      </c>
      <c r="F14" s="124">
        <f>SUMIF(I4:I518,"C",$O$4:$O$518)</f>
        <v>588577</v>
      </c>
      <c r="G14" s="117" t="e">
        <f t="shared" si="12"/>
        <v>#REF!</v>
      </c>
      <c r="I14" s="399"/>
      <c r="J14" s="399"/>
      <c r="K14" s="399"/>
      <c r="L14" s="399"/>
      <c r="M14" s="399"/>
      <c r="N14" s="399"/>
      <c r="O14" s="399"/>
      <c r="P14" s="399"/>
      <c r="Q14" s="399"/>
      <c r="R14" s="399"/>
      <c r="S14" s="399"/>
    </row>
    <row r="15" spans="2:19" x14ac:dyDescent="0.25">
      <c r="B15" s="122" t="s">
        <v>122</v>
      </c>
      <c r="C15" s="123">
        <f>SUMIF(I4:I518,"M",$P$4:$P$518)</f>
        <v>0</v>
      </c>
      <c r="D15" s="184" t="e">
        <f>C15/C34</f>
        <v>#REF!</v>
      </c>
      <c r="E15" s="49" t="s">
        <v>123</v>
      </c>
      <c r="F15" s="124">
        <f>SUMIF(I4:I518,"E",$O$4:$O$518)</f>
        <v>0</v>
      </c>
      <c r="G15" s="117" t="e">
        <f t="shared" si="12"/>
        <v>#REF!</v>
      </c>
      <c r="K15" s="102"/>
    </row>
    <row r="16" spans="2:19" x14ac:dyDescent="0.25">
      <c r="B16" s="125"/>
      <c r="C16" s="126"/>
      <c r="D16" s="133"/>
      <c r="E16" s="49" t="s">
        <v>124</v>
      </c>
      <c r="F16" s="124">
        <f>SUMIF(I4:I518,"M",$O$4:$O$518)</f>
        <v>0</v>
      </c>
      <c r="G16" s="117" t="e">
        <f t="shared" si="12"/>
        <v>#REF!</v>
      </c>
    </row>
    <row r="17" spans="2:10" x14ac:dyDescent="0.25">
      <c r="B17" s="112" t="s">
        <v>74</v>
      </c>
      <c r="C17" s="127">
        <f>C18+C19</f>
        <v>588577</v>
      </c>
      <c r="D17" s="133" t="e">
        <f>C17/C34</f>
        <v>#REF!</v>
      </c>
      <c r="E17" s="128" t="s">
        <v>504</v>
      </c>
      <c r="F17" s="129">
        <f>C27-F27+C9</f>
        <v>5573868</v>
      </c>
      <c r="G17" s="117" t="e">
        <f t="shared" si="12"/>
        <v>#REF!</v>
      </c>
    </row>
    <row r="18" spans="2:10" x14ac:dyDescent="0.25">
      <c r="B18" s="122" t="s">
        <v>74</v>
      </c>
      <c r="C18" s="123">
        <f>SUM(M4:M518)</f>
        <v>616660</v>
      </c>
      <c r="D18" s="184" t="e">
        <f>C18/C34</f>
        <v>#REF!</v>
      </c>
      <c r="E18" s="120"/>
      <c r="F18" s="121"/>
      <c r="G18" s="130"/>
    </row>
    <row r="19" spans="2:10" x14ac:dyDescent="0.25">
      <c r="B19" s="118" t="s">
        <v>76</v>
      </c>
      <c r="C19" s="119">
        <f>SUM(N4:N518)*-1</f>
        <v>-28083</v>
      </c>
      <c r="D19" s="184" t="e">
        <f>C19/C34</f>
        <v>#REF!</v>
      </c>
      <c r="E19" s="112" t="s">
        <v>125</v>
      </c>
      <c r="F19" s="127">
        <f>F20+F21</f>
        <v>0</v>
      </c>
      <c r="G19" s="114" t="e">
        <f>F19/$F$34</f>
        <v>#REF!</v>
      </c>
    </row>
    <row r="20" spans="2:10" x14ac:dyDescent="0.25">
      <c r="B20" s="125"/>
      <c r="C20" s="126"/>
      <c r="D20" s="184"/>
      <c r="E20" s="188" t="s">
        <v>88</v>
      </c>
      <c r="F20" s="189">
        <f>EconomiaT50!C19</f>
        <v>0</v>
      </c>
      <c r="G20" s="117" t="e">
        <f>F20/$F$34</f>
        <v>#REF!</v>
      </c>
    </row>
    <row r="21" spans="2:10" x14ac:dyDescent="0.25">
      <c r="B21" s="112" t="s">
        <v>505</v>
      </c>
      <c r="C21" s="113">
        <f>EconomiaT50!C5</f>
        <v>-383803</v>
      </c>
      <c r="D21" s="133" t="e">
        <f>C21/C34</f>
        <v>#REF!</v>
      </c>
      <c r="E21" s="118" t="s">
        <v>126</v>
      </c>
      <c r="F21" s="190">
        <v>0</v>
      </c>
      <c r="G21" s="117" t="e">
        <f>F21/$F$34</f>
        <v>#REF!</v>
      </c>
    </row>
    <row r="22" spans="2:10" x14ac:dyDescent="0.25">
      <c r="B22" s="112"/>
      <c r="C22" s="113"/>
      <c r="D22" s="133"/>
      <c r="E22" s="125"/>
      <c r="F22" s="397"/>
      <c r="G22" s="398"/>
    </row>
    <row r="23" spans="2:10" x14ac:dyDescent="0.25">
      <c r="B23" s="112"/>
      <c r="C23" s="113"/>
      <c r="D23" s="133"/>
      <c r="E23" s="112" t="s">
        <v>238</v>
      </c>
      <c r="F23" s="113">
        <f>SUM(F24:F25)</f>
        <v>2359167</v>
      </c>
      <c r="G23" s="114" t="e">
        <f>F23/$F$34</f>
        <v>#REF!</v>
      </c>
    </row>
    <row r="24" spans="2:10" x14ac:dyDescent="0.25">
      <c r="B24" s="112"/>
      <c r="C24" s="113"/>
      <c r="D24" s="133"/>
      <c r="E24" s="188" t="s">
        <v>84</v>
      </c>
      <c r="F24" s="191">
        <f>EconomiaT50!C16</f>
        <v>442795</v>
      </c>
      <c r="G24" s="117" t="e">
        <f>F24/$F$34</f>
        <v>#REF!</v>
      </c>
    </row>
    <row r="25" spans="2:10" x14ac:dyDescent="0.25">
      <c r="B25" s="112"/>
      <c r="C25" s="113"/>
      <c r="D25" s="133"/>
      <c r="E25" s="188" t="s">
        <v>67</v>
      </c>
      <c r="F25" s="191">
        <f>EconomiaT50!C20</f>
        <v>1916372</v>
      </c>
      <c r="G25" s="117" t="e">
        <f>F25/$F$34</f>
        <v>#REF!</v>
      </c>
    </row>
    <row r="26" spans="2:10" x14ac:dyDescent="0.25">
      <c r="B26" s="470"/>
      <c r="C26" s="471"/>
      <c r="D26" s="472"/>
      <c r="E26" s="473"/>
      <c r="F26" s="474"/>
      <c r="G26" s="475"/>
    </row>
    <row r="27" spans="2:10" x14ac:dyDescent="0.25">
      <c r="B27" s="112" t="s">
        <v>127</v>
      </c>
      <c r="C27" s="113">
        <f>SUM(C28:C32)</f>
        <v>10357876</v>
      </c>
      <c r="D27" s="133" t="e">
        <f>C27/C34</f>
        <v>#REF!</v>
      </c>
      <c r="E27" s="112" t="s">
        <v>239</v>
      </c>
      <c r="F27" s="113">
        <f>SUM(F28:F33)</f>
        <v>4784008</v>
      </c>
      <c r="G27" s="114" t="e">
        <f t="shared" ref="G27:G33" si="15">F27/$F$34</f>
        <v>#REF!</v>
      </c>
    </row>
    <row r="28" spans="2:10" x14ac:dyDescent="0.25">
      <c r="B28" s="131" t="s">
        <v>69</v>
      </c>
      <c r="C28" s="132">
        <f>EconomiaT50!C11</f>
        <v>89520</v>
      </c>
      <c r="D28" s="184" t="e">
        <f>C28/C34</f>
        <v>#REF!</v>
      </c>
      <c r="E28" s="188" t="s">
        <v>128</v>
      </c>
      <c r="F28" s="191">
        <f>EconomiaT50!C14</f>
        <v>2646284</v>
      </c>
      <c r="G28" s="117" t="e">
        <f t="shared" si="15"/>
        <v>#REF!</v>
      </c>
    </row>
    <row r="29" spans="2:10" x14ac:dyDescent="0.25">
      <c r="B29" s="131" t="s">
        <v>79</v>
      </c>
      <c r="C29" s="132">
        <f>EconomiaT50!C12</f>
        <v>925000</v>
      </c>
      <c r="D29" s="184" t="e">
        <f>C29/C34</f>
        <v>#REF!</v>
      </c>
      <c r="E29" s="188" t="s">
        <v>82</v>
      </c>
      <c r="F29" s="191">
        <f>EconomiaT50!C15</f>
        <v>686244</v>
      </c>
      <c r="G29" s="117" t="e">
        <f t="shared" si="15"/>
        <v>#REF!</v>
      </c>
    </row>
    <row r="30" spans="2:10" x14ac:dyDescent="0.25">
      <c r="B30" s="131" t="s">
        <v>71</v>
      </c>
      <c r="C30" s="132">
        <f>EconomiaT50!C6</f>
        <v>6222531</v>
      </c>
      <c r="D30" s="184" t="e">
        <f>C30/C34</f>
        <v>#REF!</v>
      </c>
      <c r="E30" s="188" t="s">
        <v>85</v>
      </c>
      <c r="F30" s="191">
        <f>EconomiaT50!C17</f>
        <v>1044480</v>
      </c>
      <c r="G30" s="117" t="e">
        <f t="shared" si="15"/>
        <v>#REF!</v>
      </c>
    </row>
    <row r="31" spans="2:10" x14ac:dyDescent="0.25">
      <c r="B31" s="131" t="s">
        <v>72</v>
      </c>
      <c r="C31" s="132">
        <f>EconomiaT50!C7</f>
        <v>3046995</v>
      </c>
      <c r="D31" s="184" t="e">
        <f>C31/C34</f>
        <v>#REF!</v>
      </c>
      <c r="E31" s="188" t="s">
        <v>86</v>
      </c>
      <c r="F31" s="191">
        <f>EconomiaT50!C18</f>
        <v>320000</v>
      </c>
      <c r="G31" s="117" t="e">
        <f t="shared" si="15"/>
        <v>#REF!</v>
      </c>
    </row>
    <row r="32" spans="2:10" x14ac:dyDescent="0.25">
      <c r="B32" s="131" t="s">
        <v>76</v>
      </c>
      <c r="C32" s="132">
        <f>EconomiaT50!C10</f>
        <v>73830</v>
      </c>
      <c r="D32" s="184" t="e">
        <f>C32/C34</f>
        <v>#REF!</v>
      </c>
      <c r="E32" s="188" t="s">
        <v>89</v>
      </c>
      <c r="F32" s="191">
        <f>EconomiaT50!C21</f>
        <v>87000</v>
      </c>
      <c r="G32" s="117" t="e">
        <f t="shared" si="15"/>
        <v>#REF!</v>
      </c>
      <c r="J32" s="102"/>
    </row>
    <row r="33" spans="2:8" x14ac:dyDescent="0.25">
      <c r="B33" s="112"/>
      <c r="C33" s="113"/>
      <c r="D33" s="133"/>
      <c r="E33" s="400" t="s">
        <v>90</v>
      </c>
      <c r="F33" s="401">
        <f>EconomiaT50!C22</f>
        <v>0</v>
      </c>
      <c r="G33" s="402" t="e">
        <f t="shared" si="15"/>
        <v>#REF!</v>
      </c>
    </row>
    <row r="34" spans="2:8" ht="18.75" x14ac:dyDescent="0.3">
      <c r="B34" s="135" t="s">
        <v>27</v>
      </c>
      <c r="C34" s="136" t="e">
        <f>C27+C21+C17+C11+C6</f>
        <v>#REF!</v>
      </c>
      <c r="D34" s="403" t="e">
        <f>C34/C34</f>
        <v>#REF!</v>
      </c>
      <c r="E34" s="135" t="s">
        <v>27</v>
      </c>
      <c r="F34" s="136" t="e">
        <f>F27+F19+F11+F6+F23</f>
        <v>#REF!</v>
      </c>
      <c r="G34" s="134" t="e">
        <f>F34/$F$34</f>
        <v>#REF!</v>
      </c>
    </row>
    <row r="35" spans="2:8" x14ac:dyDescent="0.25">
      <c r="C35" s="102"/>
      <c r="D35" s="404"/>
      <c r="E35" s="405" t="s">
        <v>470</v>
      </c>
      <c r="F35" s="406" t="e">
        <f>F34-C34</f>
        <v>#REF!</v>
      </c>
      <c r="G35" s="102"/>
    </row>
    <row r="36" spans="2:8" x14ac:dyDescent="0.25">
      <c r="C36" s="102"/>
      <c r="D36" s="102"/>
      <c r="F36" s="102"/>
      <c r="G36" s="102"/>
      <c r="H36" s="102"/>
    </row>
    <row r="37" spans="2:8" ht="15.75" x14ac:dyDescent="0.25">
      <c r="B37" s="407" t="s">
        <v>506</v>
      </c>
      <c r="C37" s="408">
        <f>EconomiaT48!C24</f>
        <v>5960252</v>
      </c>
      <c r="D37" s="102"/>
      <c r="E37" s="4" t="s">
        <v>507</v>
      </c>
      <c r="F37" s="98">
        <f>C27-F27</f>
        <v>5573868</v>
      </c>
      <c r="G37" s="98"/>
    </row>
    <row r="38" spans="2:8" x14ac:dyDescent="0.25">
      <c r="C38" s="98">
        <f>C37-C21</f>
        <v>6344055</v>
      </c>
      <c r="D38" s="102"/>
      <c r="F38" s="102"/>
      <c r="G38" s="102"/>
    </row>
    <row r="39" spans="2:8" x14ac:dyDescent="0.25">
      <c r="C39" s="102"/>
      <c r="D39" s="102"/>
      <c r="F39" s="102"/>
      <c r="G39" s="102"/>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pageSetUpPr fitToPage="1"/>
  </sheetPr>
  <dimension ref="A1:Z38"/>
  <sheetViews>
    <sheetView tabSelected="1" workbookViewId="0">
      <selection activeCell="J10" sqref="J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599</v>
      </c>
      <c r="B1" s="4" t="s">
        <v>596</v>
      </c>
      <c r="C1" s="4" t="s">
        <v>597</v>
      </c>
      <c r="D1" s="4" t="s">
        <v>575</v>
      </c>
      <c r="E1" s="4" t="s">
        <v>598</v>
      </c>
      <c r="G1" s="4" t="s">
        <v>578</v>
      </c>
      <c r="H1" s="4" t="s">
        <v>596</v>
      </c>
      <c r="I1" s="4" t="s">
        <v>597</v>
      </c>
      <c r="J1" s="4" t="s">
        <v>575</v>
      </c>
      <c r="K1" s="4" t="s">
        <v>598</v>
      </c>
      <c r="M1" s="4" t="s">
        <v>403</v>
      </c>
      <c r="N1" s="4" t="s">
        <v>596</v>
      </c>
      <c r="O1" s="4" t="s">
        <v>597</v>
      </c>
      <c r="P1" s="4" t="s">
        <v>575</v>
      </c>
      <c r="Q1" s="4" t="s">
        <v>598</v>
      </c>
      <c r="S1" s="4" t="s">
        <v>63</v>
      </c>
      <c r="T1" s="4" t="s">
        <v>596</v>
      </c>
      <c r="U1" s="4" t="s">
        <v>597</v>
      </c>
      <c r="V1" s="4" t="s">
        <v>575</v>
      </c>
      <c r="W1" s="4" t="s">
        <v>598</v>
      </c>
    </row>
    <row r="2" spans="1:26" x14ac:dyDescent="0.25">
      <c r="A2" t="s">
        <v>579</v>
      </c>
      <c r="B2">
        <v>2</v>
      </c>
      <c r="C2">
        <v>3</v>
      </c>
      <c r="D2">
        <v>1.5</v>
      </c>
      <c r="E2">
        <f>D2</f>
        <v>1.5</v>
      </c>
      <c r="G2" t="s">
        <v>579</v>
      </c>
      <c r="H2">
        <v>2</v>
      </c>
      <c r="I2">
        <v>3</v>
      </c>
      <c r="J2">
        <v>3</v>
      </c>
      <c r="K2">
        <f>J2</f>
        <v>3</v>
      </c>
      <c r="M2" t="s">
        <v>579</v>
      </c>
      <c r="N2">
        <v>2</v>
      </c>
      <c r="O2">
        <v>3</v>
      </c>
      <c r="P2">
        <v>3</v>
      </c>
      <c r="Q2">
        <f>P2</f>
        <v>3</v>
      </c>
      <c r="S2" t="s">
        <v>579</v>
      </c>
      <c r="T2">
        <v>2</v>
      </c>
      <c r="U2">
        <v>3</v>
      </c>
      <c r="V2">
        <v>1.5</v>
      </c>
      <c r="W2">
        <f>V2</f>
        <v>1.5</v>
      </c>
    </row>
    <row r="3" spans="1:26" x14ac:dyDescent="0.25">
      <c r="A3" t="s">
        <v>580</v>
      </c>
      <c r="B3">
        <v>3</v>
      </c>
      <c r="C3">
        <v>4</v>
      </c>
      <c r="D3">
        <v>2</v>
      </c>
      <c r="E3">
        <f>E2+D3</f>
        <v>3.5</v>
      </c>
      <c r="G3" t="s">
        <v>580</v>
      </c>
      <c r="H3">
        <v>3</v>
      </c>
      <c r="I3">
        <v>4</v>
      </c>
      <c r="J3">
        <v>3</v>
      </c>
      <c r="K3">
        <f>K2+J3</f>
        <v>6</v>
      </c>
      <c r="M3" t="s">
        <v>580</v>
      </c>
      <c r="N3">
        <v>3</v>
      </c>
      <c r="O3">
        <v>4</v>
      </c>
      <c r="P3">
        <v>3</v>
      </c>
      <c r="Q3">
        <f>Q2+P3</f>
        <v>6</v>
      </c>
      <c r="S3" t="s">
        <v>580</v>
      </c>
      <c r="T3">
        <v>3</v>
      </c>
      <c r="U3">
        <v>4</v>
      </c>
      <c r="V3">
        <v>2</v>
      </c>
      <c r="W3">
        <f>W2+V3</f>
        <v>3.5</v>
      </c>
    </row>
    <row r="4" spans="1:26" x14ac:dyDescent="0.25">
      <c r="A4" t="s">
        <v>581</v>
      </c>
      <c r="B4">
        <v>4</v>
      </c>
      <c r="C4">
        <v>5</v>
      </c>
      <c r="D4">
        <v>2</v>
      </c>
      <c r="E4">
        <f t="shared" ref="E4:E17" si="0">E3+D4</f>
        <v>5.5</v>
      </c>
      <c r="G4" t="s">
        <v>581</v>
      </c>
      <c r="H4">
        <v>4</v>
      </c>
      <c r="I4">
        <v>5</v>
      </c>
      <c r="J4">
        <v>4</v>
      </c>
      <c r="K4">
        <f t="shared" ref="K4:K17" si="1">K3+J4</f>
        <v>10</v>
      </c>
      <c r="M4" t="s">
        <v>581</v>
      </c>
      <c r="N4">
        <v>4</v>
      </c>
      <c r="O4">
        <v>5</v>
      </c>
      <c r="P4">
        <v>3</v>
      </c>
      <c r="Q4">
        <f t="shared" ref="Q4:Q17" si="2">Q3+P4</f>
        <v>9</v>
      </c>
      <c r="S4" t="s">
        <v>581</v>
      </c>
      <c r="T4">
        <v>4</v>
      </c>
      <c r="U4">
        <v>5</v>
      </c>
      <c r="V4">
        <v>2</v>
      </c>
      <c r="W4">
        <f t="shared" ref="W4:W17" si="3">W3+V4</f>
        <v>5.5</v>
      </c>
    </row>
    <row r="5" spans="1:26" x14ac:dyDescent="0.25">
      <c r="A5" t="s">
        <v>582</v>
      </c>
      <c r="B5">
        <v>5</v>
      </c>
      <c r="C5">
        <v>6</v>
      </c>
      <c r="D5">
        <v>2</v>
      </c>
      <c r="E5">
        <f t="shared" si="0"/>
        <v>7.5</v>
      </c>
      <c r="G5" t="s">
        <v>582</v>
      </c>
      <c r="H5">
        <v>5</v>
      </c>
      <c r="I5">
        <v>6</v>
      </c>
      <c r="J5">
        <v>4</v>
      </c>
      <c r="K5">
        <f t="shared" si="1"/>
        <v>14</v>
      </c>
      <c r="M5" t="s">
        <v>582</v>
      </c>
      <c r="N5">
        <v>5</v>
      </c>
      <c r="O5">
        <v>6</v>
      </c>
      <c r="P5">
        <v>3</v>
      </c>
      <c r="Q5">
        <f t="shared" si="2"/>
        <v>12</v>
      </c>
      <c r="S5" t="s">
        <v>582</v>
      </c>
      <c r="T5">
        <v>5</v>
      </c>
      <c r="U5">
        <v>6</v>
      </c>
      <c r="V5">
        <v>3</v>
      </c>
      <c r="W5">
        <f t="shared" si="3"/>
        <v>8.5</v>
      </c>
    </row>
    <row r="6" spans="1:26" x14ac:dyDescent="0.25">
      <c r="A6" t="s">
        <v>583</v>
      </c>
      <c r="B6">
        <v>6</v>
      </c>
      <c r="C6">
        <v>7</v>
      </c>
      <c r="D6">
        <v>3</v>
      </c>
      <c r="E6">
        <f t="shared" si="0"/>
        <v>10.5</v>
      </c>
      <c r="G6" t="s">
        <v>583</v>
      </c>
      <c r="H6">
        <v>6</v>
      </c>
      <c r="I6">
        <v>7</v>
      </c>
      <c r="J6">
        <v>4</v>
      </c>
      <c r="K6">
        <f t="shared" si="1"/>
        <v>18</v>
      </c>
      <c r="M6" t="s">
        <v>583</v>
      </c>
      <c r="N6">
        <v>6</v>
      </c>
      <c r="O6">
        <v>7</v>
      </c>
      <c r="P6">
        <v>4</v>
      </c>
      <c r="Q6">
        <f t="shared" si="2"/>
        <v>16</v>
      </c>
      <c r="S6" t="s">
        <v>583</v>
      </c>
      <c r="T6">
        <v>6</v>
      </c>
      <c r="U6">
        <v>7</v>
      </c>
      <c r="V6">
        <v>2</v>
      </c>
      <c r="W6">
        <f t="shared" si="3"/>
        <v>10.5</v>
      </c>
    </row>
    <row r="7" spans="1:26" x14ac:dyDescent="0.25">
      <c r="A7" t="s">
        <v>584</v>
      </c>
      <c r="B7">
        <v>7</v>
      </c>
      <c r="C7">
        <v>8</v>
      </c>
      <c r="D7">
        <v>3</v>
      </c>
      <c r="E7">
        <f t="shared" si="0"/>
        <v>13.5</v>
      </c>
      <c r="G7" t="s">
        <v>584</v>
      </c>
      <c r="H7">
        <v>7</v>
      </c>
      <c r="I7">
        <v>8</v>
      </c>
      <c r="J7">
        <v>6</v>
      </c>
      <c r="K7">
        <f t="shared" si="1"/>
        <v>24</v>
      </c>
      <c r="M7" t="s">
        <v>584</v>
      </c>
      <c r="N7">
        <v>7</v>
      </c>
      <c r="O7">
        <v>8</v>
      </c>
      <c r="P7">
        <v>5</v>
      </c>
      <c r="Q7">
        <f t="shared" si="2"/>
        <v>21</v>
      </c>
      <c r="S7" t="s">
        <v>584</v>
      </c>
      <c r="T7">
        <v>7</v>
      </c>
      <c r="U7">
        <v>8</v>
      </c>
      <c r="V7">
        <v>4</v>
      </c>
      <c r="W7">
        <f t="shared" si="3"/>
        <v>14.5</v>
      </c>
    </row>
    <row r="8" spans="1:26" x14ac:dyDescent="0.25">
      <c r="A8" t="s">
        <v>585</v>
      </c>
      <c r="B8">
        <v>8</v>
      </c>
      <c r="C8">
        <v>9</v>
      </c>
      <c r="D8">
        <v>3</v>
      </c>
      <c r="E8">
        <f t="shared" si="0"/>
        <v>16.5</v>
      </c>
      <c r="G8" t="s">
        <v>585</v>
      </c>
      <c r="H8">
        <v>8</v>
      </c>
      <c r="I8">
        <v>9</v>
      </c>
      <c r="J8">
        <v>6</v>
      </c>
      <c r="K8">
        <f t="shared" si="1"/>
        <v>30</v>
      </c>
      <c r="M8" t="s">
        <v>585</v>
      </c>
      <c r="N8">
        <v>8</v>
      </c>
      <c r="O8">
        <v>9</v>
      </c>
      <c r="P8">
        <v>5</v>
      </c>
      <c r="Q8">
        <f t="shared" si="2"/>
        <v>26</v>
      </c>
      <c r="S8" t="s">
        <v>585</v>
      </c>
      <c r="T8">
        <v>8</v>
      </c>
      <c r="U8">
        <v>9</v>
      </c>
      <c r="V8">
        <v>3</v>
      </c>
      <c r="W8">
        <f t="shared" si="3"/>
        <v>17.5</v>
      </c>
    </row>
    <row r="9" spans="1:26" x14ac:dyDescent="0.25">
      <c r="A9" t="s">
        <v>586</v>
      </c>
      <c r="B9">
        <v>9</v>
      </c>
      <c r="C9">
        <v>10</v>
      </c>
      <c r="D9">
        <v>4</v>
      </c>
      <c r="E9">
        <f t="shared" si="0"/>
        <v>20.5</v>
      </c>
      <c r="G9" t="s">
        <v>586</v>
      </c>
      <c r="H9">
        <v>9</v>
      </c>
      <c r="I9">
        <v>10</v>
      </c>
      <c r="J9">
        <v>7</v>
      </c>
      <c r="K9">
        <f t="shared" si="1"/>
        <v>37</v>
      </c>
      <c r="M9" t="s">
        <v>586</v>
      </c>
      <c r="N9">
        <v>9</v>
      </c>
      <c r="O9">
        <v>10</v>
      </c>
      <c r="P9">
        <v>7</v>
      </c>
      <c r="Q9">
        <f t="shared" si="2"/>
        <v>33</v>
      </c>
      <c r="S9" t="s">
        <v>586</v>
      </c>
      <c r="T9">
        <v>9</v>
      </c>
      <c r="U9">
        <v>10</v>
      </c>
      <c r="V9">
        <v>5</v>
      </c>
      <c r="W9">
        <f t="shared" si="3"/>
        <v>22.5</v>
      </c>
    </row>
    <row r="10" spans="1:26" x14ac:dyDescent="0.25">
      <c r="A10" t="s">
        <v>587</v>
      </c>
      <c r="B10">
        <v>10</v>
      </c>
      <c r="C10">
        <v>11</v>
      </c>
      <c r="D10">
        <v>5</v>
      </c>
      <c r="E10">
        <f t="shared" si="0"/>
        <v>25.5</v>
      </c>
      <c r="G10" t="s">
        <v>587</v>
      </c>
      <c r="H10">
        <v>10</v>
      </c>
      <c r="I10">
        <v>11</v>
      </c>
      <c r="J10">
        <v>9</v>
      </c>
      <c r="K10">
        <f t="shared" si="1"/>
        <v>46</v>
      </c>
      <c r="M10" t="s">
        <v>587</v>
      </c>
      <c r="N10">
        <v>10</v>
      </c>
      <c r="O10">
        <v>11</v>
      </c>
      <c r="P10">
        <v>7</v>
      </c>
      <c r="Q10">
        <f t="shared" si="2"/>
        <v>40</v>
      </c>
      <c r="S10" t="s">
        <v>587</v>
      </c>
      <c r="T10">
        <v>10</v>
      </c>
      <c r="U10">
        <v>11</v>
      </c>
      <c r="V10">
        <v>5</v>
      </c>
      <c r="W10">
        <f t="shared" si="3"/>
        <v>27.5</v>
      </c>
    </row>
    <row r="11" spans="1:26" x14ac:dyDescent="0.25">
      <c r="A11" t="s">
        <v>588</v>
      </c>
      <c r="B11">
        <v>11</v>
      </c>
      <c r="C11">
        <v>12</v>
      </c>
      <c r="D11">
        <v>5</v>
      </c>
      <c r="E11">
        <f t="shared" si="0"/>
        <v>30.5</v>
      </c>
      <c r="G11" t="s">
        <v>588</v>
      </c>
      <c r="H11">
        <v>11</v>
      </c>
      <c r="I11">
        <v>12</v>
      </c>
      <c r="J11">
        <v>10</v>
      </c>
      <c r="K11">
        <f t="shared" si="1"/>
        <v>56</v>
      </c>
      <c r="M11" t="s">
        <v>588</v>
      </c>
      <c r="N11">
        <v>11</v>
      </c>
      <c r="O11">
        <v>12</v>
      </c>
      <c r="P11">
        <v>8</v>
      </c>
      <c r="Q11">
        <f t="shared" si="2"/>
        <v>48</v>
      </c>
      <c r="S11" t="s">
        <v>588</v>
      </c>
      <c r="T11">
        <v>11</v>
      </c>
      <c r="U11">
        <v>12</v>
      </c>
      <c r="V11">
        <v>5</v>
      </c>
      <c r="W11">
        <f t="shared" si="3"/>
        <v>32.5</v>
      </c>
    </row>
    <row r="12" spans="1:26" x14ac:dyDescent="0.25">
      <c r="A12" t="s">
        <v>589</v>
      </c>
      <c r="B12">
        <v>12</v>
      </c>
      <c r="C12">
        <v>13</v>
      </c>
      <c r="D12">
        <v>6</v>
      </c>
      <c r="E12">
        <f t="shared" si="0"/>
        <v>36.5</v>
      </c>
      <c r="G12" t="s">
        <v>589</v>
      </c>
      <c r="H12">
        <v>12</v>
      </c>
      <c r="I12">
        <v>13</v>
      </c>
      <c r="J12">
        <v>11</v>
      </c>
      <c r="K12">
        <f t="shared" si="1"/>
        <v>67</v>
      </c>
      <c r="M12" t="s">
        <v>589</v>
      </c>
      <c r="N12">
        <v>12</v>
      </c>
      <c r="O12">
        <v>13</v>
      </c>
      <c r="P12">
        <v>10</v>
      </c>
      <c r="Q12">
        <f t="shared" si="2"/>
        <v>58</v>
      </c>
      <c r="S12" t="s">
        <v>589</v>
      </c>
      <c r="T12">
        <v>12</v>
      </c>
      <c r="U12">
        <v>13</v>
      </c>
      <c r="V12">
        <v>7</v>
      </c>
      <c r="W12">
        <f t="shared" si="3"/>
        <v>39.5</v>
      </c>
    </row>
    <row r="13" spans="1:26" x14ac:dyDescent="0.25">
      <c r="A13" t="s">
        <v>590</v>
      </c>
      <c r="B13">
        <v>13</v>
      </c>
      <c r="C13">
        <v>14</v>
      </c>
      <c r="D13">
        <v>7</v>
      </c>
      <c r="E13">
        <f t="shared" si="0"/>
        <v>43.5</v>
      </c>
      <c r="G13" t="s">
        <v>590</v>
      </c>
      <c r="H13">
        <v>13</v>
      </c>
      <c r="I13">
        <v>14</v>
      </c>
      <c r="J13">
        <v>12</v>
      </c>
      <c r="K13">
        <f t="shared" si="1"/>
        <v>79</v>
      </c>
      <c r="M13" t="s">
        <v>590</v>
      </c>
      <c r="N13">
        <v>13</v>
      </c>
      <c r="O13">
        <v>14</v>
      </c>
      <c r="P13">
        <v>10</v>
      </c>
      <c r="Q13">
        <f t="shared" si="2"/>
        <v>68</v>
      </c>
      <c r="S13" t="s">
        <v>590</v>
      </c>
      <c r="T13">
        <v>13</v>
      </c>
      <c r="U13">
        <v>14</v>
      </c>
      <c r="V13">
        <v>7</v>
      </c>
      <c r="W13">
        <f t="shared" si="3"/>
        <v>46.5</v>
      </c>
    </row>
    <row r="14" spans="1:26" x14ac:dyDescent="0.25">
      <c r="A14" t="s">
        <v>591</v>
      </c>
      <c r="B14">
        <v>14</v>
      </c>
      <c r="C14">
        <v>15</v>
      </c>
      <c r="D14">
        <v>8</v>
      </c>
      <c r="E14">
        <f t="shared" si="0"/>
        <v>51.5</v>
      </c>
      <c r="G14" t="s">
        <v>591</v>
      </c>
      <c r="H14">
        <v>14</v>
      </c>
      <c r="I14">
        <v>15</v>
      </c>
      <c r="J14">
        <v>16</v>
      </c>
      <c r="K14">
        <f t="shared" si="1"/>
        <v>95</v>
      </c>
      <c r="M14" t="s">
        <v>591</v>
      </c>
      <c r="N14">
        <v>14</v>
      </c>
      <c r="O14">
        <v>15</v>
      </c>
      <c r="P14">
        <v>13</v>
      </c>
      <c r="Q14">
        <f t="shared" si="2"/>
        <v>81</v>
      </c>
      <c r="S14" t="s">
        <v>591</v>
      </c>
      <c r="T14">
        <v>14</v>
      </c>
      <c r="U14">
        <v>15</v>
      </c>
      <c r="V14">
        <v>9</v>
      </c>
      <c r="W14">
        <f t="shared" si="3"/>
        <v>55.5</v>
      </c>
    </row>
    <row r="15" spans="1:26" x14ac:dyDescent="0.25">
      <c r="A15" t="s">
        <v>592</v>
      </c>
      <c r="B15">
        <v>15</v>
      </c>
      <c r="C15">
        <v>16</v>
      </c>
      <c r="D15">
        <v>10</v>
      </c>
      <c r="E15">
        <f t="shared" si="0"/>
        <v>61.5</v>
      </c>
      <c r="G15" t="s">
        <v>592</v>
      </c>
      <c r="H15">
        <v>15</v>
      </c>
      <c r="I15">
        <v>16</v>
      </c>
      <c r="J15">
        <v>18</v>
      </c>
      <c r="K15">
        <f t="shared" si="1"/>
        <v>113</v>
      </c>
      <c r="M15" t="s">
        <v>592</v>
      </c>
      <c r="N15">
        <v>15</v>
      </c>
      <c r="O15">
        <v>16</v>
      </c>
      <c r="P15">
        <v>15</v>
      </c>
      <c r="Q15">
        <f t="shared" si="2"/>
        <v>96</v>
      </c>
      <c r="S15" t="s">
        <v>592</v>
      </c>
      <c r="T15">
        <v>15</v>
      </c>
      <c r="U15">
        <v>16</v>
      </c>
      <c r="V15">
        <v>10</v>
      </c>
      <c r="W15">
        <f t="shared" si="3"/>
        <v>65.5</v>
      </c>
      <c r="Z15" s="148"/>
    </row>
    <row r="16" spans="1:26" x14ac:dyDescent="0.25">
      <c r="A16" t="s">
        <v>593</v>
      </c>
      <c r="B16">
        <v>16</v>
      </c>
      <c r="C16">
        <v>17</v>
      </c>
      <c r="D16">
        <v>11</v>
      </c>
      <c r="E16">
        <f t="shared" si="0"/>
        <v>72.5</v>
      </c>
      <c r="G16" t="s">
        <v>593</v>
      </c>
      <c r="H16">
        <v>16</v>
      </c>
      <c r="I16">
        <v>17</v>
      </c>
      <c r="J16">
        <v>23</v>
      </c>
      <c r="K16">
        <f t="shared" si="1"/>
        <v>136</v>
      </c>
      <c r="M16" t="s">
        <v>593</v>
      </c>
      <c r="N16">
        <v>16</v>
      </c>
      <c r="O16">
        <v>17</v>
      </c>
      <c r="P16">
        <v>19</v>
      </c>
      <c r="Q16">
        <f t="shared" si="2"/>
        <v>115</v>
      </c>
      <c r="S16" t="s">
        <v>593</v>
      </c>
      <c r="T16">
        <v>16</v>
      </c>
      <c r="U16">
        <v>17</v>
      </c>
      <c r="V16">
        <v>12</v>
      </c>
      <c r="W16">
        <f t="shared" si="3"/>
        <v>77.5</v>
      </c>
    </row>
    <row r="17" spans="1:23" x14ac:dyDescent="0.25">
      <c r="A17" t="s">
        <v>594</v>
      </c>
      <c r="B17">
        <v>17</v>
      </c>
      <c r="C17">
        <v>18</v>
      </c>
      <c r="D17">
        <v>14</v>
      </c>
      <c r="E17">
        <f t="shared" si="0"/>
        <v>86.5</v>
      </c>
      <c r="G17" t="s">
        <v>594</v>
      </c>
      <c r="H17">
        <v>17</v>
      </c>
      <c r="I17">
        <v>18</v>
      </c>
      <c r="J17">
        <v>36</v>
      </c>
      <c r="K17">
        <f t="shared" si="1"/>
        <v>172</v>
      </c>
      <c r="M17" t="s">
        <v>594</v>
      </c>
      <c r="N17">
        <v>17</v>
      </c>
      <c r="O17">
        <v>18</v>
      </c>
      <c r="P17">
        <v>26</v>
      </c>
      <c r="Q17">
        <f t="shared" si="2"/>
        <v>141</v>
      </c>
      <c r="S17" t="s">
        <v>594</v>
      </c>
      <c r="T17">
        <v>17</v>
      </c>
      <c r="U17">
        <v>18</v>
      </c>
      <c r="V17">
        <v>15</v>
      </c>
      <c r="W17">
        <f t="shared" si="3"/>
        <v>92.5</v>
      </c>
    </row>
    <row r="18" spans="1:23" x14ac:dyDescent="0.25">
      <c r="A18" t="s">
        <v>595</v>
      </c>
      <c r="B18">
        <v>18</v>
      </c>
      <c r="C18">
        <v>19</v>
      </c>
      <c r="D18">
        <v>19</v>
      </c>
      <c r="G18" t="s">
        <v>595</v>
      </c>
      <c r="H18">
        <v>18</v>
      </c>
      <c r="I18">
        <v>19</v>
      </c>
      <c r="M18" t="s">
        <v>595</v>
      </c>
      <c r="N18">
        <v>18</v>
      </c>
      <c r="O18">
        <v>19</v>
      </c>
      <c r="P18">
        <v>58</v>
      </c>
      <c r="S18" t="s">
        <v>595</v>
      </c>
      <c r="T18">
        <v>18</v>
      </c>
      <c r="U18">
        <v>19</v>
      </c>
      <c r="V18">
        <v>21</v>
      </c>
    </row>
    <row r="21" spans="1:23" x14ac:dyDescent="0.25">
      <c r="A21" s="4" t="s">
        <v>600</v>
      </c>
      <c r="B21" s="4" t="s">
        <v>596</v>
      </c>
      <c r="C21" s="4" t="s">
        <v>597</v>
      </c>
      <c r="D21" s="4" t="s">
        <v>575</v>
      </c>
      <c r="E21" s="4" t="s">
        <v>598</v>
      </c>
      <c r="G21" s="4" t="s">
        <v>601</v>
      </c>
      <c r="H21" s="4" t="s">
        <v>596</v>
      </c>
      <c r="I21" s="4" t="s">
        <v>597</v>
      </c>
      <c r="J21" s="4" t="s">
        <v>575</v>
      </c>
      <c r="K21" s="4" t="s">
        <v>598</v>
      </c>
      <c r="M21" s="4" t="s">
        <v>0</v>
      </c>
      <c r="N21" s="4" t="s">
        <v>596</v>
      </c>
      <c r="O21" s="4" t="s">
        <v>597</v>
      </c>
      <c r="P21" s="4" t="s">
        <v>575</v>
      </c>
      <c r="Q21" s="4" t="s">
        <v>598</v>
      </c>
      <c r="S21" s="4" t="s">
        <v>61</v>
      </c>
      <c r="T21">
        <v>19</v>
      </c>
    </row>
    <row r="22" spans="1:23" x14ac:dyDescent="0.25">
      <c r="A22" t="s">
        <v>579</v>
      </c>
      <c r="B22">
        <v>2</v>
      </c>
      <c r="C22">
        <v>3</v>
      </c>
      <c r="D22">
        <v>2</v>
      </c>
      <c r="E22">
        <f>D22</f>
        <v>2</v>
      </c>
      <c r="G22" t="s">
        <v>579</v>
      </c>
      <c r="H22">
        <v>2</v>
      </c>
      <c r="I22">
        <v>3</v>
      </c>
      <c r="J22">
        <v>2</v>
      </c>
      <c r="K22">
        <f>J22</f>
        <v>2</v>
      </c>
      <c r="M22" t="s">
        <v>579</v>
      </c>
      <c r="N22">
        <v>2</v>
      </c>
      <c r="O22">
        <v>3</v>
      </c>
      <c r="P22">
        <v>1</v>
      </c>
      <c r="Q22">
        <f>P22</f>
        <v>1</v>
      </c>
      <c r="S22" t="s">
        <v>602</v>
      </c>
      <c r="T22" s="463">
        <v>0.15</v>
      </c>
    </row>
    <row r="23" spans="1:23" x14ac:dyDescent="0.25">
      <c r="A23" t="s">
        <v>580</v>
      </c>
      <c r="B23">
        <v>3</v>
      </c>
      <c r="C23">
        <v>4</v>
      </c>
      <c r="D23">
        <v>2</v>
      </c>
      <c r="E23">
        <f>E22+D23</f>
        <v>4</v>
      </c>
      <c r="G23" t="s">
        <v>580</v>
      </c>
      <c r="H23">
        <v>3</v>
      </c>
      <c r="I23">
        <v>4</v>
      </c>
      <c r="J23">
        <v>3</v>
      </c>
      <c r="K23">
        <f>K22+J23</f>
        <v>5</v>
      </c>
      <c r="M23" t="s">
        <v>580</v>
      </c>
      <c r="N23">
        <v>3</v>
      </c>
      <c r="O23">
        <v>4</v>
      </c>
      <c r="P23">
        <v>1</v>
      </c>
      <c r="Q23">
        <f>Q22+P23</f>
        <v>2</v>
      </c>
      <c r="S23" t="s">
        <v>603</v>
      </c>
      <c r="T23" t="s">
        <v>605</v>
      </c>
    </row>
    <row r="24" spans="1:23" x14ac:dyDescent="0.25">
      <c r="A24" t="s">
        <v>581</v>
      </c>
      <c r="B24">
        <v>4</v>
      </c>
      <c r="C24">
        <v>5</v>
      </c>
      <c r="D24">
        <v>3</v>
      </c>
      <c r="E24">
        <f t="shared" ref="E24:E37" si="4">E23+D24</f>
        <v>7</v>
      </c>
      <c r="G24" t="s">
        <v>581</v>
      </c>
      <c r="H24">
        <v>4</v>
      </c>
      <c r="I24">
        <v>5</v>
      </c>
      <c r="J24">
        <v>3</v>
      </c>
      <c r="K24">
        <f t="shared" ref="K24:K37" si="5">K23+J24</f>
        <v>8</v>
      </c>
      <c r="M24" t="s">
        <v>581</v>
      </c>
      <c r="N24">
        <v>4</v>
      </c>
      <c r="O24">
        <v>5</v>
      </c>
      <c r="P24">
        <v>1</v>
      </c>
      <c r="Q24">
        <f t="shared" ref="Q24:Q37" si="6">Q23+P24</f>
        <v>3</v>
      </c>
      <c r="S24" t="s">
        <v>604</v>
      </c>
      <c r="T24" s="463">
        <v>1</v>
      </c>
    </row>
    <row r="25" spans="1:23" x14ac:dyDescent="0.25">
      <c r="A25" t="s">
        <v>582</v>
      </c>
      <c r="B25">
        <v>5</v>
      </c>
      <c r="C25">
        <v>6</v>
      </c>
      <c r="D25">
        <v>3</v>
      </c>
      <c r="E25">
        <f t="shared" si="4"/>
        <v>10</v>
      </c>
      <c r="G25" t="s">
        <v>582</v>
      </c>
      <c r="H25">
        <v>5</v>
      </c>
      <c r="I25">
        <v>6</v>
      </c>
      <c r="J25">
        <v>4</v>
      </c>
      <c r="K25">
        <f t="shared" si="5"/>
        <v>12</v>
      </c>
      <c r="M25" t="s">
        <v>582</v>
      </c>
      <c r="N25">
        <v>5</v>
      </c>
      <c r="O25">
        <v>6</v>
      </c>
      <c r="P25">
        <v>1</v>
      </c>
      <c r="Q25">
        <f t="shared" si="6"/>
        <v>4</v>
      </c>
    </row>
    <row r="26" spans="1:23" x14ac:dyDescent="0.25">
      <c r="A26" t="s">
        <v>583</v>
      </c>
      <c r="B26">
        <v>6</v>
      </c>
      <c r="C26">
        <v>7</v>
      </c>
      <c r="D26">
        <v>4</v>
      </c>
      <c r="E26">
        <f t="shared" si="4"/>
        <v>14</v>
      </c>
      <c r="G26" t="s">
        <v>583</v>
      </c>
      <c r="H26">
        <v>6</v>
      </c>
      <c r="I26">
        <v>7</v>
      </c>
      <c r="J26">
        <v>4</v>
      </c>
      <c r="K26">
        <f t="shared" si="5"/>
        <v>16</v>
      </c>
      <c r="M26" t="s">
        <v>583</v>
      </c>
      <c r="N26">
        <v>6</v>
      </c>
      <c r="O26">
        <v>7</v>
      </c>
      <c r="P26">
        <v>1</v>
      </c>
      <c r="Q26">
        <f t="shared" si="6"/>
        <v>5</v>
      </c>
    </row>
    <row r="27" spans="1:23" x14ac:dyDescent="0.25">
      <c r="A27" t="s">
        <v>584</v>
      </c>
      <c r="B27">
        <v>7</v>
      </c>
      <c r="C27">
        <v>8</v>
      </c>
      <c r="D27">
        <v>4</v>
      </c>
      <c r="E27">
        <f t="shared" si="4"/>
        <v>18</v>
      </c>
      <c r="G27" t="s">
        <v>584</v>
      </c>
      <c r="H27">
        <v>7</v>
      </c>
      <c r="I27">
        <v>8</v>
      </c>
      <c r="J27">
        <v>5</v>
      </c>
      <c r="K27">
        <f t="shared" si="5"/>
        <v>21</v>
      </c>
      <c r="M27" t="s">
        <v>584</v>
      </c>
      <c r="N27">
        <v>7</v>
      </c>
      <c r="O27">
        <v>8</v>
      </c>
      <c r="P27">
        <v>1</v>
      </c>
      <c r="Q27">
        <f t="shared" si="6"/>
        <v>6</v>
      </c>
    </row>
    <row r="28" spans="1:23" x14ac:dyDescent="0.25">
      <c r="A28" t="s">
        <v>585</v>
      </c>
      <c r="B28">
        <v>8</v>
      </c>
      <c r="C28">
        <v>9</v>
      </c>
      <c r="D28">
        <v>5</v>
      </c>
      <c r="E28">
        <f t="shared" si="4"/>
        <v>23</v>
      </c>
      <c r="G28" t="s">
        <v>585</v>
      </c>
      <c r="H28">
        <v>8</v>
      </c>
      <c r="I28">
        <v>9</v>
      </c>
      <c r="J28">
        <v>6</v>
      </c>
      <c r="K28">
        <f t="shared" si="5"/>
        <v>27</v>
      </c>
      <c r="M28" t="s">
        <v>585</v>
      </c>
      <c r="N28">
        <v>8</v>
      </c>
      <c r="O28">
        <v>9</v>
      </c>
      <c r="P28">
        <v>1</v>
      </c>
      <c r="Q28">
        <f t="shared" si="6"/>
        <v>7</v>
      </c>
    </row>
    <row r="29" spans="1:23" x14ac:dyDescent="0.25">
      <c r="A29" t="s">
        <v>586</v>
      </c>
      <c r="B29">
        <v>9</v>
      </c>
      <c r="C29">
        <v>10</v>
      </c>
      <c r="D29">
        <v>6</v>
      </c>
      <c r="E29">
        <f t="shared" si="4"/>
        <v>29</v>
      </c>
      <c r="G29" t="s">
        <v>586</v>
      </c>
      <c r="H29">
        <v>9</v>
      </c>
      <c r="I29">
        <v>10</v>
      </c>
      <c r="J29">
        <v>6</v>
      </c>
      <c r="K29">
        <f t="shared" si="5"/>
        <v>33</v>
      </c>
      <c r="M29" t="s">
        <v>586</v>
      </c>
      <c r="N29">
        <v>9</v>
      </c>
      <c r="O29">
        <v>10</v>
      </c>
      <c r="P29">
        <v>1</v>
      </c>
      <c r="Q29">
        <f t="shared" si="6"/>
        <v>8</v>
      </c>
    </row>
    <row r="30" spans="1:23" x14ac:dyDescent="0.25">
      <c r="A30" t="s">
        <v>587</v>
      </c>
      <c r="B30">
        <v>10</v>
      </c>
      <c r="C30">
        <v>11</v>
      </c>
      <c r="D30">
        <v>7</v>
      </c>
      <c r="E30">
        <f t="shared" si="4"/>
        <v>36</v>
      </c>
      <c r="G30" t="s">
        <v>587</v>
      </c>
      <c r="H30">
        <v>10</v>
      </c>
      <c r="I30">
        <v>11</v>
      </c>
      <c r="J30">
        <v>7</v>
      </c>
      <c r="K30">
        <f t="shared" si="5"/>
        <v>40</v>
      </c>
      <c r="M30" t="s">
        <v>587</v>
      </c>
      <c r="N30">
        <v>10</v>
      </c>
      <c r="O30">
        <v>11</v>
      </c>
      <c r="P30">
        <v>2</v>
      </c>
      <c r="Q30">
        <f t="shared" si="6"/>
        <v>10</v>
      </c>
    </row>
    <row r="31" spans="1:23" x14ac:dyDescent="0.25">
      <c r="A31" t="s">
        <v>588</v>
      </c>
      <c r="B31">
        <v>11</v>
      </c>
      <c r="C31">
        <v>12</v>
      </c>
      <c r="D31">
        <v>7</v>
      </c>
      <c r="E31">
        <f t="shared" si="4"/>
        <v>43</v>
      </c>
      <c r="G31" t="s">
        <v>588</v>
      </c>
      <c r="H31">
        <v>11</v>
      </c>
      <c r="I31">
        <v>12</v>
      </c>
      <c r="J31">
        <v>9</v>
      </c>
      <c r="K31">
        <f t="shared" si="5"/>
        <v>49</v>
      </c>
      <c r="M31" t="s">
        <v>588</v>
      </c>
      <c r="N31">
        <v>11</v>
      </c>
      <c r="O31">
        <v>12</v>
      </c>
      <c r="P31">
        <v>2</v>
      </c>
      <c r="Q31">
        <f t="shared" si="6"/>
        <v>12</v>
      </c>
    </row>
    <row r="32" spans="1:23" x14ac:dyDescent="0.25">
      <c r="A32" t="s">
        <v>589</v>
      </c>
      <c r="B32">
        <v>12</v>
      </c>
      <c r="C32">
        <v>13</v>
      </c>
      <c r="D32">
        <v>9</v>
      </c>
      <c r="E32">
        <f t="shared" si="4"/>
        <v>52</v>
      </c>
      <c r="G32" t="s">
        <v>589</v>
      </c>
      <c r="H32">
        <v>12</v>
      </c>
      <c r="I32">
        <v>13</v>
      </c>
      <c r="J32">
        <v>10</v>
      </c>
      <c r="K32">
        <f t="shared" si="5"/>
        <v>59</v>
      </c>
      <c r="M32" t="s">
        <v>589</v>
      </c>
      <c r="N32">
        <v>12</v>
      </c>
      <c r="O32">
        <v>13</v>
      </c>
      <c r="P32">
        <v>2</v>
      </c>
      <c r="Q32">
        <f t="shared" si="6"/>
        <v>14</v>
      </c>
    </row>
    <row r="33" spans="1:17" x14ac:dyDescent="0.25">
      <c r="A33" t="s">
        <v>590</v>
      </c>
      <c r="B33">
        <v>13</v>
      </c>
      <c r="C33">
        <v>14</v>
      </c>
      <c r="D33">
        <v>10</v>
      </c>
      <c r="E33">
        <f t="shared" si="4"/>
        <v>62</v>
      </c>
      <c r="G33" t="s">
        <v>590</v>
      </c>
      <c r="H33">
        <v>13</v>
      </c>
      <c r="I33">
        <v>14</v>
      </c>
      <c r="J33">
        <v>11</v>
      </c>
      <c r="K33">
        <f t="shared" si="5"/>
        <v>70</v>
      </c>
      <c r="M33" t="s">
        <v>590</v>
      </c>
      <c r="N33">
        <v>13</v>
      </c>
      <c r="O33">
        <v>14</v>
      </c>
      <c r="P33">
        <v>2</v>
      </c>
      <c r="Q33">
        <f t="shared" si="6"/>
        <v>16</v>
      </c>
    </row>
    <row r="34" spans="1:17" x14ac:dyDescent="0.25">
      <c r="A34" t="s">
        <v>591</v>
      </c>
      <c r="B34">
        <v>14</v>
      </c>
      <c r="C34">
        <v>15</v>
      </c>
      <c r="D34">
        <v>12</v>
      </c>
      <c r="E34">
        <f t="shared" si="4"/>
        <v>74</v>
      </c>
      <c r="G34" t="s">
        <v>591</v>
      </c>
      <c r="H34">
        <v>14</v>
      </c>
      <c r="I34">
        <v>15</v>
      </c>
      <c r="J34">
        <v>13</v>
      </c>
      <c r="K34">
        <f t="shared" si="5"/>
        <v>83</v>
      </c>
      <c r="M34" t="s">
        <v>591</v>
      </c>
      <c r="N34">
        <v>14</v>
      </c>
      <c r="O34">
        <v>15</v>
      </c>
      <c r="P34">
        <v>2</v>
      </c>
      <c r="Q34">
        <f t="shared" si="6"/>
        <v>18</v>
      </c>
    </row>
    <row r="35" spans="1:17" x14ac:dyDescent="0.25">
      <c r="A35" t="s">
        <v>592</v>
      </c>
      <c r="B35">
        <v>15</v>
      </c>
      <c r="C35">
        <v>16</v>
      </c>
      <c r="D35">
        <v>14</v>
      </c>
      <c r="E35">
        <f t="shared" si="4"/>
        <v>88</v>
      </c>
      <c r="G35" t="s">
        <v>592</v>
      </c>
      <c r="H35">
        <v>15</v>
      </c>
      <c r="I35">
        <v>16</v>
      </c>
      <c r="J35">
        <v>16</v>
      </c>
      <c r="K35">
        <f t="shared" si="5"/>
        <v>99</v>
      </c>
      <c r="M35" t="s">
        <v>592</v>
      </c>
      <c r="N35">
        <v>15</v>
      </c>
      <c r="O35">
        <v>16</v>
      </c>
      <c r="P35">
        <v>3</v>
      </c>
      <c r="Q35">
        <f t="shared" si="6"/>
        <v>21</v>
      </c>
    </row>
    <row r="36" spans="1:17" x14ac:dyDescent="0.25">
      <c r="A36" t="s">
        <v>593</v>
      </c>
      <c r="B36">
        <v>16</v>
      </c>
      <c r="C36">
        <v>17</v>
      </c>
      <c r="D36">
        <v>17</v>
      </c>
      <c r="E36">
        <f t="shared" si="4"/>
        <v>105</v>
      </c>
      <c r="G36" t="s">
        <v>593</v>
      </c>
      <c r="H36">
        <v>16</v>
      </c>
      <c r="I36">
        <v>17</v>
      </c>
      <c r="J36">
        <v>20</v>
      </c>
      <c r="K36">
        <f t="shared" si="5"/>
        <v>119</v>
      </c>
      <c r="M36" t="s">
        <v>593</v>
      </c>
      <c r="N36">
        <v>16</v>
      </c>
      <c r="O36">
        <v>17</v>
      </c>
      <c r="P36">
        <v>4</v>
      </c>
      <c r="Q36">
        <f t="shared" si="6"/>
        <v>25</v>
      </c>
    </row>
    <row r="37" spans="1:17" x14ac:dyDescent="0.25">
      <c r="A37" t="s">
        <v>594</v>
      </c>
      <c r="B37">
        <v>17</v>
      </c>
      <c r="C37">
        <v>18</v>
      </c>
      <c r="D37">
        <v>23</v>
      </c>
      <c r="E37">
        <f t="shared" si="4"/>
        <v>128</v>
      </c>
      <c r="G37" t="s">
        <v>594</v>
      </c>
      <c r="H37">
        <v>17</v>
      </c>
      <c r="I37">
        <v>18</v>
      </c>
      <c r="J37">
        <v>29</v>
      </c>
      <c r="K37">
        <f t="shared" si="5"/>
        <v>148</v>
      </c>
      <c r="M37" t="s">
        <v>594</v>
      </c>
      <c r="N37">
        <v>17</v>
      </c>
      <c r="O37">
        <v>18</v>
      </c>
      <c r="P37">
        <v>4</v>
      </c>
      <c r="Q37">
        <f t="shared" si="6"/>
        <v>29</v>
      </c>
    </row>
    <row r="38" spans="1:17" x14ac:dyDescent="0.25">
      <c r="A38" t="s">
        <v>595</v>
      </c>
      <c r="B38">
        <v>18</v>
      </c>
      <c r="C38">
        <v>19</v>
      </c>
      <c r="D38">
        <v>41</v>
      </c>
      <c r="G38" t="s">
        <v>595</v>
      </c>
      <c r="H38">
        <v>18</v>
      </c>
      <c r="I38">
        <v>19</v>
      </c>
      <c r="M38" t="s">
        <v>595</v>
      </c>
      <c r="N38">
        <v>18</v>
      </c>
      <c r="O38">
        <v>19</v>
      </c>
      <c r="P38">
        <v>4</v>
      </c>
    </row>
  </sheetData>
  <pageMargins left="0.7" right="0.7" top="0.75" bottom="0.75" header="0.3" footer="0.3"/>
  <pageSetup paperSize="9" scale="6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37" t="s">
        <v>131</v>
      </c>
      <c r="B1" s="137" t="s">
        <v>132</v>
      </c>
      <c r="C1" s="137" t="s">
        <v>133</v>
      </c>
      <c r="D1" s="142" t="s">
        <v>159</v>
      </c>
      <c r="E1" s="142" t="s">
        <v>160</v>
      </c>
      <c r="F1" s="142" t="s">
        <v>162</v>
      </c>
      <c r="G1" s="142" t="s">
        <v>161</v>
      </c>
      <c r="H1" s="142" t="s">
        <v>163</v>
      </c>
      <c r="I1" s="142" t="s">
        <v>165</v>
      </c>
    </row>
    <row r="2" spans="1:9" ht="42" x14ac:dyDescent="0.25">
      <c r="A2" s="140" t="s">
        <v>134</v>
      </c>
      <c r="B2" s="141" t="s">
        <v>134</v>
      </c>
      <c r="C2" s="141" t="s">
        <v>135</v>
      </c>
      <c r="D2" s="2">
        <v>4</v>
      </c>
      <c r="E2" s="2">
        <v>18</v>
      </c>
      <c r="F2" s="2">
        <v>0</v>
      </c>
      <c r="G2" s="2">
        <v>0</v>
      </c>
      <c r="H2" s="143">
        <v>1</v>
      </c>
      <c r="I2" s="2">
        <f>H2*4</f>
        <v>4</v>
      </c>
    </row>
    <row r="3" spans="1:9" ht="21" x14ac:dyDescent="0.25">
      <c r="A3" s="138" t="s">
        <v>130</v>
      </c>
      <c r="B3" s="139" t="s">
        <v>130</v>
      </c>
      <c r="C3" s="139" t="s">
        <v>136</v>
      </c>
      <c r="D3" s="2">
        <v>0</v>
      </c>
      <c r="E3" s="2">
        <v>10</v>
      </c>
      <c r="F3" s="2">
        <v>0</v>
      </c>
      <c r="G3" s="2">
        <v>12</v>
      </c>
      <c r="H3" s="144">
        <v>5</v>
      </c>
      <c r="I3" s="2">
        <f t="shared" ref="I3:I13" si="0">H3*4</f>
        <v>20</v>
      </c>
    </row>
    <row r="4" spans="1:9" ht="21" x14ac:dyDescent="0.25">
      <c r="A4" s="138" t="s">
        <v>137</v>
      </c>
      <c r="B4" s="139" t="s">
        <v>137</v>
      </c>
      <c r="C4" s="139" t="s">
        <v>138</v>
      </c>
      <c r="D4" s="2">
        <v>0</v>
      </c>
      <c r="E4" s="2">
        <v>6</v>
      </c>
      <c r="F4" s="2">
        <v>0</v>
      </c>
      <c r="G4" s="2">
        <v>16</v>
      </c>
      <c r="H4" s="144">
        <v>4.4000000000000004</v>
      </c>
      <c r="I4" s="2">
        <f t="shared" si="0"/>
        <v>17.600000000000001</v>
      </c>
    </row>
    <row r="5" spans="1:9" ht="21" x14ac:dyDescent="0.25">
      <c r="A5" s="138" t="s">
        <v>139</v>
      </c>
      <c r="B5" s="139" t="s">
        <v>140</v>
      </c>
      <c r="C5" s="139" t="s">
        <v>141</v>
      </c>
      <c r="D5" s="2">
        <v>0</v>
      </c>
      <c r="E5" s="2">
        <v>4</v>
      </c>
      <c r="F5" s="2">
        <v>4</v>
      </c>
      <c r="G5" s="2">
        <v>14</v>
      </c>
      <c r="H5" s="144">
        <v>3</v>
      </c>
      <c r="I5" s="2">
        <f t="shared" si="0"/>
        <v>12</v>
      </c>
    </row>
    <row r="6" spans="1:9" x14ac:dyDescent="0.25">
      <c r="A6" s="648" t="s">
        <v>142</v>
      </c>
      <c r="B6" s="139" t="s">
        <v>143</v>
      </c>
      <c r="C6" s="139" t="s">
        <v>144</v>
      </c>
      <c r="D6" s="2">
        <v>0</v>
      </c>
      <c r="E6" s="2">
        <v>22</v>
      </c>
      <c r="F6" s="2">
        <v>0</v>
      </c>
      <c r="G6" s="2">
        <v>0</v>
      </c>
      <c r="H6" s="144">
        <f>H4*2</f>
        <v>8.8000000000000007</v>
      </c>
      <c r="I6" s="2">
        <f t="shared" si="0"/>
        <v>35.200000000000003</v>
      </c>
    </row>
    <row r="7" spans="1:9" x14ac:dyDescent="0.25">
      <c r="A7" s="648"/>
      <c r="B7" s="139" t="s">
        <v>145</v>
      </c>
      <c r="C7" s="139" t="s">
        <v>146</v>
      </c>
      <c r="D7" s="2">
        <v>0</v>
      </c>
      <c r="E7" s="2">
        <v>0</v>
      </c>
      <c r="F7" s="2">
        <v>0</v>
      </c>
      <c r="G7" s="2">
        <v>22</v>
      </c>
      <c r="H7" s="144">
        <f>H2/0.2</f>
        <v>5</v>
      </c>
      <c r="I7" s="2">
        <f t="shared" si="0"/>
        <v>20</v>
      </c>
    </row>
    <row r="8" spans="1:9" ht="31.5" x14ac:dyDescent="0.25">
      <c r="A8" s="138" t="s">
        <v>147</v>
      </c>
      <c r="B8" s="139" t="s">
        <v>148</v>
      </c>
      <c r="C8" s="139" t="s">
        <v>149</v>
      </c>
      <c r="D8" s="2">
        <v>0</v>
      </c>
      <c r="E8" s="2">
        <v>16</v>
      </c>
      <c r="F8" s="2">
        <v>0</v>
      </c>
      <c r="G8" s="2">
        <v>6</v>
      </c>
      <c r="H8" s="144">
        <v>3.9</v>
      </c>
      <c r="I8" s="2">
        <f t="shared" si="0"/>
        <v>15.6</v>
      </c>
    </row>
    <row r="9" spans="1:9" ht="21" x14ac:dyDescent="0.25">
      <c r="A9" s="138" t="s">
        <v>150</v>
      </c>
      <c r="B9" s="139" t="s">
        <v>150</v>
      </c>
      <c r="C9" s="139" t="s">
        <v>151</v>
      </c>
      <c r="D9" s="2">
        <v>0</v>
      </c>
      <c r="E9" s="2">
        <v>6</v>
      </c>
      <c r="F9" s="2">
        <v>4</v>
      </c>
      <c r="G9" s="2">
        <v>12</v>
      </c>
      <c r="H9" s="144">
        <v>4.0999999999999996</v>
      </c>
      <c r="I9" s="2">
        <f t="shared" si="0"/>
        <v>16.399999999999999</v>
      </c>
    </row>
    <row r="10" spans="1:9" x14ac:dyDescent="0.25">
      <c r="A10" s="138" t="s">
        <v>129</v>
      </c>
      <c r="B10" s="139" t="s">
        <v>129</v>
      </c>
      <c r="C10" s="139" t="s">
        <v>152</v>
      </c>
      <c r="D10" s="2">
        <v>0</v>
      </c>
      <c r="E10" s="2">
        <v>2</v>
      </c>
      <c r="F10" s="2">
        <v>0</v>
      </c>
      <c r="G10" s="2">
        <v>0</v>
      </c>
      <c r="H10" s="144">
        <v>2.7</v>
      </c>
      <c r="I10" s="2">
        <f t="shared" si="0"/>
        <v>10.8</v>
      </c>
    </row>
    <row r="11" spans="1:9" ht="31.5" x14ac:dyDescent="0.25">
      <c r="A11" s="138" t="s">
        <v>153</v>
      </c>
      <c r="B11" s="139" t="s">
        <v>148</v>
      </c>
      <c r="C11" s="139" t="s">
        <v>154</v>
      </c>
      <c r="D11" s="2">
        <v>0</v>
      </c>
      <c r="E11" s="2">
        <v>20</v>
      </c>
      <c r="F11" s="2">
        <v>0</v>
      </c>
      <c r="G11" s="2">
        <v>2</v>
      </c>
      <c r="H11" s="144">
        <v>4.5999999999999996</v>
      </c>
      <c r="I11" s="2">
        <f t="shared" si="0"/>
        <v>18.399999999999999</v>
      </c>
    </row>
    <row r="12" spans="1:9" ht="31.5" x14ac:dyDescent="0.25">
      <c r="A12" s="138" t="s">
        <v>155</v>
      </c>
      <c r="B12" s="139" t="s">
        <v>130</v>
      </c>
      <c r="C12" s="139" t="s">
        <v>156</v>
      </c>
      <c r="D12" s="2">
        <v>0</v>
      </c>
      <c r="E12" s="2">
        <v>20</v>
      </c>
      <c r="F12" s="2">
        <v>0</v>
      </c>
      <c r="G12" s="2">
        <v>2</v>
      </c>
      <c r="H12" s="144">
        <v>9.9</v>
      </c>
      <c r="I12" s="2">
        <f t="shared" si="0"/>
        <v>39.6</v>
      </c>
    </row>
    <row r="13" spans="1:9" ht="21" x14ac:dyDescent="0.25">
      <c r="A13" s="138" t="s">
        <v>157</v>
      </c>
      <c r="B13" s="139" t="s">
        <v>140</v>
      </c>
      <c r="C13" s="139" t="s">
        <v>158</v>
      </c>
      <c r="D13" s="2">
        <v>0</v>
      </c>
      <c r="E13" s="2">
        <v>10</v>
      </c>
      <c r="F13" s="2">
        <v>0</v>
      </c>
      <c r="G13" s="2">
        <v>6</v>
      </c>
      <c r="H13" s="144">
        <v>4.9000000000000004</v>
      </c>
      <c r="I13" s="2">
        <f t="shared" si="0"/>
        <v>19.600000000000001</v>
      </c>
    </row>
    <row r="14" spans="1:9" x14ac:dyDescent="0.25">
      <c r="A14" s="1"/>
      <c r="D14" s="1" t="s">
        <v>164</v>
      </c>
    </row>
    <row r="17" spans="1:2" x14ac:dyDescent="0.25">
      <c r="A17" t="s">
        <v>166</v>
      </c>
      <c r="B17" t="s">
        <v>67</v>
      </c>
    </row>
    <row r="18" spans="1:2" x14ac:dyDescent="0.25">
      <c r="A18" t="s">
        <v>129</v>
      </c>
    </row>
    <row r="19" spans="1:2" x14ac:dyDescent="0.25">
      <c r="A19" t="s">
        <v>130</v>
      </c>
    </row>
    <row r="20" spans="1:2" x14ac:dyDescent="0.25">
      <c r="A20" t="s">
        <v>167</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65" t="s">
        <v>236</v>
      </c>
      <c r="B1" s="200" t="s">
        <v>195</v>
      </c>
      <c r="C1" s="201" t="s">
        <v>255</v>
      </c>
      <c r="D1" s="201" t="s">
        <v>256</v>
      </c>
      <c r="E1" s="201" t="s">
        <v>103</v>
      </c>
      <c r="F1" s="201" t="s">
        <v>257</v>
      </c>
      <c r="G1" s="201" t="s">
        <v>258</v>
      </c>
      <c r="H1" s="202" t="s">
        <v>259</v>
      </c>
      <c r="I1" s="202" t="s">
        <v>260</v>
      </c>
      <c r="J1" s="202" t="s">
        <v>261</v>
      </c>
    </row>
    <row r="2" spans="1:14" x14ac:dyDescent="0.25">
      <c r="A2" t="s">
        <v>276</v>
      </c>
      <c r="B2" s="199" t="s">
        <v>277</v>
      </c>
      <c r="C2" s="203">
        <v>447000</v>
      </c>
      <c r="D2" s="203">
        <v>2800000</v>
      </c>
      <c r="E2" s="203">
        <v>350</v>
      </c>
      <c r="F2" s="199">
        <v>6.5</v>
      </c>
      <c r="G2" s="199">
        <v>11.5</v>
      </c>
      <c r="H2" s="203">
        <f>C2+D2+(E2*1*16*0.6)</f>
        <v>3250360</v>
      </c>
      <c r="I2" s="203">
        <f t="shared" ref="I2:I3" si="0">H2/F2</f>
        <v>500055.38461538462</v>
      </c>
      <c r="J2" s="102">
        <f t="shared" ref="J2:J3" si="1">H2/G2</f>
        <v>282640</v>
      </c>
    </row>
    <row r="3" spans="1:14" x14ac:dyDescent="0.25">
      <c r="A3" t="s">
        <v>276</v>
      </c>
      <c r="B3" s="199" t="s">
        <v>277</v>
      </c>
      <c r="C3" s="203">
        <v>350000</v>
      </c>
      <c r="D3" s="203">
        <v>2800000</v>
      </c>
      <c r="E3" s="203">
        <v>300</v>
      </c>
      <c r="F3" s="199">
        <f>1.5+2.5+2.5</f>
        <v>6.5</v>
      </c>
      <c r="G3" s="199">
        <f>1.5+2.5+2.5+2.5+2.5</f>
        <v>11.5</v>
      </c>
      <c r="H3" s="203">
        <f t="shared" ref="H3" si="2">C3+D3+(E3*1*16*0.6)</f>
        <v>3152880</v>
      </c>
      <c r="I3" s="203">
        <f t="shared" si="0"/>
        <v>485058.46153846156</v>
      </c>
      <c r="J3" s="102">
        <f t="shared" si="1"/>
        <v>274163.47826086957</v>
      </c>
    </row>
    <row r="4" spans="1:14" x14ac:dyDescent="0.25">
      <c r="A4" t="s">
        <v>199</v>
      </c>
      <c r="B4" s="199" t="s">
        <v>277</v>
      </c>
      <c r="C4" s="203">
        <v>400000</v>
      </c>
      <c r="D4" s="203">
        <v>2590000</v>
      </c>
      <c r="E4" s="203">
        <v>400</v>
      </c>
      <c r="F4" s="199">
        <f>1.5+2.5+2.5</f>
        <v>6.5</v>
      </c>
      <c r="G4" s="199">
        <f>1.5+2.5+2.5+2.5+2.5</f>
        <v>11.5</v>
      </c>
      <c r="H4" s="203">
        <f t="shared" ref="H4" si="3">C4+D4+(E4*1*16*0.6)</f>
        <v>2993840</v>
      </c>
      <c r="I4" s="203">
        <f t="shared" ref="I4" si="4">H4/F4</f>
        <v>460590.76923076925</v>
      </c>
      <c r="J4" s="102">
        <f t="shared" ref="J4" si="5">H4/G4</f>
        <v>260333.91304347827</v>
      </c>
    </row>
    <row r="5" spans="1:14" x14ac:dyDescent="0.25">
      <c r="A5" t="s">
        <v>278</v>
      </c>
      <c r="B5" s="199" t="s">
        <v>279</v>
      </c>
      <c r="C5" s="203">
        <v>1100000</v>
      </c>
      <c r="D5" s="203">
        <v>3000000</v>
      </c>
      <c r="E5" s="203">
        <v>400</v>
      </c>
      <c r="F5" s="199">
        <v>9</v>
      </c>
      <c r="G5" s="199">
        <v>14</v>
      </c>
      <c r="H5" s="203">
        <f t="shared" ref="H5:H6" si="6">C5+D5+(E5*1*16*0.6)</f>
        <v>4103840</v>
      </c>
      <c r="I5" s="203">
        <f t="shared" ref="I5:I6" si="7">H5/F5</f>
        <v>455982.22222222225</v>
      </c>
      <c r="J5" s="102">
        <f t="shared" ref="J5:J6" si="8">H5/G5</f>
        <v>293131.42857142858</v>
      </c>
    </row>
    <row r="6" spans="1:14" x14ac:dyDescent="0.25">
      <c r="A6" t="s">
        <v>280</v>
      </c>
      <c r="B6" s="199" t="s">
        <v>277</v>
      </c>
      <c r="C6" s="203">
        <v>500000</v>
      </c>
      <c r="D6" s="203">
        <v>2242000</v>
      </c>
      <c r="E6" s="203">
        <v>400</v>
      </c>
      <c r="F6" s="199">
        <f>1.5+2.5+2.5</f>
        <v>6.5</v>
      </c>
      <c r="G6" s="199">
        <f>1.5+2.5+2.5+2.5+2.5</f>
        <v>11.5</v>
      </c>
      <c r="H6" s="203">
        <f t="shared" si="6"/>
        <v>2745840</v>
      </c>
      <c r="I6" s="203">
        <f t="shared" si="7"/>
        <v>422436.92307692306</v>
      </c>
      <c r="J6" s="102">
        <f t="shared" si="8"/>
        <v>238768.69565217392</v>
      </c>
    </row>
    <row r="7" spans="1:14" x14ac:dyDescent="0.25">
      <c r="A7" t="s">
        <v>194</v>
      </c>
      <c r="B7" s="199" t="s">
        <v>281</v>
      </c>
      <c r="C7" s="203">
        <v>400000</v>
      </c>
      <c r="D7" s="203">
        <v>1650000</v>
      </c>
      <c r="E7" s="203">
        <v>5000</v>
      </c>
      <c r="F7" s="199">
        <v>4</v>
      </c>
      <c r="G7" s="199">
        <v>9</v>
      </c>
      <c r="H7" s="203">
        <f t="shared" ref="H7" si="9">C7+D7+(E7*1*16*0.6)</f>
        <v>2098000</v>
      </c>
      <c r="I7" s="203">
        <f t="shared" ref="I7" si="10">H7/F7</f>
        <v>524500</v>
      </c>
      <c r="J7" s="102">
        <f t="shared" ref="J7" si="11">H7/G7</f>
        <v>233111.11111111112</v>
      </c>
    </row>
    <row r="8" spans="1:14" x14ac:dyDescent="0.25">
      <c r="B8" s="199"/>
      <c r="C8" s="203"/>
      <c r="D8" s="203"/>
      <c r="E8" s="203"/>
      <c r="F8" s="199"/>
      <c r="G8" s="199"/>
      <c r="H8" s="203"/>
      <c r="I8" s="203"/>
      <c r="J8" s="102"/>
    </row>
    <row r="9" spans="1:14" x14ac:dyDescent="0.25">
      <c r="F9" s="199"/>
      <c r="G9" s="203"/>
      <c r="H9" s="203"/>
      <c r="I9" s="203"/>
      <c r="J9" s="199"/>
      <c r="K9" s="199"/>
      <c r="L9" s="203"/>
      <c r="M9" s="203"/>
      <c r="N9" s="102"/>
    </row>
    <row r="10" spans="1:14" x14ac:dyDescent="0.25">
      <c r="A10" s="4" t="s">
        <v>262</v>
      </c>
      <c r="F10" s="199"/>
      <c r="G10" s="203"/>
      <c r="H10" s="203"/>
      <c r="I10" s="203"/>
      <c r="J10" s="199"/>
      <c r="K10" s="199"/>
      <c r="L10" s="203"/>
      <c r="M10" s="203"/>
      <c r="N10" s="102"/>
    </row>
    <row r="11" spans="1:14" x14ac:dyDescent="0.25">
      <c r="A11" s="166" t="s">
        <v>263</v>
      </c>
      <c r="F11" s="199"/>
      <c r="G11" s="203"/>
      <c r="H11" s="203"/>
      <c r="I11" s="203"/>
      <c r="J11" s="199"/>
      <c r="K11" s="199"/>
      <c r="L11" s="203"/>
      <c r="M11" s="203"/>
      <c r="N11" s="102"/>
    </row>
    <row r="12" spans="1:14" x14ac:dyDescent="0.25">
      <c r="A12" s="166" t="s">
        <v>264</v>
      </c>
      <c r="F12" s="199"/>
      <c r="G12" s="203"/>
      <c r="H12" s="203"/>
      <c r="I12" s="203"/>
      <c r="J12" s="199"/>
      <c r="K12" s="199"/>
      <c r="L12" s="203"/>
      <c r="M12" s="203"/>
      <c r="N12" s="102"/>
    </row>
    <row r="13" spans="1:14" x14ac:dyDescent="0.25">
      <c r="A13" s="166" t="s">
        <v>265</v>
      </c>
      <c r="F13" s="199"/>
      <c r="G13" s="203"/>
      <c r="H13" s="203"/>
      <c r="I13" s="203"/>
      <c r="J13" s="199"/>
      <c r="K13" s="199"/>
      <c r="L13" s="203"/>
      <c r="M13" s="203"/>
      <c r="N13" s="102"/>
    </row>
    <row r="14" spans="1:14" x14ac:dyDescent="0.25">
      <c r="A14" s="166" t="s">
        <v>266</v>
      </c>
      <c r="F14" s="199"/>
      <c r="G14" s="203"/>
      <c r="H14" s="203"/>
      <c r="I14" s="203"/>
      <c r="J14" s="199"/>
      <c r="K14" s="199"/>
      <c r="L14" s="203"/>
      <c r="M14" s="203"/>
      <c r="N14" s="102"/>
    </row>
    <row r="15" spans="1:14" x14ac:dyDescent="0.25">
      <c r="F15" s="199"/>
      <c r="G15" s="203"/>
      <c r="H15" s="203"/>
      <c r="I15" s="203"/>
      <c r="J15" s="199"/>
      <c r="K15" s="199"/>
      <c r="L15" s="203"/>
      <c r="M15" s="203"/>
      <c r="N15" s="102"/>
    </row>
    <row r="16" spans="1:14" x14ac:dyDescent="0.25">
      <c r="A16" s="166" t="s">
        <v>267</v>
      </c>
      <c r="F16" s="199"/>
      <c r="G16" s="203"/>
      <c r="H16" s="203"/>
      <c r="I16" s="203"/>
      <c r="J16" s="199"/>
      <c r="K16" s="199"/>
      <c r="L16" s="203"/>
      <c r="M16" s="203"/>
      <c r="N16" s="102"/>
    </row>
    <row r="17" spans="1:14" x14ac:dyDescent="0.25">
      <c r="A17" s="166" t="s">
        <v>268</v>
      </c>
      <c r="F17" s="199"/>
      <c r="G17" s="203"/>
      <c r="H17" s="203"/>
      <c r="I17" s="203"/>
      <c r="J17" s="199"/>
      <c r="K17" s="199"/>
      <c r="L17" s="203"/>
      <c r="M17" s="203"/>
      <c r="N17" s="102"/>
    </row>
    <row r="18" spans="1:14" x14ac:dyDescent="0.25">
      <c r="A18" s="166" t="s">
        <v>269</v>
      </c>
      <c r="F18" s="199"/>
      <c r="G18" s="203"/>
      <c r="H18" s="203"/>
      <c r="I18" s="203"/>
      <c r="J18" s="199"/>
      <c r="K18" s="199"/>
      <c r="L18" s="203"/>
      <c r="M18" s="203"/>
      <c r="N18" s="102"/>
    </row>
    <row r="19" spans="1:14" x14ac:dyDescent="0.25">
      <c r="A19" s="166" t="s">
        <v>270</v>
      </c>
      <c r="F19" s="199"/>
      <c r="G19" s="203"/>
      <c r="H19" s="203"/>
      <c r="I19" s="203"/>
      <c r="J19" s="199"/>
      <c r="K19" s="199"/>
      <c r="L19" s="203"/>
      <c r="M19" s="203"/>
      <c r="N19" s="102"/>
    </row>
    <row r="20" spans="1:14" x14ac:dyDescent="0.25">
      <c r="A20" s="166"/>
      <c r="F20" s="199"/>
      <c r="G20" s="203"/>
      <c r="H20" s="203"/>
      <c r="I20" s="203"/>
      <c r="J20" s="199"/>
      <c r="K20" s="199"/>
      <c r="L20" s="203"/>
      <c r="M20" s="203"/>
      <c r="N20" s="102"/>
    </row>
    <row r="21" spans="1:14" x14ac:dyDescent="0.25">
      <c r="A21" s="166" t="s">
        <v>271</v>
      </c>
      <c r="F21" s="199"/>
      <c r="G21" s="203"/>
      <c r="H21" s="203"/>
      <c r="I21" s="203"/>
      <c r="J21" s="199"/>
      <c r="K21" s="199"/>
      <c r="L21" s="203"/>
      <c r="M21" s="203"/>
      <c r="N21" s="102"/>
    </row>
    <row r="22" spans="1:14" x14ac:dyDescent="0.25">
      <c r="A22" s="166" t="s">
        <v>272</v>
      </c>
      <c r="F22" s="199"/>
      <c r="G22" s="203"/>
      <c r="H22" s="203"/>
      <c r="I22" s="203"/>
      <c r="J22" s="199"/>
      <c r="K22" s="199"/>
      <c r="L22" s="203"/>
      <c r="M22" s="203"/>
      <c r="N22" s="102"/>
    </row>
    <row r="23" spans="1:14" x14ac:dyDescent="0.25">
      <c r="A23" s="166" t="s">
        <v>273</v>
      </c>
      <c r="F23" s="199"/>
      <c r="G23" s="203"/>
      <c r="H23" s="203"/>
      <c r="I23" s="203"/>
      <c r="J23" s="199"/>
      <c r="K23" s="199"/>
      <c r="L23" s="203"/>
      <c r="M23" s="203"/>
      <c r="N23" s="102"/>
    </row>
    <row r="24" spans="1:14" x14ac:dyDescent="0.25">
      <c r="F24" s="199"/>
      <c r="G24" s="203"/>
      <c r="H24" s="203"/>
      <c r="I24" s="203"/>
      <c r="J24" s="199"/>
      <c r="K24" s="199"/>
      <c r="L24" s="203"/>
      <c r="M24" s="203"/>
      <c r="N24" s="102"/>
    </row>
    <row r="25" spans="1:14" x14ac:dyDescent="0.25">
      <c r="A25" s="166" t="s">
        <v>274</v>
      </c>
      <c r="F25" s="199"/>
      <c r="G25" s="203"/>
      <c r="H25" s="203"/>
      <c r="I25" s="203"/>
      <c r="J25" s="199"/>
      <c r="K25" s="199"/>
      <c r="L25" s="203"/>
      <c r="M25" s="203"/>
      <c r="N25" s="102"/>
    </row>
    <row r="26" spans="1:14" x14ac:dyDescent="0.25">
      <c r="A26" s="166" t="s">
        <v>275</v>
      </c>
      <c r="F26" s="199"/>
      <c r="G26" s="203"/>
      <c r="H26" s="203"/>
      <c r="I26" s="203"/>
      <c r="J26" s="199"/>
      <c r="K26" s="199"/>
      <c r="L26" s="203"/>
      <c r="M26" s="203"/>
      <c r="N26" s="102"/>
    </row>
    <row r="27" spans="1:14" x14ac:dyDescent="0.25">
      <c r="F27" s="4"/>
      <c r="G27" t="s">
        <v>342</v>
      </c>
      <c r="H27" t="s">
        <v>341</v>
      </c>
    </row>
    <row r="28" spans="1:14" x14ac:dyDescent="0.25">
      <c r="F28" s="215" t="s">
        <v>284</v>
      </c>
      <c r="G28" s="210"/>
      <c r="H28" s="203"/>
      <c r="I28" s="208">
        <v>400000</v>
      </c>
      <c r="J28" s="102"/>
    </row>
    <row r="29" spans="1:14" x14ac:dyDescent="0.25">
      <c r="F29" s="216" t="s">
        <v>285</v>
      </c>
      <c r="G29" s="211"/>
      <c r="H29" s="203">
        <v>4800000</v>
      </c>
      <c r="I29" s="209"/>
      <c r="J29" s="102"/>
    </row>
    <row r="30" spans="1:14" ht="19.5" x14ac:dyDescent="0.25">
      <c r="A30" s="608" t="s">
        <v>282</v>
      </c>
      <c r="B30" s="608"/>
      <c r="C30" s="608"/>
      <c r="D30" s="608"/>
      <c r="F30" s="215" t="s">
        <v>293</v>
      </c>
      <c r="G30" s="210"/>
      <c r="H30" s="203">
        <v>4210500</v>
      </c>
      <c r="I30" s="209"/>
      <c r="J30" s="102"/>
    </row>
    <row r="31" spans="1:14" x14ac:dyDescent="0.25">
      <c r="A31" s="609" t="s">
        <v>236</v>
      </c>
      <c r="B31" s="610" t="s">
        <v>283</v>
      </c>
      <c r="C31" s="610" t="s">
        <v>284</v>
      </c>
      <c r="D31" s="610" t="s">
        <v>285</v>
      </c>
      <c r="F31" s="216" t="s">
        <v>297</v>
      </c>
      <c r="G31" s="211"/>
      <c r="H31" s="203">
        <v>3750000</v>
      </c>
      <c r="I31" s="209"/>
      <c r="J31" s="102"/>
    </row>
    <row r="32" spans="1:14" x14ac:dyDescent="0.25">
      <c r="A32" s="609"/>
      <c r="B32" s="610"/>
      <c r="C32" s="610"/>
      <c r="D32" s="610"/>
      <c r="F32" s="215" t="s">
        <v>301</v>
      </c>
      <c r="G32" s="210"/>
      <c r="H32" s="203">
        <v>3356600</v>
      </c>
      <c r="I32" s="209"/>
      <c r="J32" s="102"/>
    </row>
    <row r="33" spans="1:10" x14ac:dyDescent="0.25">
      <c r="A33" s="204" t="s">
        <v>283</v>
      </c>
      <c r="B33" s="205" t="s">
        <v>286</v>
      </c>
      <c r="C33" s="205" t="s">
        <v>287</v>
      </c>
      <c r="D33" s="205" t="s">
        <v>287</v>
      </c>
      <c r="F33" s="216" t="s">
        <v>305</v>
      </c>
      <c r="G33" s="212">
        <f>I35-H33</f>
        <v>-62800</v>
      </c>
      <c r="H33" s="203">
        <v>3057300</v>
      </c>
      <c r="I33" s="209">
        <f>H33+G33</f>
        <v>2994500</v>
      </c>
      <c r="J33" s="102"/>
    </row>
    <row r="34" spans="1:10" x14ac:dyDescent="0.25">
      <c r="A34" s="206" t="s">
        <v>284</v>
      </c>
      <c r="B34" s="207" t="s">
        <v>288</v>
      </c>
      <c r="C34" s="207" t="s">
        <v>289</v>
      </c>
      <c r="D34" s="207" t="s">
        <v>287</v>
      </c>
      <c r="F34" s="215" t="s">
        <v>309</v>
      </c>
      <c r="G34" s="214">
        <f>I35-H34</f>
        <v>187500</v>
      </c>
      <c r="H34" s="203">
        <v>2807000</v>
      </c>
      <c r="I34" s="209">
        <f>H34+G34</f>
        <v>2994500</v>
      </c>
      <c r="J34" s="102"/>
    </row>
    <row r="35" spans="1:10" x14ac:dyDescent="0.25">
      <c r="A35" s="204" t="s">
        <v>285</v>
      </c>
      <c r="B35" s="205" t="s">
        <v>290</v>
      </c>
      <c r="C35" s="205" t="s">
        <v>291</v>
      </c>
      <c r="D35" s="205" t="s">
        <v>292</v>
      </c>
      <c r="F35" s="216" t="s">
        <v>313</v>
      </c>
      <c r="G35" s="213">
        <v>400000</v>
      </c>
      <c r="H35" s="203">
        <v>2594500</v>
      </c>
      <c r="I35" s="209">
        <f>H35+G35</f>
        <v>2994500</v>
      </c>
      <c r="J35" s="102"/>
    </row>
    <row r="36" spans="1:10" x14ac:dyDescent="0.25">
      <c r="A36" s="206" t="s">
        <v>293</v>
      </c>
      <c r="B36" s="207" t="s">
        <v>294</v>
      </c>
      <c r="C36" s="207" t="s">
        <v>295</v>
      </c>
      <c r="D36" s="207" t="s">
        <v>296</v>
      </c>
      <c r="F36" s="215" t="s">
        <v>317</v>
      </c>
      <c r="G36" s="213">
        <v>594500</v>
      </c>
      <c r="H36" s="203">
        <v>2400000</v>
      </c>
      <c r="I36" s="209">
        <f t="shared" ref="I36:I38" si="12">H36+G36</f>
        <v>2994500</v>
      </c>
      <c r="J36" s="102"/>
    </row>
    <row r="37" spans="1:10" x14ac:dyDescent="0.25">
      <c r="A37" s="204" t="s">
        <v>297</v>
      </c>
      <c r="B37" s="205" t="s">
        <v>298</v>
      </c>
      <c r="C37" s="205" t="s">
        <v>299</v>
      </c>
      <c r="D37" s="205" t="s">
        <v>300</v>
      </c>
      <c r="F37" s="216" t="s">
        <v>321</v>
      </c>
      <c r="G37" s="213">
        <v>752210</v>
      </c>
      <c r="H37" s="203">
        <v>2242290</v>
      </c>
      <c r="I37" s="209">
        <f t="shared" si="12"/>
        <v>2994500</v>
      </c>
      <c r="J37" s="102"/>
    </row>
    <row r="38" spans="1:10" x14ac:dyDescent="0.25">
      <c r="A38" s="206" t="s">
        <v>301</v>
      </c>
      <c r="B38" s="207" t="s">
        <v>302</v>
      </c>
      <c r="C38" s="207" t="s">
        <v>303</v>
      </c>
      <c r="D38" s="207" t="s">
        <v>304</v>
      </c>
      <c r="F38" s="215" t="s">
        <v>325</v>
      </c>
      <c r="G38" s="213">
        <v>889300</v>
      </c>
      <c r="H38" s="203">
        <v>2105200</v>
      </c>
      <c r="I38" s="209">
        <f t="shared" si="12"/>
        <v>2994500</v>
      </c>
      <c r="J38" s="102"/>
    </row>
    <row r="39" spans="1:10" x14ac:dyDescent="0.25">
      <c r="A39" s="204" t="s">
        <v>305</v>
      </c>
      <c r="B39" s="205" t="s">
        <v>306</v>
      </c>
      <c r="C39" s="205" t="s">
        <v>307</v>
      </c>
      <c r="D39" s="205" t="s">
        <v>308</v>
      </c>
    </row>
    <row r="40" spans="1:10" x14ac:dyDescent="0.25">
      <c r="A40" s="206" t="s">
        <v>309</v>
      </c>
      <c r="B40" s="207" t="s">
        <v>310</v>
      </c>
      <c r="C40" s="207" t="s">
        <v>311</v>
      </c>
      <c r="D40" s="207" t="s">
        <v>312</v>
      </c>
    </row>
    <row r="41" spans="1:10" x14ac:dyDescent="0.25">
      <c r="A41" s="204" t="s">
        <v>313</v>
      </c>
      <c r="B41" s="205" t="s">
        <v>314</v>
      </c>
      <c r="C41" s="205" t="s">
        <v>315</v>
      </c>
      <c r="D41" s="205" t="s">
        <v>316</v>
      </c>
    </row>
    <row r="42" spans="1:10" x14ac:dyDescent="0.25">
      <c r="A42" s="206" t="s">
        <v>317</v>
      </c>
      <c r="B42" s="207" t="s">
        <v>318</v>
      </c>
      <c r="C42" s="207" t="s">
        <v>319</v>
      </c>
      <c r="D42" s="207" t="s">
        <v>320</v>
      </c>
    </row>
    <row r="43" spans="1:10" x14ac:dyDescent="0.25">
      <c r="A43" s="204" t="s">
        <v>321</v>
      </c>
      <c r="B43" s="205" t="s">
        <v>322</v>
      </c>
      <c r="C43" s="205" t="s">
        <v>323</v>
      </c>
      <c r="D43" s="205" t="s">
        <v>324</v>
      </c>
    </row>
    <row r="44" spans="1:10" x14ac:dyDescent="0.25">
      <c r="A44" s="206" t="s">
        <v>325</v>
      </c>
      <c r="B44" s="207" t="s">
        <v>326</v>
      </c>
      <c r="C44" s="207" t="s">
        <v>327</v>
      </c>
      <c r="D44" s="207" t="s">
        <v>328</v>
      </c>
    </row>
    <row r="45" spans="1:10" x14ac:dyDescent="0.25">
      <c r="A45" s="204" t="s">
        <v>329</v>
      </c>
      <c r="B45" s="205" t="s">
        <v>330</v>
      </c>
      <c r="C45" s="205" t="s">
        <v>331</v>
      </c>
      <c r="D45" s="205" t="s">
        <v>332</v>
      </c>
    </row>
    <row r="46" spans="1:10" x14ac:dyDescent="0.25">
      <c r="A46" s="206" t="s">
        <v>333</v>
      </c>
      <c r="B46" s="207" t="s">
        <v>334</v>
      </c>
      <c r="C46" s="207" t="s">
        <v>335</v>
      </c>
      <c r="D46" s="207" t="s">
        <v>336</v>
      </c>
    </row>
    <row r="47" spans="1:10" x14ac:dyDescent="0.25">
      <c r="A47" s="204" t="s">
        <v>337</v>
      </c>
      <c r="B47" s="205" t="s">
        <v>338</v>
      </c>
      <c r="C47" s="205" t="s">
        <v>339</v>
      </c>
      <c r="D47" s="205" t="s">
        <v>340</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51" bestFit="1" customWidth="1"/>
    <col min="5" max="5" width="7" bestFit="1" customWidth="1"/>
    <col min="6" max="6" width="18.42578125" bestFit="1" customWidth="1"/>
    <col min="7" max="7" width="8.7109375" bestFit="1" customWidth="1"/>
  </cols>
  <sheetData>
    <row r="1" spans="1:7" s="4" customFormat="1" x14ac:dyDescent="0.25">
      <c r="A1" s="48" t="s">
        <v>360</v>
      </c>
      <c r="B1" s="48" t="s">
        <v>366</v>
      </c>
      <c r="C1" s="48" t="s">
        <v>361</v>
      </c>
      <c r="D1" s="250" t="s">
        <v>362</v>
      </c>
      <c r="E1" s="48" t="s">
        <v>363</v>
      </c>
      <c r="F1" s="48" t="s">
        <v>365</v>
      </c>
      <c r="G1" s="48" t="s">
        <v>364</v>
      </c>
    </row>
    <row r="2" spans="1:7" x14ac:dyDescent="0.25">
      <c r="A2" s="150">
        <v>0.4</v>
      </c>
      <c r="B2" s="149">
        <v>0</v>
      </c>
      <c r="C2" s="150">
        <f>B2*0.025</f>
        <v>0</v>
      </c>
      <c r="D2" s="251">
        <v>-0.375</v>
      </c>
      <c r="E2" s="150">
        <f>A2+C2+D2</f>
        <v>2.5000000000000022E-2</v>
      </c>
      <c r="F2" s="149">
        <v>32</v>
      </c>
      <c r="G2" s="249">
        <f>F2*E2</f>
        <v>0.80000000000000071</v>
      </c>
    </row>
    <row r="3" spans="1:7" x14ac:dyDescent="0.25">
      <c r="A3" s="150">
        <v>0.4</v>
      </c>
      <c r="B3" s="149">
        <v>1</v>
      </c>
      <c r="C3" s="150">
        <f t="shared" ref="C3:C17" si="0">B3*0.025</f>
        <v>2.5000000000000001E-2</v>
      </c>
      <c r="D3" s="251">
        <f>D2</f>
        <v>-0.375</v>
      </c>
      <c r="E3" s="150">
        <f t="shared" ref="E3:E17" si="1">A3+C3+D3</f>
        <v>5.0000000000000044E-2</v>
      </c>
      <c r="F3" s="149">
        <v>32</v>
      </c>
      <c r="G3" s="249">
        <f t="shared" ref="G3:G17" si="2">F3*E3</f>
        <v>1.6000000000000014</v>
      </c>
    </row>
    <row r="4" spans="1:7" x14ac:dyDescent="0.25">
      <c r="A4" s="150">
        <v>0.4</v>
      </c>
      <c r="B4" s="149">
        <v>2</v>
      </c>
      <c r="C4" s="150">
        <f t="shared" si="0"/>
        <v>0.05</v>
      </c>
      <c r="D4" s="251">
        <f t="shared" ref="D4:D17" si="3">D3</f>
        <v>-0.375</v>
      </c>
      <c r="E4" s="150">
        <f t="shared" si="1"/>
        <v>7.5000000000000011E-2</v>
      </c>
      <c r="F4" s="149">
        <v>32</v>
      </c>
      <c r="G4" s="249">
        <f t="shared" si="2"/>
        <v>2.4000000000000004</v>
      </c>
    </row>
    <row r="5" spans="1:7" x14ac:dyDescent="0.25">
      <c r="A5" s="150">
        <v>0.4</v>
      </c>
      <c r="B5" s="149">
        <v>3</v>
      </c>
      <c r="C5" s="150">
        <f t="shared" si="0"/>
        <v>7.5000000000000011E-2</v>
      </c>
      <c r="D5" s="251">
        <f t="shared" si="3"/>
        <v>-0.375</v>
      </c>
      <c r="E5" s="150">
        <f t="shared" si="1"/>
        <v>0.10000000000000003</v>
      </c>
      <c r="F5" s="149">
        <v>32</v>
      </c>
      <c r="G5" s="249">
        <f t="shared" si="2"/>
        <v>3.2000000000000011</v>
      </c>
    </row>
    <row r="6" spans="1:7" x14ac:dyDescent="0.25">
      <c r="A6" s="150">
        <v>0.4</v>
      </c>
      <c r="B6" s="149">
        <v>4</v>
      </c>
      <c r="C6" s="150">
        <f t="shared" si="0"/>
        <v>0.1</v>
      </c>
      <c r="D6" s="251">
        <f t="shared" si="3"/>
        <v>-0.375</v>
      </c>
      <c r="E6" s="150">
        <f t="shared" si="1"/>
        <v>0.125</v>
      </c>
      <c r="F6" s="149">
        <v>32</v>
      </c>
      <c r="G6" s="249">
        <f t="shared" si="2"/>
        <v>4</v>
      </c>
    </row>
    <row r="7" spans="1:7" x14ac:dyDescent="0.25">
      <c r="A7" s="150">
        <v>0.4</v>
      </c>
      <c r="B7" s="149">
        <v>5</v>
      </c>
      <c r="C7" s="150">
        <f t="shared" si="0"/>
        <v>0.125</v>
      </c>
      <c r="D7" s="251">
        <f t="shared" si="3"/>
        <v>-0.375</v>
      </c>
      <c r="E7" s="150">
        <f t="shared" si="1"/>
        <v>0.15000000000000002</v>
      </c>
      <c r="F7" s="149">
        <v>32</v>
      </c>
      <c r="G7" s="249">
        <f t="shared" si="2"/>
        <v>4.8000000000000007</v>
      </c>
    </row>
    <row r="8" spans="1:7" x14ac:dyDescent="0.25">
      <c r="A8" s="150">
        <v>0.4</v>
      </c>
      <c r="B8" s="149">
        <v>6</v>
      </c>
      <c r="C8" s="150">
        <f t="shared" si="0"/>
        <v>0.15000000000000002</v>
      </c>
      <c r="D8" s="251">
        <f t="shared" si="3"/>
        <v>-0.375</v>
      </c>
      <c r="E8" s="150">
        <f t="shared" si="1"/>
        <v>0.17500000000000004</v>
      </c>
      <c r="F8" s="149">
        <v>32</v>
      </c>
      <c r="G8" s="249">
        <f t="shared" si="2"/>
        <v>5.6000000000000014</v>
      </c>
    </row>
    <row r="9" spans="1:7" x14ac:dyDescent="0.25">
      <c r="A9" s="150">
        <v>0.4</v>
      </c>
      <c r="B9" s="149">
        <v>7</v>
      </c>
      <c r="C9" s="150">
        <f t="shared" si="0"/>
        <v>0.17500000000000002</v>
      </c>
      <c r="D9" s="251">
        <f t="shared" si="3"/>
        <v>-0.375</v>
      </c>
      <c r="E9" s="150">
        <f t="shared" si="1"/>
        <v>0.20000000000000007</v>
      </c>
      <c r="F9" s="149">
        <v>32</v>
      </c>
      <c r="G9" s="249">
        <f t="shared" si="2"/>
        <v>6.4000000000000021</v>
      </c>
    </row>
    <row r="10" spans="1:7" x14ac:dyDescent="0.25">
      <c r="A10" s="150">
        <v>0.4</v>
      </c>
      <c r="B10" s="149">
        <v>8</v>
      </c>
      <c r="C10" s="150">
        <f t="shared" si="0"/>
        <v>0.2</v>
      </c>
      <c r="D10" s="251">
        <f t="shared" si="3"/>
        <v>-0.375</v>
      </c>
      <c r="E10" s="150">
        <f t="shared" si="1"/>
        <v>0.22500000000000009</v>
      </c>
      <c r="F10" s="149">
        <v>32</v>
      </c>
      <c r="G10" s="249">
        <f t="shared" si="2"/>
        <v>7.2000000000000028</v>
      </c>
    </row>
    <row r="11" spans="1:7" x14ac:dyDescent="0.25">
      <c r="A11" s="150">
        <v>0.4</v>
      </c>
      <c r="B11" s="149">
        <v>9</v>
      </c>
      <c r="C11" s="150">
        <f t="shared" si="0"/>
        <v>0.22500000000000001</v>
      </c>
      <c r="D11" s="251">
        <f t="shared" si="3"/>
        <v>-0.375</v>
      </c>
      <c r="E11" s="150">
        <f t="shared" si="1"/>
        <v>0.25</v>
      </c>
      <c r="F11" s="149">
        <v>32</v>
      </c>
      <c r="G11" s="249">
        <f t="shared" si="2"/>
        <v>8</v>
      </c>
    </row>
    <row r="12" spans="1:7" x14ac:dyDescent="0.25">
      <c r="A12" s="150">
        <v>0.4</v>
      </c>
      <c r="B12" s="149">
        <v>10</v>
      </c>
      <c r="C12" s="150">
        <f t="shared" si="0"/>
        <v>0.25</v>
      </c>
      <c r="D12" s="251">
        <f t="shared" si="3"/>
        <v>-0.375</v>
      </c>
      <c r="E12" s="150">
        <f t="shared" si="1"/>
        <v>0.27500000000000002</v>
      </c>
      <c r="F12" s="149">
        <v>32</v>
      </c>
      <c r="G12" s="249">
        <f t="shared" si="2"/>
        <v>8.8000000000000007</v>
      </c>
    </row>
    <row r="13" spans="1:7" x14ac:dyDescent="0.25">
      <c r="A13" s="150">
        <v>0.4</v>
      </c>
      <c r="B13" s="149">
        <v>11</v>
      </c>
      <c r="C13" s="150">
        <f t="shared" si="0"/>
        <v>0.27500000000000002</v>
      </c>
      <c r="D13" s="251">
        <f t="shared" si="3"/>
        <v>-0.375</v>
      </c>
      <c r="E13" s="150">
        <f t="shared" si="1"/>
        <v>0.30000000000000004</v>
      </c>
      <c r="F13" s="149">
        <v>32</v>
      </c>
      <c r="G13" s="249">
        <f t="shared" si="2"/>
        <v>9.6000000000000014</v>
      </c>
    </row>
    <row r="14" spans="1:7" x14ac:dyDescent="0.25">
      <c r="A14" s="150">
        <v>0.4</v>
      </c>
      <c r="B14" s="149">
        <v>12</v>
      </c>
      <c r="C14" s="150">
        <f t="shared" si="0"/>
        <v>0.30000000000000004</v>
      </c>
      <c r="D14" s="251">
        <f t="shared" si="3"/>
        <v>-0.375</v>
      </c>
      <c r="E14" s="150">
        <f t="shared" si="1"/>
        <v>0.32500000000000007</v>
      </c>
      <c r="F14" s="149">
        <v>32</v>
      </c>
      <c r="G14" s="249">
        <f t="shared" si="2"/>
        <v>10.400000000000002</v>
      </c>
    </row>
    <row r="15" spans="1:7" x14ac:dyDescent="0.25">
      <c r="A15" s="150">
        <v>0.4</v>
      </c>
      <c r="B15" s="149">
        <v>13</v>
      </c>
      <c r="C15" s="150">
        <f t="shared" si="0"/>
        <v>0.32500000000000001</v>
      </c>
      <c r="D15" s="251">
        <f t="shared" si="3"/>
        <v>-0.375</v>
      </c>
      <c r="E15" s="150">
        <f t="shared" si="1"/>
        <v>0.35000000000000009</v>
      </c>
      <c r="F15" s="149">
        <v>32</v>
      </c>
      <c r="G15" s="249">
        <f t="shared" si="2"/>
        <v>11.200000000000003</v>
      </c>
    </row>
    <row r="16" spans="1:7" x14ac:dyDescent="0.25">
      <c r="A16" s="150">
        <v>0.4</v>
      </c>
      <c r="B16" s="149">
        <v>14</v>
      </c>
      <c r="C16" s="150">
        <f t="shared" si="0"/>
        <v>0.35000000000000003</v>
      </c>
      <c r="D16" s="251">
        <f t="shared" si="3"/>
        <v>-0.375</v>
      </c>
      <c r="E16" s="150">
        <f t="shared" si="1"/>
        <v>0.375</v>
      </c>
      <c r="F16" s="149">
        <v>32</v>
      </c>
      <c r="G16" s="249">
        <f t="shared" si="2"/>
        <v>12</v>
      </c>
    </row>
    <row r="17" spans="1:7" x14ac:dyDescent="0.25">
      <c r="A17" s="150">
        <v>0.4</v>
      </c>
      <c r="B17" s="149">
        <v>15</v>
      </c>
      <c r="C17" s="150">
        <f t="shared" si="0"/>
        <v>0.375</v>
      </c>
      <c r="D17" s="251">
        <f t="shared" si="3"/>
        <v>-0.375</v>
      </c>
      <c r="E17" s="150">
        <f t="shared" si="1"/>
        <v>0.4</v>
      </c>
      <c r="F17" s="149">
        <v>32</v>
      </c>
      <c r="G17" s="249">
        <f t="shared" si="2"/>
        <v>12.8</v>
      </c>
    </row>
    <row r="18" spans="1:7" x14ac:dyDescent="0.25">
      <c r="A18" s="47"/>
      <c r="B18" s="24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8"/>
  <sheetViews>
    <sheetView workbookViewId="0">
      <selection activeCell="G28" sqref="G2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485" t="str">
        <f>PLANTILLA!D3</f>
        <v>Jugador</v>
      </c>
      <c r="B1" s="485" t="s">
        <v>551</v>
      </c>
      <c r="C1" s="485" t="str">
        <f>PLANTILLA!AC3</f>
        <v>An</v>
      </c>
      <c r="D1" s="485" t="str">
        <f>PLANTILLA!AD3</f>
        <v>PA</v>
      </c>
      <c r="E1" s="485" t="str">
        <f>PLANTILLA!AI3</f>
        <v>TL</v>
      </c>
      <c r="F1" s="485" t="str">
        <f>PLANTILLA!AJ3</f>
        <v>PEN</v>
      </c>
      <c r="G1" s="485" t="str">
        <f>PLANTILLA!AK3</f>
        <v>BPiA</v>
      </c>
      <c r="H1" s="485" t="str">
        <f>PLANTILLA!AL3</f>
        <v>BPiD</v>
      </c>
    </row>
    <row r="2" spans="1:15" x14ac:dyDescent="0.25">
      <c r="A2" t="str">
        <f>PLANTILLA!D4</f>
        <v>D. Gehmacher</v>
      </c>
      <c r="B2" s="148">
        <f>PLANTILLA!J4</f>
        <v>1.8569292710128877</v>
      </c>
      <c r="C2" s="233">
        <f>PLANTILLA!AC4</f>
        <v>0</v>
      </c>
      <c r="D2" s="233">
        <f>PLANTILLA!AD4</f>
        <v>18.2</v>
      </c>
      <c r="E2" s="148">
        <f ca="1">PLANTILLA!AI4</f>
        <v>7.3729682566652341</v>
      </c>
      <c r="F2" s="148">
        <f ca="1">PLANTILLA!AJ4</f>
        <v>13.18181113409628</v>
      </c>
      <c r="G2" s="148">
        <f ca="1">PLANTILLA!AK4</f>
        <v>0.77455434168103099</v>
      </c>
      <c r="H2" s="148">
        <f ca="1">PLANTILLA!AL4</f>
        <v>1.2239850489709021</v>
      </c>
      <c r="K2" t="str">
        <f>A4</f>
        <v>E. Toney</v>
      </c>
      <c r="L2" s="345">
        <f>B2</f>
        <v>1.8569292710128877</v>
      </c>
      <c r="M2" s="345">
        <f t="shared" ref="M2:N2" si="0">C2</f>
        <v>0</v>
      </c>
      <c r="N2" s="345">
        <f t="shared" si="0"/>
        <v>18.2</v>
      </c>
      <c r="O2" s="345"/>
    </row>
    <row r="3" spans="1:15" x14ac:dyDescent="0.25">
      <c r="A3" t="str">
        <f>PLANTILLA!D5</f>
        <v>T. Hammond</v>
      </c>
      <c r="B3" s="148">
        <f>PLANTILLA!J5</f>
        <v>1.2975038047995981</v>
      </c>
      <c r="C3" s="233">
        <f>PLANTILLA!AC5</f>
        <v>0</v>
      </c>
      <c r="D3" s="233">
        <f>PLANTILLA!AD5</f>
        <v>14.95</v>
      </c>
      <c r="E3" s="148">
        <f>PLANTILLA!AI5</f>
        <v>5.1440839357414436</v>
      </c>
      <c r="F3" s="148">
        <f>PLANTILLA!AJ5</f>
        <v>10.025510522727901</v>
      </c>
      <c r="G3" s="148">
        <f>PLANTILLA!AK5</f>
        <v>0.67230030438396782</v>
      </c>
      <c r="H3" s="148">
        <f>PLANTILLA!AL5</f>
        <v>0.96232526633597182</v>
      </c>
      <c r="K3" t="str">
        <f>A5</f>
        <v>B. Bartolache</v>
      </c>
      <c r="L3" s="345">
        <f t="shared" ref="L3:L11" si="1">B3</f>
        <v>1.2975038047995981</v>
      </c>
      <c r="M3" s="345">
        <f t="shared" ref="M3:M11" si="2">C3</f>
        <v>0</v>
      </c>
      <c r="N3" s="345">
        <f t="shared" ref="N3:N11" si="3">D3</f>
        <v>14.95</v>
      </c>
      <c r="O3" s="345"/>
    </row>
    <row r="4" spans="1:15" x14ac:dyDescent="0.25">
      <c r="A4" t="str">
        <f>PLANTILLA!D6</f>
        <v>E. Toney</v>
      </c>
      <c r="B4" s="148">
        <f>PLANTILLA!J6</f>
        <v>1.7050048012704384</v>
      </c>
      <c r="C4" s="233">
        <f>PLANTILLA!AC6</f>
        <v>1.95</v>
      </c>
      <c r="D4" s="233">
        <f>PLANTILLA!AD6</f>
        <v>17.177777777777774</v>
      </c>
      <c r="E4" s="148">
        <f>PLANTILLA!AI6</f>
        <v>10.283700384961968</v>
      </c>
      <c r="F4" s="148">
        <f>PLANTILLA!AJ6</f>
        <v>13.365649066204108</v>
      </c>
      <c r="G4" s="148">
        <f>PLANTILLA!AK6</f>
        <v>0.86923371743496813</v>
      </c>
      <c r="H4" s="148">
        <f>PLANTILLA!AL6</f>
        <v>1.2176836694222639</v>
      </c>
      <c r="K4" t="str">
        <f>A6</f>
        <v>F. Lasprilla</v>
      </c>
      <c r="L4" s="345">
        <f t="shared" si="1"/>
        <v>1.7050048012704384</v>
      </c>
      <c r="M4" s="345">
        <f t="shared" si="2"/>
        <v>1.95</v>
      </c>
      <c r="N4" s="345">
        <f t="shared" si="3"/>
        <v>17.177777777777774</v>
      </c>
      <c r="O4" s="345"/>
    </row>
    <row r="5" spans="1:15" x14ac:dyDescent="0.25">
      <c r="A5" t="str">
        <f>PLANTILLA!D7</f>
        <v>B. Bartolache</v>
      </c>
      <c r="B5" s="148">
        <f>PLANTILLA!J7</f>
        <v>1.4762799595304912</v>
      </c>
      <c r="C5" s="233">
        <f>PLANTILLA!AC7</f>
        <v>2.95</v>
      </c>
      <c r="D5" s="233">
        <f>PLANTILLA!AD7</f>
        <v>16</v>
      </c>
      <c r="E5" s="148">
        <f>PLANTILLA!AI7</f>
        <v>11.734379726387926</v>
      </c>
      <c r="F5" s="148">
        <f>PLANTILLA!AJ7</f>
        <v>13.944035714834849</v>
      </c>
      <c r="G5" s="148">
        <f>PLANTILLA!AK7</f>
        <v>0.86560239676243922</v>
      </c>
      <c r="H5" s="148">
        <f>PLANTILLA!AL7</f>
        <v>1.1663395971671342</v>
      </c>
      <c r="K5" t="str">
        <f>A14</f>
        <v>G. Piscaer</v>
      </c>
      <c r="L5" s="345">
        <f t="shared" si="1"/>
        <v>1.4762799595304912</v>
      </c>
      <c r="M5" s="345">
        <f t="shared" si="2"/>
        <v>2.95</v>
      </c>
      <c r="N5" s="345">
        <f t="shared" si="3"/>
        <v>16</v>
      </c>
      <c r="O5" s="345"/>
    </row>
    <row r="6" spans="1:15" x14ac:dyDescent="0.25">
      <c r="A6" t="str">
        <f>PLANTILLA!D8</f>
        <v>F. Lasprilla</v>
      </c>
      <c r="B6" s="148">
        <f>PLANTILLA!J8</f>
        <v>1.1510971468272746</v>
      </c>
      <c r="C6" s="233">
        <f>PLANTILLA!AC8</f>
        <v>2.95</v>
      </c>
      <c r="D6" s="233">
        <f>PLANTILLA!AD8</f>
        <v>13.33611111111111</v>
      </c>
      <c r="E6" s="148">
        <f>PLANTILLA!AI8</f>
        <v>8.8663322590478515</v>
      </c>
      <c r="F6" s="148">
        <f>PLANTILLA!AJ8</f>
        <v>10.878297281735897</v>
      </c>
      <c r="G6" s="148">
        <f>PLANTILLA!AK8</f>
        <v>0.7596711050795153</v>
      </c>
      <c r="H6" s="148">
        <f>PLANTILLA!AL8</f>
        <v>0.96984680027790904</v>
      </c>
      <c r="K6" t="str">
        <f>A18</f>
        <v>K. Nelson</v>
      </c>
      <c r="L6" s="345">
        <f t="shared" si="1"/>
        <v>1.1510971468272746</v>
      </c>
      <c r="M6" s="345">
        <f t="shared" si="2"/>
        <v>2.95</v>
      </c>
      <c r="N6" s="345">
        <f t="shared" si="3"/>
        <v>13.33611111111111</v>
      </c>
      <c r="O6" s="345"/>
    </row>
    <row r="7" spans="1:15" x14ac:dyDescent="0.25">
      <c r="A7" t="str">
        <f>PLANTILLA!D9</f>
        <v>E. Romweber</v>
      </c>
      <c r="B7" s="148">
        <f>PLANTILLA!J9</f>
        <v>1.6769047664922461</v>
      </c>
      <c r="C7" s="233">
        <f>PLANTILLA!AC9</f>
        <v>5.95</v>
      </c>
      <c r="D7" s="233">
        <f>PLANTILLA!AD9</f>
        <v>17.529999999999998</v>
      </c>
      <c r="E7" s="148">
        <f>PLANTILLA!AI9</f>
        <v>18.939459533947861</v>
      </c>
      <c r="F7" s="148">
        <f>PLANTILLA!AJ9</f>
        <v>17.232904766492243</v>
      </c>
      <c r="G7" s="148">
        <f>PLANTILLA!AK9</f>
        <v>1.0775523813193797</v>
      </c>
      <c r="H7" s="148">
        <f>PLANTILLA!AL9</f>
        <v>1.226283333654457</v>
      </c>
      <c r="K7" t="str">
        <f>A13</f>
        <v>I. Stone</v>
      </c>
      <c r="L7" s="345">
        <f t="shared" si="1"/>
        <v>1.6769047664922461</v>
      </c>
      <c r="M7" s="345">
        <f t="shared" si="2"/>
        <v>5.95</v>
      </c>
      <c r="N7" s="345">
        <f t="shared" si="3"/>
        <v>17.529999999999998</v>
      </c>
      <c r="O7" s="345"/>
    </row>
    <row r="8" spans="1:15" x14ac:dyDescent="0.25">
      <c r="A8" t="str">
        <f>PLANTILLA!D10</f>
        <v>S. Buschelman</v>
      </c>
      <c r="B8" s="148">
        <f>PLANTILLA!J10</f>
        <v>1.5982094492725636</v>
      </c>
      <c r="C8" s="233">
        <f>PLANTILLA!AC10</f>
        <v>3.95</v>
      </c>
      <c r="D8" s="233">
        <f>PLANTILLA!AD10</f>
        <v>16</v>
      </c>
      <c r="E8" s="148">
        <f>PLANTILLA!AI10</f>
        <v>14.604042882892367</v>
      </c>
      <c r="F8" s="148">
        <f>PLANTILLA!AJ10</f>
        <v>15.483209449272563</v>
      </c>
      <c r="G8" s="148">
        <f>PLANTILLA!AK10</f>
        <v>0.92535675594180522</v>
      </c>
      <c r="H8" s="148">
        <f>PLANTILLA!AL10</f>
        <v>1.0690213281157459</v>
      </c>
      <c r="K8" t="str">
        <f>A14</f>
        <v>G. Piscaer</v>
      </c>
      <c r="L8" s="345">
        <f t="shared" si="1"/>
        <v>1.5982094492725636</v>
      </c>
      <c r="M8" s="345">
        <f t="shared" si="2"/>
        <v>3.95</v>
      </c>
      <c r="N8" s="345">
        <f t="shared" si="3"/>
        <v>16</v>
      </c>
      <c r="O8" s="345"/>
    </row>
    <row r="9" spans="1:15" x14ac:dyDescent="0.25">
      <c r="A9" t="str">
        <f>PLANTILLA!D11</f>
        <v>C. Rojas</v>
      </c>
      <c r="B9" s="148">
        <f>PLANTILLA!J11</f>
        <v>1.5833609611152841</v>
      </c>
      <c r="C9" s="233">
        <f>PLANTILLA!AC11</f>
        <v>1.95</v>
      </c>
      <c r="D9" s="233">
        <f>PLANTILLA!AD11</f>
        <v>16.95</v>
      </c>
      <c r="E9" s="148">
        <f>PLANTILLA!AI11</f>
        <v>10.900353776188508</v>
      </c>
      <c r="F9" s="148">
        <f>PLANTILLA!AJ11</f>
        <v>14.381097794822807</v>
      </c>
      <c r="G9" s="148">
        <f>PLANTILLA!AK11</f>
        <v>0.85266887688922277</v>
      </c>
      <c r="H9" s="148">
        <f>PLANTILLA!AL11</f>
        <v>1.0423352672780699</v>
      </c>
      <c r="K9" t="str">
        <f>A9</f>
        <v>C. Rojas</v>
      </c>
      <c r="L9" s="345">
        <f t="shared" si="1"/>
        <v>1.5833609611152841</v>
      </c>
      <c r="M9" s="345">
        <f t="shared" si="2"/>
        <v>1.95</v>
      </c>
      <c r="N9" s="345">
        <f t="shared" si="3"/>
        <v>16.95</v>
      </c>
      <c r="O9" s="345"/>
    </row>
    <row r="10" spans="1:15" x14ac:dyDescent="0.25">
      <c r="A10" t="str">
        <f>PLANTILLA!D12</f>
        <v>E. Gross</v>
      </c>
      <c r="B10" s="148">
        <f>PLANTILLA!J12</f>
        <v>1.5322921502071731</v>
      </c>
      <c r="C10" s="233">
        <f>PLANTILLA!AC12</f>
        <v>0.95</v>
      </c>
      <c r="D10" s="233">
        <f>PLANTILLA!AD12</f>
        <v>17.3</v>
      </c>
      <c r="E10" s="148">
        <f>PLANTILLA!AI12</f>
        <v>9.4372228049137181</v>
      </c>
      <c r="F10" s="148">
        <f>PLANTILLA!AJ12</f>
        <v>14.282897157725104</v>
      </c>
      <c r="G10" s="148">
        <f>PLANTILLA!AK12</f>
        <v>0.80908337201657388</v>
      </c>
      <c r="H10" s="148">
        <f>PLANTILLA!AL12</f>
        <v>1.1532604505145021</v>
      </c>
      <c r="K10" t="str">
        <f>A11</f>
        <v>W. Gelifini</v>
      </c>
      <c r="L10" s="345">
        <f t="shared" si="1"/>
        <v>1.5322921502071731</v>
      </c>
      <c r="M10" s="345">
        <f t="shared" si="2"/>
        <v>0.95</v>
      </c>
      <c r="N10" s="345">
        <f t="shared" si="3"/>
        <v>17.3</v>
      </c>
      <c r="O10" s="345"/>
    </row>
    <row r="11" spans="1:15" x14ac:dyDescent="0.25">
      <c r="A11" t="str">
        <f>PLANTILLA!D13</f>
        <v>W. Gelifini</v>
      </c>
      <c r="B11" s="148">
        <f>PLANTILLA!J13</f>
        <v>0.98715025265899181</v>
      </c>
      <c r="C11" s="233">
        <f>PLANTILLA!AC13</f>
        <v>2.95</v>
      </c>
      <c r="D11" s="233">
        <f>PLANTILLA!AD13</f>
        <v>12.847222222222223</v>
      </c>
      <c r="E11" s="148">
        <f>PLANTILLA!AI13</f>
        <v>7.4531375941235565</v>
      </c>
      <c r="F11" s="148">
        <f>PLANTILLA!AJ13</f>
        <v>9.3472169939048939</v>
      </c>
      <c r="G11" s="148">
        <f>PLANTILLA!AK13</f>
        <v>0.73188868687938613</v>
      </c>
      <c r="H11" s="148">
        <f>PLANTILLA!AL13</f>
        <v>0.78557940657501812</v>
      </c>
      <c r="K11" t="str">
        <f>A12</f>
        <v>I. Vanags</v>
      </c>
      <c r="L11" s="345">
        <f t="shared" si="1"/>
        <v>0.98715025265899181</v>
      </c>
      <c r="M11" s="345">
        <f t="shared" si="2"/>
        <v>2.95</v>
      </c>
      <c r="N11" s="345">
        <f t="shared" si="3"/>
        <v>12.847222222222223</v>
      </c>
      <c r="O11" s="345"/>
    </row>
    <row r="12" spans="1:15" x14ac:dyDescent="0.25">
      <c r="A12" t="str">
        <f>PLANTILLA!D14</f>
        <v>I. Vanags</v>
      </c>
      <c r="B12" s="148">
        <f>PLANTILLA!J14</f>
        <v>0.19483738090431735</v>
      </c>
      <c r="C12" s="233">
        <f>PLANTILLA!AC14</f>
        <v>7</v>
      </c>
      <c r="D12" s="233">
        <f>PLANTILLA!AD14</f>
        <v>6</v>
      </c>
      <c r="E12" s="148">
        <f ca="1">PLANTILLA!AI14</f>
        <v>6.7212292334406571</v>
      </c>
      <c r="F12" s="148">
        <f ca="1">PLANTILLA!AJ14</f>
        <v>5.5664175463407473</v>
      </c>
      <c r="G12" s="148">
        <f ca="1">PLANTILLA!AK14</f>
        <v>0.55290192496315949</v>
      </c>
      <c r="H12" s="148">
        <f ca="1">PLANTILLA!AL14</f>
        <v>0.3600391843427645</v>
      </c>
      <c r="M12" s="486">
        <f>AVERAGE(M2:M11)</f>
        <v>2.36</v>
      </c>
      <c r="N12" s="486">
        <f>AVERAGE(N2:N11)</f>
        <v>16.029111111111114</v>
      </c>
      <c r="O12" s="487">
        <f>1.66*(M12+1.5)+0.55*(N12+1.5)-7.6</f>
        <v>8.4486111111111146</v>
      </c>
    </row>
    <row r="13" spans="1:15" x14ac:dyDescent="0.25">
      <c r="A13" t="str">
        <f>PLANTILLA!D15</f>
        <v>I. Stone</v>
      </c>
      <c r="B13" s="148">
        <f>PLANTILLA!J15</f>
        <v>0.45656357442960838</v>
      </c>
      <c r="C13" s="233">
        <f>PLANTILLA!AC15</f>
        <v>9</v>
      </c>
      <c r="D13" s="233">
        <f>PLANTILLA!AD15</f>
        <v>2</v>
      </c>
      <c r="E13" s="148">
        <f ca="1">PLANTILLA!AI15</f>
        <v>8.7975173108394706</v>
      </c>
      <c r="F13" s="148">
        <f ca="1">PLANTILLA!AJ15</f>
        <v>4.2409283225331338</v>
      </c>
      <c r="G13" s="148">
        <f ca="1">PLANTILLA!AK15</f>
        <v>0.54845809038494742</v>
      </c>
      <c r="H13" s="148">
        <f ca="1">PLANTILLA!AL15</f>
        <v>0.21365082908682903</v>
      </c>
    </row>
    <row r="14" spans="1:15" x14ac:dyDescent="0.25">
      <c r="A14" t="str">
        <f>PLANTILLA!D16</f>
        <v>G. Piscaer</v>
      </c>
      <c r="B14" s="148">
        <f>PLANTILLA!J16</f>
        <v>0.59621070845629232</v>
      </c>
      <c r="C14" s="233">
        <f>PLANTILLA!AC16</f>
        <v>8</v>
      </c>
      <c r="D14" s="233">
        <f>PLANTILLA!AD16</f>
        <v>0</v>
      </c>
      <c r="E14" s="148">
        <f ca="1">PLANTILLA!AI16</f>
        <v>5.3877322648703609</v>
      </c>
      <c r="F14" s="148">
        <f ca="1">PLANTILLA!AJ16</f>
        <v>2.3092773670440829</v>
      </c>
      <c r="G14" s="148">
        <f ca="1">PLANTILLA!AK16</f>
        <v>0.45239094485874676</v>
      </c>
      <c r="H14" s="148">
        <f ca="1">PLANTILLA!AL16</f>
        <v>0.20584207675140348</v>
      </c>
    </row>
    <row r="15" spans="1:15" x14ac:dyDescent="0.25">
      <c r="A15" t="str">
        <f>PLANTILLA!D17</f>
        <v>M. Bondarewski</v>
      </c>
      <c r="B15" s="148">
        <f>PLANTILLA!J17</f>
        <v>0.55329779729442397</v>
      </c>
      <c r="C15" s="233">
        <f>PLANTILLA!AC17</f>
        <v>8</v>
      </c>
      <c r="D15" s="233">
        <f>PLANTILLA!AD17</f>
        <v>6</v>
      </c>
      <c r="E15" s="148">
        <f ca="1">PLANTILLA!AI17</f>
        <v>9.6177072974873727</v>
      </c>
      <c r="F15" s="148">
        <f ca="1">PLANTILLA!AJ17</f>
        <v>6.7003867768381431</v>
      </c>
      <c r="G15" s="148">
        <f ca="1">PLANTILLA!AK17</f>
        <v>0.63097959039638429</v>
      </c>
      <c r="H15" s="148">
        <f ca="1">PLANTILLA!AL17</f>
        <v>0.30460714159683633</v>
      </c>
    </row>
    <row r="16" spans="1:15" x14ac:dyDescent="0.25">
      <c r="A16" t="str">
        <f>PLANTILLA!D18</f>
        <v>J. Vartiainen</v>
      </c>
      <c r="B16" s="148">
        <f>PLANTILLA!J18</f>
        <v>0.15192446974244905</v>
      </c>
      <c r="C16" s="233">
        <f>PLANTILLA!AC18</f>
        <v>6</v>
      </c>
      <c r="D16" s="233">
        <f>PLANTILLA!AD18</f>
        <v>1</v>
      </c>
      <c r="E16" s="148">
        <f ca="1">PLANTILLA!AI18</f>
        <v>3.1606081437710785</v>
      </c>
      <c r="F16" s="148">
        <f ca="1">PLANTILLA!AJ18</f>
        <v>2.5256233957811318</v>
      </c>
      <c r="G16" s="148">
        <f ca="1">PLANTILLA!AK18</f>
        <v>0.34823880439853128</v>
      </c>
      <c r="H16" s="148">
        <f ca="1">PLANTILLA!AL18</f>
        <v>0.32595895384871493</v>
      </c>
    </row>
    <row r="17" spans="1:8" x14ac:dyDescent="0.25">
      <c r="A17" t="str">
        <f>PLANTILLA!D19</f>
        <v>R. Forsyth</v>
      </c>
      <c r="B17" s="148">
        <f>PLANTILLA!J19</f>
        <v>0.59621070845629232</v>
      </c>
      <c r="C17" s="233">
        <f>PLANTILLA!AC19</f>
        <v>6</v>
      </c>
      <c r="D17" s="233">
        <f>PLANTILLA!AD19</f>
        <v>2</v>
      </c>
      <c r="E17" s="148">
        <f ca="1">PLANTILLA!AI19</f>
        <v>4.6103070276092222</v>
      </c>
      <c r="F17" s="148">
        <f ca="1">PLANTILLA!AJ19</f>
        <v>3.5992620941120719</v>
      </c>
      <c r="G17" s="148">
        <f ca="1">PLANTILLA!AK19</f>
        <v>0.4150117911673174</v>
      </c>
      <c r="H17" s="148">
        <f ca="1">PLANTILLA!AL19</f>
        <v>0.38813531727140271</v>
      </c>
    </row>
    <row r="18" spans="1:8" x14ac:dyDescent="0.25">
      <c r="A18" t="str">
        <f>PLANTILLA!D20</f>
        <v>K. Nelson</v>
      </c>
      <c r="B18" s="148">
        <f>PLANTILLA!J20</f>
        <v>0.59621070845629232</v>
      </c>
      <c r="C18" s="233">
        <f>PLANTILLA!AC20</f>
        <v>9</v>
      </c>
      <c r="D18" s="233">
        <f>PLANTILLA!AD20</f>
        <v>1</v>
      </c>
      <c r="E18" s="148">
        <f ca="1">PLANTILLA!AI20</f>
        <v>7.9788662264433228</v>
      </c>
      <c r="F18" s="148">
        <f ca="1">PLANTILLA!AJ20</f>
        <v>3.4665557586721278</v>
      </c>
      <c r="G18" s="148">
        <f ca="1">PLANTILLA!AK20</f>
        <v>0.53613472705388365</v>
      </c>
      <c r="H18" s="148">
        <f ca="1">PLANTILLA!AL20</f>
        <v>0.27911788617214817</v>
      </c>
    </row>
    <row r="19" spans="1:8" x14ac:dyDescent="0.25">
      <c r="A19" t="str">
        <f>PLANTILLA!D21</f>
        <v>N. Janbu</v>
      </c>
      <c r="B19" s="148">
        <f>PLANTILLA!J21</f>
        <v>0.23478834540757498</v>
      </c>
      <c r="C19" s="233">
        <f>PLANTILLA!AC21</f>
        <v>8</v>
      </c>
      <c r="D19" s="233">
        <f>PLANTILLA!AD21</f>
        <v>3</v>
      </c>
      <c r="E19" s="148">
        <f ca="1">PLANTILLA!AI21</f>
        <v>6.1094014231245817</v>
      </c>
      <c r="F19" s="148">
        <f ca="1">PLANTILLA!AJ21</f>
        <v>3.6588939443270769</v>
      </c>
      <c r="G19" s="148">
        <f ca="1">PLANTILLA!AK21</f>
        <v>0.51722093800998625</v>
      </c>
      <c r="H19" s="148">
        <f ca="1">PLANTILLA!AL21</f>
        <v>0.23381832075873801</v>
      </c>
    </row>
    <row r="20" spans="1:8" x14ac:dyDescent="0.25">
      <c r="A20" t="str">
        <f>PLANTILLA!D22</f>
        <v>P. Tuderek</v>
      </c>
      <c r="B20" s="148">
        <f>PLANTILLA!J22</f>
        <v>0.27215997687456639</v>
      </c>
      <c r="C20" s="233">
        <f>PLANTILLA!AC22</f>
        <v>6</v>
      </c>
      <c r="D20" s="233">
        <f>PLANTILLA!AD22</f>
        <v>8</v>
      </c>
      <c r="E20" s="148">
        <f ca="1">PLANTILLA!AI22</f>
        <v>7.5635486142015278</v>
      </c>
      <c r="F20" s="148">
        <f ca="1">PLANTILLA!AJ22</f>
        <v>7.7635966580097406</v>
      </c>
      <c r="G20" s="148">
        <f ca="1">PLANTILLA!AK22</f>
        <v>0.56908773264077939</v>
      </c>
      <c r="H20" s="148">
        <f ca="1">PLANTILLA!AL22</f>
        <v>0.50545176606068198</v>
      </c>
    </row>
    <row r="21" spans="1:8" x14ac:dyDescent="0.25">
      <c r="A21" t="str">
        <f>PLANTILLA!D23</f>
        <v>R. Scheidecker</v>
      </c>
      <c r="B21" s="148">
        <f>PLANTILLA!J23</f>
        <v>0.23478834540757498</v>
      </c>
      <c r="C21" s="233">
        <f>PLANTILLA!AC23</f>
        <v>9</v>
      </c>
      <c r="D21" s="233">
        <f>PLANTILLA!AD23</f>
        <v>8</v>
      </c>
      <c r="E21" s="148">
        <f ca="1">PLANTILLA!AI23</f>
        <v>11.53660473876462</v>
      </c>
      <c r="F21" s="148">
        <f ca="1">PLANTILLA!AJ23</f>
        <v>7.9863325147342872</v>
      </c>
      <c r="G21" s="148">
        <f ca="1">PLANTILLA!AK23</f>
        <v>0.7160980021234199</v>
      </c>
      <c r="H21" s="148">
        <f ca="1">PLANTILLA!AL23</f>
        <v>0.42283575185799249</v>
      </c>
    </row>
    <row r="22" spans="1:8" x14ac:dyDescent="0.25">
      <c r="A22" t="str">
        <f>PLANTILLA!D24</f>
        <v>K. Helms</v>
      </c>
      <c r="B22" s="148">
        <f>PLANTILLA!J24</f>
        <v>1.5484906696466332</v>
      </c>
      <c r="C22" s="233">
        <f>PLANTILLA!AC24</f>
        <v>3.95</v>
      </c>
      <c r="D22" s="233">
        <f>PLANTILLA!AD24</f>
        <v>18</v>
      </c>
      <c r="E22" s="148">
        <f>PLANTILLA!AI24</f>
        <v>15.594164379919059</v>
      </c>
      <c r="F22" s="148">
        <f>PLANTILLA!AJ24</f>
        <v>16.833490669646633</v>
      </c>
      <c r="G22" s="148">
        <f>PLANTILLA!AK24</f>
        <v>0.98137925357173061</v>
      </c>
      <c r="H22" s="148">
        <f>PLANTILLA!AL24</f>
        <v>1.0434064680873854</v>
      </c>
    </row>
    <row r="23" spans="1:8" x14ac:dyDescent="0.25">
      <c r="A23" t="str">
        <f>PLANTILLA!D25</f>
        <v>S. Zobbe</v>
      </c>
      <c r="B23" s="148">
        <f>PLANTILLA!J25</f>
        <v>1.5281707142376506</v>
      </c>
      <c r="C23" s="233">
        <f>PLANTILLA!AC25</f>
        <v>6.95</v>
      </c>
      <c r="D23" s="233">
        <f>PLANTILLA!AD25</f>
        <v>16</v>
      </c>
      <c r="E23" s="148">
        <f>PLANTILLA!AI25</f>
        <v>17.98799691205523</v>
      </c>
      <c r="F23" s="148">
        <f>PLANTILLA!AJ25</f>
        <v>15.103061338262165</v>
      </c>
      <c r="G23" s="148">
        <f>PLANTILLA!AK25</f>
        <v>1.069753657139012</v>
      </c>
      <c r="H23" s="148">
        <f>PLANTILLA!AL25</f>
        <v>1.0263719499966355</v>
      </c>
    </row>
    <row r="24" spans="1:8" x14ac:dyDescent="0.25">
      <c r="A24" t="str">
        <f>PLANTILLA!D26</f>
        <v>L. Bauman</v>
      </c>
      <c r="B24" s="148">
        <f>PLANTILLA!J26</f>
        <v>1.4852578030757824</v>
      </c>
      <c r="C24" s="233">
        <f>PLANTILLA!AC26</f>
        <v>5.95</v>
      </c>
      <c r="D24" s="233">
        <f>PLANTILLA!AD26</f>
        <v>16.95</v>
      </c>
      <c r="E24" s="148">
        <f>PLANTILLA!AI26</f>
        <v>15.37920414526894</v>
      </c>
      <c r="F24" s="148">
        <f>PLANTILLA!AJ26</f>
        <v>14.059358910775252</v>
      </c>
      <c r="G24" s="148">
        <f>PLANTILLA!AK26</f>
        <v>1.0448206242460625</v>
      </c>
      <c r="H24" s="148">
        <f>PLANTILLA!AL26</f>
        <v>0.95546804621530479</v>
      </c>
    </row>
    <row r="25" spans="1:8" x14ac:dyDescent="0.25">
      <c r="A25" t="str">
        <f>PLANTILLA!D27</f>
        <v>J. Limon</v>
      </c>
      <c r="B25" s="148">
        <f>PLANTILLA!J27</f>
        <v>1.5795885744234652</v>
      </c>
      <c r="C25" s="233">
        <f>PLANTILLA!AC27</f>
        <v>7.95</v>
      </c>
      <c r="D25" s="233">
        <f>PLANTILLA!AD27</f>
        <v>18.999999999999993</v>
      </c>
      <c r="E25" s="148">
        <f>PLANTILLA!AI27</f>
        <v>19.314217849765477</v>
      </c>
      <c r="F25" s="148">
        <f>PLANTILLA!AJ27</f>
        <v>15.858971871904096</v>
      </c>
      <c r="G25" s="148">
        <f>PLANTILLA!AK27</f>
        <v>1.2138670859538769</v>
      </c>
      <c r="H25" s="148">
        <f>PLANTILLA!AL27</f>
        <v>1.0590759621144044</v>
      </c>
    </row>
    <row r="26" spans="1:8" x14ac:dyDescent="0.25">
      <c r="A26" t="str">
        <f>PLANTILLA!D28</f>
        <v>P .Trivadi</v>
      </c>
      <c r="B26" s="148">
        <f>PLANTILLA!J28</f>
        <v>1.1431099952416914</v>
      </c>
      <c r="C26" s="233">
        <f>PLANTILLA!AC28</f>
        <v>7.95</v>
      </c>
      <c r="D26" s="233">
        <f>PLANTILLA!AD28</f>
        <v>14</v>
      </c>
      <c r="E26" s="148">
        <f>PLANTILLA!AI28</f>
        <v>14.467174605147093</v>
      </c>
      <c r="F26" s="148">
        <f>PLANTILLA!AJ28</f>
        <v>11.208997560148759</v>
      </c>
      <c r="G26" s="148">
        <f>PLANTILLA!AK28</f>
        <v>1.0289487996193352</v>
      </c>
      <c r="H26" s="148">
        <f>PLANTILLA!AL28</f>
        <v>0.76581769966691837</v>
      </c>
    </row>
    <row r="27" spans="1:8" x14ac:dyDescent="0.25">
      <c r="B27" s="148"/>
      <c r="C27" s="233"/>
      <c r="D27" s="233"/>
      <c r="E27" s="233"/>
      <c r="F27" s="148"/>
      <c r="G27" s="148"/>
      <c r="H27" s="148"/>
    </row>
    <row r="28" spans="1:8" x14ac:dyDescent="0.25">
      <c r="B28" s="148"/>
      <c r="C28" s="233"/>
      <c r="D28" s="233"/>
      <c r="E28" s="233"/>
      <c r="F28" s="148"/>
      <c r="G28" s="148"/>
      <c r="H28" s="148"/>
    </row>
  </sheetData>
  <sortState ref="A2:H20">
    <sortCondition descending="1" ref="E2:E20"/>
  </sortState>
  <conditionalFormatting sqref="E2:E26">
    <cfRule type="cellIs" dxfId="150" priority="4" operator="lessThan">
      <formula>11</formula>
    </cfRule>
    <cfRule type="cellIs" dxfId="149" priority="5" operator="between">
      <formula>11</formula>
      <formula>15</formula>
    </cfRule>
    <cfRule type="cellIs" dxfId="148" priority="6" operator="greaterThan">
      <formula>15</formula>
    </cfRule>
  </conditionalFormatting>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516</v>
      </c>
      <c r="D1" s="4" t="s">
        <v>346</v>
      </c>
      <c r="E1" s="4" t="s">
        <v>520</v>
      </c>
      <c r="F1" s="4" t="s">
        <v>521</v>
      </c>
      <c r="G1" s="4" t="s">
        <v>522</v>
      </c>
      <c r="H1" s="4" t="s">
        <v>17</v>
      </c>
      <c r="I1" s="4" t="s">
        <v>523</v>
      </c>
      <c r="K1" s="4" t="s">
        <v>346</v>
      </c>
      <c r="L1" s="4" t="s">
        <v>520</v>
      </c>
      <c r="M1" s="4" t="s">
        <v>521</v>
      </c>
      <c r="N1" s="4" t="s">
        <v>522</v>
      </c>
      <c r="O1" s="4" t="s">
        <v>17</v>
      </c>
      <c r="P1" s="4" t="s">
        <v>523</v>
      </c>
    </row>
    <row r="2" spans="1:16" x14ac:dyDescent="0.25">
      <c r="A2">
        <v>3.5</v>
      </c>
      <c r="B2" t="s">
        <v>517</v>
      </c>
      <c r="D2" s="410">
        <v>10</v>
      </c>
      <c r="E2" s="411">
        <f t="shared" ref="E2:E11" si="0">D2*$A$2</f>
        <v>35</v>
      </c>
      <c r="F2" s="411">
        <f t="shared" ref="F2:F11" si="1">D2*$A$3</f>
        <v>25</v>
      </c>
      <c r="G2" s="412">
        <f t="shared" ref="G2:G11" si="2">D2*$A$4</f>
        <v>0.33333333333333331</v>
      </c>
      <c r="H2" s="410">
        <f>48000*0.68</f>
        <v>32640.000000000004</v>
      </c>
      <c r="I2" s="413">
        <f t="shared" ref="I2:I11" si="3">H2/D2</f>
        <v>3264.0000000000005</v>
      </c>
      <c r="K2">
        <v>15</v>
      </c>
      <c r="L2" s="233">
        <f>K2*3.2</f>
        <v>48</v>
      </c>
      <c r="M2" s="233">
        <f>K2*$A$3</f>
        <v>37.5</v>
      </c>
      <c r="N2" s="345">
        <f>K2*$A$4</f>
        <v>0.5</v>
      </c>
      <c r="O2">
        <f>24000*3</f>
        <v>72000</v>
      </c>
      <c r="P2">
        <f>O2/K2</f>
        <v>4800</v>
      </c>
    </row>
    <row r="3" spans="1:16" x14ac:dyDescent="0.25">
      <c r="A3">
        <v>2.5</v>
      </c>
      <c r="B3" t="s">
        <v>519</v>
      </c>
      <c r="D3" s="410">
        <v>9</v>
      </c>
      <c r="E3" s="411">
        <f t="shared" si="0"/>
        <v>31.5</v>
      </c>
      <c r="F3" s="411">
        <f t="shared" si="1"/>
        <v>22.5</v>
      </c>
      <c r="G3" s="412">
        <f t="shared" si="2"/>
        <v>0.3</v>
      </c>
      <c r="H3" s="410">
        <f>36000*0.68</f>
        <v>24480</v>
      </c>
      <c r="I3" s="413">
        <f t="shared" si="3"/>
        <v>2720</v>
      </c>
      <c r="K3">
        <v>12</v>
      </c>
      <c r="L3" s="233">
        <f>K3*3.2</f>
        <v>38.400000000000006</v>
      </c>
      <c r="M3" s="233">
        <f>K3*$A$3</f>
        <v>30</v>
      </c>
      <c r="N3" s="345">
        <f>K3*$A$4</f>
        <v>0.4</v>
      </c>
      <c r="O3">
        <f>12000*3</f>
        <v>36000</v>
      </c>
      <c r="P3">
        <f>O3/K3</f>
        <v>3000</v>
      </c>
    </row>
    <row r="4" spans="1:16" x14ac:dyDescent="0.25">
      <c r="A4" s="409">
        <f>0.5/15</f>
        <v>3.3333333333333333E-2</v>
      </c>
      <c r="B4" t="s">
        <v>518</v>
      </c>
      <c r="D4" s="410">
        <v>8</v>
      </c>
      <c r="E4" s="411">
        <f t="shared" si="0"/>
        <v>28</v>
      </c>
      <c r="F4" s="411">
        <f t="shared" si="1"/>
        <v>20</v>
      </c>
      <c r="G4" s="412">
        <f t="shared" si="2"/>
        <v>0.26666666666666666</v>
      </c>
      <c r="H4" s="410">
        <f>24000*0.68</f>
        <v>16320.000000000002</v>
      </c>
      <c r="I4" s="413">
        <f t="shared" si="3"/>
        <v>2040.0000000000002</v>
      </c>
    </row>
    <row r="5" spans="1:16" x14ac:dyDescent="0.25">
      <c r="D5" s="410">
        <v>7</v>
      </c>
      <c r="E5" s="411">
        <f t="shared" si="0"/>
        <v>24.5</v>
      </c>
      <c r="F5" s="411">
        <f t="shared" si="1"/>
        <v>17.5</v>
      </c>
      <c r="G5" s="412">
        <f t="shared" si="2"/>
        <v>0.23333333333333334</v>
      </c>
      <c r="H5" s="410">
        <f>18000*0.68</f>
        <v>12240</v>
      </c>
      <c r="I5" s="413">
        <f t="shared" si="3"/>
        <v>1748.5714285714287</v>
      </c>
    </row>
    <row r="6" spans="1:16" x14ac:dyDescent="0.25">
      <c r="D6" s="410">
        <v>6</v>
      </c>
      <c r="E6" s="411">
        <f t="shared" si="0"/>
        <v>21</v>
      </c>
      <c r="F6" s="411">
        <f t="shared" si="1"/>
        <v>15</v>
      </c>
      <c r="G6" s="412">
        <f t="shared" si="2"/>
        <v>0.2</v>
      </c>
      <c r="H6" s="410">
        <f>12000*0.68</f>
        <v>8160.0000000000009</v>
      </c>
      <c r="I6" s="413">
        <f t="shared" si="3"/>
        <v>1360.0000000000002</v>
      </c>
    </row>
    <row r="7" spans="1:16" x14ac:dyDescent="0.25">
      <c r="D7" s="410">
        <v>5</v>
      </c>
      <c r="E7" s="411">
        <f t="shared" si="0"/>
        <v>17.5</v>
      </c>
      <c r="F7" s="411">
        <f t="shared" si="1"/>
        <v>12.5</v>
      </c>
      <c r="G7" s="412">
        <f t="shared" si="2"/>
        <v>0.16666666666666666</v>
      </c>
      <c r="H7" s="410">
        <f>24000*0.68</f>
        <v>16320.000000000002</v>
      </c>
      <c r="I7" s="413">
        <f t="shared" si="3"/>
        <v>3264.0000000000005</v>
      </c>
      <c r="L7" s="233"/>
    </row>
    <row r="8" spans="1:16" x14ac:dyDescent="0.25">
      <c r="D8" s="410">
        <v>4</v>
      </c>
      <c r="E8" s="411">
        <f t="shared" si="0"/>
        <v>14</v>
      </c>
      <c r="F8" s="411">
        <f t="shared" si="1"/>
        <v>10</v>
      </c>
      <c r="G8" s="412">
        <f t="shared" si="2"/>
        <v>0.13333333333333333</v>
      </c>
      <c r="H8" s="410">
        <f>12000*0.68</f>
        <v>8160.0000000000009</v>
      </c>
      <c r="I8" s="413">
        <f t="shared" si="3"/>
        <v>2040.0000000000002</v>
      </c>
    </row>
    <row r="9" spans="1:16" x14ac:dyDescent="0.25">
      <c r="D9" s="410">
        <v>3</v>
      </c>
      <c r="E9" s="411">
        <f t="shared" si="0"/>
        <v>10.5</v>
      </c>
      <c r="F9" s="411">
        <f t="shared" si="1"/>
        <v>7.5</v>
      </c>
      <c r="G9" s="412">
        <f t="shared" si="2"/>
        <v>0.1</v>
      </c>
      <c r="H9" s="410">
        <f>6000*0.68</f>
        <v>4080.0000000000005</v>
      </c>
      <c r="I9" s="413">
        <f t="shared" si="3"/>
        <v>1360.0000000000002</v>
      </c>
    </row>
    <row r="10" spans="1:16" x14ac:dyDescent="0.25">
      <c r="D10" s="410">
        <v>2</v>
      </c>
      <c r="E10" s="411">
        <f t="shared" si="0"/>
        <v>7</v>
      </c>
      <c r="F10" s="411">
        <f t="shared" si="1"/>
        <v>5</v>
      </c>
      <c r="G10" s="412">
        <f t="shared" si="2"/>
        <v>6.6666666666666666E-2</v>
      </c>
      <c r="H10" s="410">
        <f>3000*0.68</f>
        <v>2040.0000000000002</v>
      </c>
      <c r="I10" s="413">
        <f t="shared" si="3"/>
        <v>1020.0000000000001</v>
      </c>
    </row>
    <row r="11" spans="1:16" x14ac:dyDescent="0.25">
      <c r="D11" s="410">
        <v>1</v>
      </c>
      <c r="E11" s="411">
        <f t="shared" si="0"/>
        <v>3.5</v>
      </c>
      <c r="F11" s="411">
        <f t="shared" si="1"/>
        <v>2.5</v>
      </c>
      <c r="G11" s="412">
        <f t="shared" si="2"/>
        <v>3.3333333333333333E-2</v>
      </c>
      <c r="H11" s="410">
        <f>1500*0.68</f>
        <v>1020.0000000000001</v>
      </c>
      <c r="I11" s="413">
        <f t="shared" si="3"/>
        <v>1020.0000000000001</v>
      </c>
    </row>
  </sheetData>
  <sortState ref="D2:I11">
    <sortCondition descending="1" ref="D2:D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7"/>
  <sheetViews>
    <sheetView workbookViewId="0">
      <selection activeCell="I6" sqref="I6"/>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63" bestFit="1" customWidth="1"/>
    <col min="23" max="24" width="5.5703125" bestFit="1" customWidth="1"/>
    <col min="25" max="26" width="4.5703125" bestFit="1" customWidth="1"/>
  </cols>
  <sheetData>
    <row r="1" spans="1:26" x14ac:dyDescent="0.25">
      <c r="A1" s="258">
        <v>41900</v>
      </c>
      <c r="E1" s="306" t="s">
        <v>421</v>
      </c>
      <c r="F1" s="307" t="s">
        <v>422</v>
      </c>
      <c r="G1" s="10"/>
      <c r="H1" s="10"/>
      <c r="I1" s="308" t="s">
        <v>421</v>
      </c>
      <c r="J1" s="309" t="s">
        <v>422</v>
      </c>
      <c r="K1" s="9"/>
      <c r="P1" s="306" t="s">
        <v>421</v>
      </c>
      <c r="Q1" s="307" t="s">
        <v>422</v>
      </c>
      <c r="R1" s="306"/>
      <c r="S1" s="307"/>
      <c r="W1" s="306" t="s">
        <v>421</v>
      </c>
      <c r="X1" s="307" t="s">
        <v>422</v>
      </c>
      <c r="Y1" s="306"/>
      <c r="Z1" s="307"/>
    </row>
    <row r="2" spans="1:26" x14ac:dyDescent="0.25">
      <c r="A2" s="305" t="s">
        <v>174</v>
      </c>
      <c r="B2" s="305" t="s">
        <v>423</v>
      </c>
      <c r="C2" s="305" t="s">
        <v>424</v>
      </c>
      <c r="D2" s="305" t="s">
        <v>182</v>
      </c>
      <c r="E2" s="306" t="s">
        <v>170</v>
      </c>
      <c r="F2" s="307" t="s">
        <v>170</v>
      </c>
      <c r="G2" s="10" t="s">
        <v>178</v>
      </c>
      <c r="H2" s="10" t="s">
        <v>178</v>
      </c>
      <c r="I2" s="308" t="s">
        <v>425</v>
      </c>
      <c r="J2" s="309" t="s">
        <v>425</v>
      </c>
      <c r="K2" s="9"/>
      <c r="P2" s="306" t="s">
        <v>170</v>
      </c>
      <c r="Q2" s="307" t="s">
        <v>170</v>
      </c>
      <c r="R2" s="306" t="s">
        <v>178</v>
      </c>
      <c r="S2" s="307" t="s">
        <v>178</v>
      </c>
      <c r="W2" s="306" t="s">
        <v>170</v>
      </c>
      <c r="X2" s="307" t="s">
        <v>170</v>
      </c>
      <c r="Y2" s="306" t="s">
        <v>178</v>
      </c>
      <c r="Z2" s="307" t="s">
        <v>178</v>
      </c>
    </row>
    <row r="3" spans="1:26" x14ac:dyDescent="0.25">
      <c r="A3" s="315" t="str">
        <f>PLANTILLA!D4</f>
        <v>D. Gehmacher</v>
      </c>
      <c r="B3" s="154">
        <f>PLANTILLA!E4</f>
        <v>34</v>
      </c>
      <c r="C3" s="154">
        <f>PLANTILLA!H4</f>
        <v>6</v>
      </c>
      <c r="D3" s="317">
        <f>PLANTILLA!I4</f>
        <v>23.7</v>
      </c>
      <c r="E3" s="310">
        <f>D3</f>
        <v>23.7</v>
      </c>
      <c r="F3" s="310">
        <f>E3+0.1</f>
        <v>23.8</v>
      </c>
      <c r="G3" s="310">
        <f>C3</f>
        <v>6</v>
      </c>
      <c r="H3" s="310">
        <f t="shared" ref="H3" si="0">G3+0.99</f>
        <v>6.99</v>
      </c>
      <c r="I3" s="314">
        <f t="shared" ref="I3:J3" si="1">G3*G3*E3</f>
        <v>853.19999999999993</v>
      </c>
      <c r="J3" s="314">
        <f t="shared" si="1"/>
        <v>1162.8703800000001</v>
      </c>
      <c r="K3" s="311"/>
      <c r="N3" s="4" t="s">
        <v>425</v>
      </c>
      <c r="O3" t="str">
        <f>A3</f>
        <v>D. Gehmacher</v>
      </c>
      <c r="P3" s="312">
        <f>E3</f>
        <v>23.7</v>
      </c>
      <c r="Q3" s="312">
        <f t="shared" ref="Q3:S3" si="2">F3</f>
        <v>23.8</v>
      </c>
      <c r="R3" s="312">
        <f t="shared" si="2"/>
        <v>6</v>
      </c>
      <c r="S3" s="312">
        <f t="shared" si="2"/>
        <v>6.99</v>
      </c>
      <c r="U3" s="4" t="s">
        <v>425</v>
      </c>
      <c r="V3" s="163" t="str">
        <f>O3</f>
        <v>D. Gehmacher</v>
      </c>
      <c r="W3" s="312">
        <f>P3</f>
        <v>23.7</v>
      </c>
      <c r="X3" s="312">
        <f t="shared" ref="X3:Z3" si="3">Q3</f>
        <v>23.8</v>
      </c>
      <c r="Y3" s="312">
        <f t="shared" si="3"/>
        <v>6</v>
      </c>
      <c r="Z3" s="312">
        <f t="shared" si="3"/>
        <v>6.99</v>
      </c>
    </row>
    <row r="4" spans="1:26" x14ac:dyDescent="0.25">
      <c r="A4" s="315" t="str">
        <f>PLANTILLA!D5</f>
        <v>T. Hammond</v>
      </c>
      <c r="B4" s="154">
        <f>PLANTILLA!E5</f>
        <v>39</v>
      </c>
      <c r="C4" s="154">
        <f>PLANTILLA!H5</f>
        <v>3</v>
      </c>
      <c r="D4" s="317">
        <f>PLANTILLA!I5</f>
        <v>8.4</v>
      </c>
      <c r="E4" s="310">
        <f t="shared" ref="E4:E27" si="4">D4</f>
        <v>8.4</v>
      </c>
      <c r="F4" s="310">
        <f t="shared" ref="F4:F27" si="5">E4+0.1</f>
        <v>8.5</v>
      </c>
      <c r="G4" s="310">
        <f t="shared" ref="G4:G27" si="6">C4</f>
        <v>3</v>
      </c>
      <c r="H4" s="310">
        <f t="shared" ref="H4:H27" si="7">G4+0.99</f>
        <v>3.99</v>
      </c>
      <c r="I4" s="314">
        <f t="shared" ref="I4:I27" si="8">G4*G4*E4</f>
        <v>75.600000000000009</v>
      </c>
      <c r="J4" s="314">
        <f t="shared" ref="J4:J27" si="9">H4*H4*F4</f>
        <v>135.32085000000001</v>
      </c>
      <c r="K4" s="311"/>
      <c r="O4" t="str">
        <f>A7</f>
        <v>F. Lasprilla</v>
      </c>
      <c r="P4" s="312">
        <f>E7</f>
        <v>6.3</v>
      </c>
      <c r="Q4" s="312">
        <f t="shared" ref="Q4:S4" si="10">F7</f>
        <v>6.3999999999999995</v>
      </c>
      <c r="R4" s="312">
        <f t="shared" si="10"/>
        <v>4</v>
      </c>
      <c r="S4" s="312">
        <f t="shared" si="10"/>
        <v>4.99</v>
      </c>
      <c r="V4" s="163" t="str">
        <f t="shared" ref="V4:V13" si="11">O4</f>
        <v>F. Lasprilla</v>
      </c>
      <c r="W4" s="312">
        <f t="shared" ref="W4:W13" si="12">P4</f>
        <v>6.3</v>
      </c>
      <c r="X4" s="312">
        <f t="shared" ref="X4:X13" si="13">Q4</f>
        <v>6.3999999999999995</v>
      </c>
      <c r="Y4" s="312">
        <f t="shared" ref="Y4:Y13" si="14">R4</f>
        <v>4</v>
      </c>
      <c r="Z4" s="312">
        <f t="shared" ref="Z4:Z13" si="15">S4</f>
        <v>4.99</v>
      </c>
    </row>
    <row r="5" spans="1:26" x14ac:dyDescent="0.25">
      <c r="A5" s="315" t="str">
        <f>PLANTILLA!D6</f>
        <v>E. Toney</v>
      </c>
      <c r="B5" s="154">
        <f>PLANTILLA!E6</f>
        <v>36</v>
      </c>
      <c r="C5" s="154">
        <f>PLANTILLA!H6</f>
        <v>4</v>
      </c>
      <c r="D5" s="317">
        <f>PLANTILLA!I6</f>
        <v>18</v>
      </c>
      <c r="E5" s="310">
        <f t="shared" si="4"/>
        <v>18</v>
      </c>
      <c r="F5" s="310">
        <f t="shared" si="5"/>
        <v>18.100000000000001</v>
      </c>
      <c r="G5" s="310">
        <f t="shared" si="6"/>
        <v>4</v>
      </c>
      <c r="H5" s="310">
        <f t="shared" si="7"/>
        <v>4.99</v>
      </c>
      <c r="I5" s="314">
        <f t="shared" si="8"/>
        <v>288</v>
      </c>
      <c r="J5" s="314">
        <f t="shared" si="9"/>
        <v>450.69181000000009</v>
      </c>
      <c r="K5" s="311"/>
      <c r="L5" s="162"/>
      <c r="O5" t="str">
        <f>A15</f>
        <v>G. Piscaer</v>
      </c>
      <c r="P5" s="312">
        <f>E15</f>
        <v>1.8</v>
      </c>
      <c r="Q5" s="312">
        <f t="shared" ref="Q5:S5" si="16">F15</f>
        <v>1.9000000000000001</v>
      </c>
      <c r="R5" s="312">
        <f t="shared" si="16"/>
        <v>1</v>
      </c>
      <c r="S5" s="312">
        <f t="shared" si="16"/>
        <v>1.99</v>
      </c>
      <c r="V5" s="163" t="str">
        <f t="shared" si="11"/>
        <v>G. Piscaer</v>
      </c>
      <c r="W5" s="312">
        <f t="shared" si="12"/>
        <v>1.8</v>
      </c>
      <c r="X5" s="312">
        <f t="shared" si="13"/>
        <v>1.9000000000000001</v>
      </c>
      <c r="Y5" s="312">
        <f t="shared" si="14"/>
        <v>1</v>
      </c>
      <c r="Z5" s="312">
        <f t="shared" si="15"/>
        <v>1.99</v>
      </c>
    </row>
    <row r="6" spans="1:26" x14ac:dyDescent="0.25">
      <c r="A6" s="315" t="str">
        <f>PLANTILLA!D7</f>
        <v>B. Bartolache</v>
      </c>
      <c r="B6" s="154">
        <f>PLANTILLA!E7</f>
        <v>35</v>
      </c>
      <c r="C6" s="154">
        <f>PLANTILLA!H7</f>
        <v>3</v>
      </c>
      <c r="D6" s="317">
        <f>PLANTILLA!I7</f>
        <v>11.8</v>
      </c>
      <c r="E6" s="310">
        <f t="shared" si="4"/>
        <v>11.8</v>
      </c>
      <c r="F6" s="310">
        <f t="shared" si="5"/>
        <v>11.9</v>
      </c>
      <c r="G6" s="310">
        <f t="shared" si="6"/>
        <v>3</v>
      </c>
      <c r="H6" s="310">
        <f t="shared" si="7"/>
        <v>3.99</v>
      </c>
      <c r="I6" s="314">
        <f t="shared" si="8"/>
        <v>106.2</v>
      </c>
      <c r="J6" s="314">
        <f t="shared" si="9"/>
        <v>189.44919000000002</v>
      </c>
      <c r="K6" s="311"/>
      <c r="O6" t="str">
        <f>A5</f>
        <v>E. Toney</v>
      </c>
      <c r="P6" s="312">
        <f>E5</f>
        <v>18</v>
      </c>
      <c r="Q6" s="312">
        <f t="shared" ref="Q6:S6" si="17">F5</f>
        <v>18.100000000000001</v>
      </c>
      <c r="R6" s="312">
        <f t="shared" si="17"/>
        <v>4</v>
      </c>
      <c r="S6" s="312">
        <f t="shared" si="17"/>
        <v>4.99</v>
      </c>
      <c r="V6" s="163" t="str">
        <f t="shared" si="11"/>
        <v>E. Toney</v>
      </c>
      <c r="W6" s="312">
        <f t="shared" si="12"/>
        <v>18</v>
      </c>
      <c r="X6" s="312">
        <f t="shared" si="13"/>
        <v>18.100000000000001</v>
      </c>
      <c r="Y6" s="312">
        <f t="shared" si="14"/>
        <v>4</v>
      </c>
      <c r="Z6" s="312">
        <f t="shared" si="15"/>
        <v>4.99</v>
      </c>
    </row>
    <row r="7" spans="1:26" x14ac:dyDescent="0.25">
      <c r="A7" s="315" t="str">
        <f>PLANTILLA!D8</f>
        <v>F. Lasprilla</v>
      </c>
      <c r="B7" s="154">
        <f>PLANTILLA!E8</f>
        <v>32</v>
      </c>
      <c r="C7" s="154">
        <f>PLANTILLA!H8</f>
        <v>4</v>
      </c>
      <c r="D7" s="317">
        <f>PLANTILLA!I8</f>
        <v>6.3</v>
      </c>
      <c r="E7" s="310">
        <f t="shared" si="4"/>
        <v>6.3</v>
      </c>
      <c r="F7" s="310">
        <f t="shared" si="5"/>
        <v>6.3999999999999995</v>
      </c>
      <c r="G7" s="310">
        <f t="shared" si="6"/>
        <v>4</v>
      </c>
      <c r="H7" s="310">
        <f t="shared" si="7"/>
        <v>4.99</v>
      </c>
      <c r="I7" s="314">
        <f t="shared" si="8"/>
        <v>100.8</v>
      </c>
      <c r="J7" s="314">
        <f t="shared" si="9"/>
        <v>159.36063999999999</v>
      </c>
      <c r="K7" s="311"/>
      <c r="O7" t="str">
        <f>A10</f>
        <v>C. Rojas</v>
      </c>
      <c r="P7" s="312">
        <f>E10</f>
        <v>14.4</v>
      </c>
      <c r="Q7" s="312">
        <f t="shared" ref="Q7:S7" si="18">F10</f>
        <v>14.5</v>
      </c>
      <c r="R7" s="312">
        <f t="shared" si="18"/>
        <v>4</v>
      </c>
      <c r="S7" s="312">
        <f t="shared" si="18"/>
        <v>4.99</v>
      </c>
      <c r="V7" s="163" t="str">
        <f t="shared" si="11"/>
        <v>C. Rojas</v>
      </c>
      <c r="W7" s="312">
        <f t="shared" si="12"/>
        <v>14.4</v>
      </c>
      <c r="X7" s="312">
        <f t="shared" si="13"/>
        <v>14.5</v>
      </c>
      <c r="Y7" s="312">
        <f t="shared" si="14"/>
        <v>4</v>
      </c>
      <c r="Z7" s="312">
        <f t="shared" si="15"/>
        <v>4.99</v>
      </c>
    </row>
    <row r="8" spans="1:26" x14ac:dyDescent="0.25">
      <c r="A8" s="315" t="str">
        <f>PLANTILLA!D9</f>
        <v>E. Romweber</v>
      </c>
      <c r="B8" s="154">
        <f>PLANTILLA!E9</f>
        <v>35</v>
      </c>
      <c r="C8" s="154">
        <f>PLANTILLA!H9</f>
        <v>0</v>
      </c>
      <c r="D8" s="317">
        <f>PLANTILLA!I9</f>
        <v>17.100000000000001</v>
      </c>
      <c r="E8" s="310">
        <f t="shared" si="4"/>
        <v>17.100000000000001</v>
      </c>
      <c r="F8" s="310">
        <f t="shared" si="5"/>
        <v>17.200000000000003</v>
      </c>
      <c r="G8" s="310">
        <f t="shared" si="6"/>
        <v>0</v>
      </c>
      <c r="H8" s="310">
        <f t="shared" si="7"/>
        <v>0.99</v>
      </c>
      <c r="I8" s="314">
        <f t="shared" si="8"/>
        <v>0</v>
      </c>
      <c r="J8" s="314">
        <f t="shared" si="9"/>
        <v>16.857720000000004</v>
      </c>
      <c r="K8" s="311"/>
      <c r="O8" t="str">
        <f>A13</f>
        <v>I. Vanags</v>
      </c>
      <c r="P8" s="312">
        <f>E13</f>
        <v>0.4</v>
      </c>
      <c r="Q8" s="312">
        <f t="shared" ref="Q8:S8" si="19">F13</f>
        <v>0.5</v>
      </c>
      <c r="R8" s="312">
        <f t="shared" si="19"/>
        <v>4</v>
      </c>
      <c r="S8" s="312">
        <f t="shared" si="19"/>
        <v>4.99</v>
      </c>
      <c r="V8" s="163" t="str">
        <f t="shared" si="11"/>
        <v>I. Vanags</v>
      </c>
      <c r="W8" s="312">
        <f t="shared" si="12"/>
        <v>0.4</v>
      </c>
      <c r="X8" s="312">
        <f t="shared" si="13"/>
        <v>0.5</v>
      </c>
      <c r="Y8" s="312">
        <f t="shared" si="14"/>
        <v>4</v>
      </c>
      <c r="Z8" s="312">
        <f t="shared" si="15"/>
        <v>4.99</v>
      </c>
    </row>
    <row r="9" spans="1:26" x14ac:dyDescent="0.25">
      <c r="A9" s="315" t="str">
        <f>PLANTILLA!D10</f>
        <v>S. Buschelman</v>
      </c>
      <c r="B9" s="154">
        <f>PLANTILLA!E10</f>
        <v>34</v>
      </c>
      <c r="C9" s="154">
        <f>PLANTILLA!H10</f>
        <v>3</v>
      </c>
      <c r="D9" s="317">
        <f>PLANTILLA!I10</f>
        <v>14.8</v>
      </c>
      <c r="E9" s="310">
        <f t="shared" si="4"/>
        <v>14.8</v>
      </c>
      <c r="F9" s="310">
        <f t="shared" si="5"/>
        <v>14.9</v>
      </c>
      <c r="G9" s="310">
        <f t="shared" si="6"/>
        <v>3</v>
      </c>
      <c r="H9" s="310">
        <f t="shared" si="7"/>
        <v>3.99</v>
      </c>
      <c r="I9" s="314">
        <f t="shared" si="8"/>
        <v>133.20000000000002</v>
      </c>
      <c r="J9" s="314">
        <f t="shared" si="9"/>
        <v>237.20949000000002</v>
      </c>
      <c r="K9" s="311"/>
      <c r="O9" t="str">
        <f>A16</f>
        <v>M. Bondarewski</v>
      </c>
      <c r="P9" s="312">
        <f>E16</f>
        <v>1.6</v>
      </c>
      <c r="Q9" s="312">
        <f t="shared" ref="Q9:S9" si="20">F16</f>
        <v>1.7000000000000002</v>
      </c>
      <c r="R9" s="312">
        <f t="shared" si="20"/>
        <v>1</v>
      </c>
      <c r="S9" s="312">
        <f t="shared" si="20"/>
        <v>1.99</v>
      </c>
      <c r="V9" s="163" t="str">
        <f t="shared" si="11"/>
        <v>M. Bondarewski</v>
      </c>
      <c r="W9" s="312">
        <f t="shared" si="12"/>
        <v>1.6</v>
      </c>
      <c r="X9" s="312">
        <f t="shared" si="13"/>
        <v>1.7000000000000002</v>
      </c>
      <c r="Y9" s="312">
        <f t="shared" si="14"/>
        <v>1</v>
      </c>
      <c r="Z9" s="312">
        <f t="shared" si="15"/>
        <v>1.99</v>
      </c>
    </row>
    <row r="10" spans="1:26" x14ac:dyDescent="0.25">
      <c r="A10" s="315" t="str">
        <f>PLANTILLA!D11</f>
        <v>C. Rojas</v>
      </c>
      <c r="B10" s="154">
        <f>PLANTILLA!E11</f>
        <v>36</v>
      </c>
      <c r="C10" s="154">
        <f>PLANTILLA!H11</f>
        <v>4</v>
      </c>
      <c r="D10" s="317">
        <f>PLANTILLA!I11</f>
        <v>14.4</v>
      </c>
      <c r="E10" s="310">
        <f t="shared" si="4"/>
        <v>14.4</v>
      </c>
      <c r="F10" s="310">
        <f t="shared" si="5"/>
        <v>14.5</v>
      </c>
      <c r="G10" s="310">
        <f t="shared" si="6"/>
        <v>4</v>
      </c>
      <c r="H10" s="310">
        <f t="shared" si="7"/>
        <v>4.99</v>
      </c>
      <c r="I10" s="314">
        <f t="shared" si="8"/>
        <v>230.4</v>
      </c>
      <c r="J10" s="314">
        <f t="shared" si="9"/>
        <v>361.05145000000005</v>
      </c>
      <c r="K10" s="311"/>
      <c r="O10" t="str">
        <f>A14</f>
        <v>I. Stone</v>
      </c>
      <c r="P10" s="312">
        <f>E14</f>
        <v>1.2</v>
      </c>
      <c r="Q10" s="312">
        <f t="shared" ref="Q10:S10" si="21">F14</f>
        <v>1.3</v>
      </c>
      <c r="R10" s="312">
        <f t="shared" si="21"/>
        <v>6</v>
      </c>
      <c r="S10" s="312">
        <f t="shared" si="21"/>
        <v>6.99</v>
      </c>
      <c r="V10" s="163" t="str">
        <f t="shared" si="11"/>
        <v>I. Stone</v>
      </c>
      <c r="W10" s="312">
        <f t="shared" si="12"/>
        <v>1.2</v>
      </c>
      <c r="X10" s="312">
        <f t="shared" si="13"/>
        <v>1.3</v>
      </c>
      <c r="Y10" s="312">
        <f t="shared" si="14"/>
        <v>6</v>
      </c>
      <c r="Z10" s="312">
        <f t="shared" si="15"/>
        <v>6.99</v>
      </c>
    </row>
    <row r="11" spans="1:26" x14ac:dyDescent="0.25">
      <c r="A11" s="315" t="str">
        <f>PLANTILLA!D12</f>
        <v>E. Gross</v>
      </c>
      <c r="B11" s="154">
        <f>PLANTILLA!E12</f>
        <v>35</v>
      </c>
      <c r="C11" s="154">
        <f>PLANTILLA!H12</f>
        <v>3</v>
      </c>
      <c r="D11" s="317">
        <f>PLANTILLA!I12</f>
        <v>13.1</v>
      </c>
      <c r="E11" s="310">
        <f t="shared" si="4"/>
        <v>13.1</v>
      </c>
      <c r="F11" s="310">
        <f t="shared" si="5"/>
        <v>13.2</v>
      </c>
      <c r="G11" s="310">
        <f t="shared" si="6"/>
        <v>3</v>
      </c>
      <c r="H11" s="310">
        <f t="shared" si="7"/>
        <v>3.99</v>
      </c>
      <c r="I11" s="314">
        <f t="shared" si="8"/>
        <v>117.89999999999999</v>
      </c>
      <c r="J11" s="314">
        <f t="shared" si="9"/>
        <v>210.14532</v>
      </c>
      <c r="K11" s="311"/>
      <c r="O11" t="str">
        <f>A11</f>
        <v>E. Gross</v>
      </c>
      <c r="P11" s="312">
        <f>E11</f>
        <v>13.1</v>
      </c>
      <c r="Q11" s="312">
        <f t="shared" ref="Q11:S11" si="22">F11</f>
        <v>13.2</v>
      </c>
      <c r="R11" s="312">
        <f t="shared" si="22"/>
        <v>3</v>
      </c>
      <c r="S11" s="312">
        <f t="shared" si="22"/>
        <v>3.99</v>
      </c>
      <c r="V11" s="163" t="str">
        <f t="shared" si="11"/>
        <v>E. Gross</v>
      </c>
      <c r="W11" s="312">
        <f t="shared" si="12"/>
        <v>13.1</v>
      </c>
      <c r="X11" s="312">
        <f t="shared" si="13"/>
        <v>13.2</v>
      </c>
      <c r="Y11" s="312">
        <f t="shared" si="14"/>
        <v>3</v>
      </c>
      <c r="Z11" s="312">
        <f t="shared" si="15"/>
        <v>3.99</v>
      </c>
    </row>
    <row r="12" spans="1:26" x14ac:dyDescent="0.25">
      <c r="A12" s="315" t="str">
        <f>PLANTILLA!D13</f>
        <v>W. Gelifini</v>
      </c>
      <c r="B12" s="154">
        <f>PLANTILLA!E13</f>
        <v>33</v>
      </c>
      <c r="C12" s="154">
        <f>PLANTILLA!H13</f>
        <v>2</v>
      </c>
      <c r="D12" s="317">
        <f>PLANTILLA!I13</f>
        <v>4.5</v>
      </c>
      <c r="E12" s="310">
        <f t="shared" si="4"/>
        <v>4.5</v>
      </c>
      <c r="F12" s="310">
        <f t="shared" si="5"/>
        <v>4.5999999999999996</v>
      </c>
      <c r="G12" s="310">
        <f t="shared" si="6"/>
        <v>2</v>
      </c>
      <c r="H12" s="310">
        <f t="shared" si="7"/>
        <v>2.99</v>
      </c>
      <c r="I12" s="314">
        <f t="shared" si="8"/>
        <v>18</v>
      </c>
      <c r="J12" s="314">
        <f t="shared" si="9"/>
        <v>41.124459999999999</v>
      </c>
      <c r="K12" s="311"/>
      <c r="O12" t="str">
        <f>A21</f>
        <v>P. Tuderek</v>
      </c>
      <c r="P12" s="312">
        <f>E21</f>
        <v>0.6</v>
      </c>
      <c r="Q12" s="312">
        <f t="shared" ref="Q12:S12" si="23">F21</f>
        <v>0.7</v>
      </c>
      <c r="R12" s="312">
        <f t="shared" si="23"/>
        <v>4</v>
      </c>
      <c r="S12" s="312">
        <f t="shared" si="23"/>
        <v>4.99</v>
      </c>
      <c r="V12" s="163" t="str">
        <f t="shared" si="11"/>
        <v>P. Tuderek</v>
      </c>
      <c r="W12" s="312">
        <f t="shared" si="12"/>
        <v>0.6</v>
      </c>
      <c r="X12" s="312">
        <f t="shared" si="13"/>
        <v>0.7</v>
      </c>
      <c r="Y12" s="312">
        <f t="shared" si="14"/>
        <v>4</v>
      </c>
      <c r="Z12" s="312">
        <f t="shared" si="15"/>
        <v>4.99</v>
      </c>
    </row>
    <row r="13" spans="1:26" x14ac:dyDescent="0.25">
      <c r="A13" s="315" t="str">
        <f>PLANTILLA!D14</f>
        <v>I. Vanags</v>
      </c>
      <c r="B13" s="154">
        <f>PLANTILLA!E14</f>
        <v>18</v>
      </c>
      <c r="C13" s="154">
        <f>PLANTILLA!H14</f>
        <v>4</v>
      </c>
      <c r="D13" s="317">
        <f>PLANTILLA!I14</f>
        <v>0.4</v>
      </c>
      <c r="E13" s="310">
        <f t="shared" si="4"/>
        <v>0.4</v>
      </c>
      <c r="F13" s="310">
        <f t="shared" si="5"/>
        <v>0.5</v>
      </c>
      <c r="G13" s="310">
        <f t="shared" si="6"/>
        <v>4</v>
      </c>
      <c r="H13" s="310">
        <f t="shared" si="7"/>
        <v>4.99</v>
      </c>
      <c r="I13" s="314">
        <f t="shared" si="8"/>
        <v>6.4</v>
      </c>
      <c r="J13" s="314">
        <f t="shared" si="9"/>
        <v>12.450050000000001</v>
      </c>
      <c r="K13" s="311"/>
      <c r="O13" t="str">
        <f>A20</f>
        <v>N. Janbu</v>
      </c>
      <c r="P13" s="312">
        <f>E20</f>
        <v>0.5</v>
      </c>
      <c r="Q13" s="312">
        <f t="shared" ref="Q13:S13" si="24">F20</f>
        <v>0.6</v>
      </c>
      <c r="R13" s="312">
        <f t="shared" si="24"/>
        <v>5</v>
      </c>
      <c r="S13" s="312">
        <f t="shared" si="24"/>
        <v>5.99</v>
      </c>
      <c r="V13" s="163" t="str">
        <f t="shared" si="11"/>
        <v>N. Janbu</v>
      </c>
      <c r="W13" s="312">
        <f t="shared" si="12"/>
        <v>0.5</v>
      </c>
      <c r="X13" s="312">
        <f t="shared" si="13"/>
        <v>0.6</v>
      </c>
      <c r="Y13" s="312">
        <f t="shared" si="14"/>
        <v>5</v>
      </c>
      <c r="Z13" s="312">
        <f t="shared" si="15"/>
        <v>5.99</v>
      </c>
    </row>
    <row r="14" spans="1:26" x14ac:dyDescent="0.25">
      <c r="A14" s="591" t="str">
        <f>PLANTILLA!D15</f>
        <v>I. Stone</v>
      </c>
      <c r="B14" s="592">
        <f>PLANTILLA!E15</f>
        <v>18</v>
      </c>
      <c r="C14" s="592">
        <f>PLANTILLA!H15</f>
        <v>6</v>
      </c>
      <c r="D14" s="593">
        <f>PLANTILLA!I15</f>
        <v>1.2</v>
      </c>
      <c r="E14" s="594">
        <f t="shared" si="4"/>
        <v>1.2</v>
      </c>
      <c r="F14" s="594">
        <f t="shared" si="5"/>
        <v>1.3</v>
      </c>
      <c r="G14" s="594">
        <f t="shared" si="6"/>
        <v>6</v>
      </c>
      <c r="H14" s="594">
        <f t="shared" si="7"/>
        <v>6.99</v>
      </c>
      <c r="I14" s="595">
        <f t="shared" si="8"/>
        <v>43.199999999999996</v>
      </c>
      <c r="J14" s="595">
        <f t="shared" si="9"/>
        <v>63.518130000000006</v>
      </c>
      <c r="K14" s="311"/>
      <c r="P14" s="148">
        <f>SUM(P4:P13)/10</f>
        <v>5.7900000000000009</v>
      </c>
      <c r="Q14" s="148">
        <f>SUM(Q4:Q13)/10</f>
        <v>5.89</v>
      </c>
      <c r="R14" s="148"/>
      <c r="S14" s="148"/>
      <c r="W14" s="148">
        <f>SUM(W4:W13)/10</f>
        <v>5.7900000000000009</v>
      </c>
      <c r="X14" s="148">
        <f>SUM(X4:X13)/10</f>
        <v>5.89</v>
      </c>
      <c r="Y14" s="148"/>
      <c r="Z14" s="148"/>
    </row>
    <row r="15" spans="1:26" x14ac:dyDescent="0.25">
      <c r="A15" s="315" t="str">
        <f>PLANTILLA!D16</f>
        <v>G. Piscaer</v>
      </c>
      <c r="B15" s="154">
        <f>PLANTILLA!E16</f>
        <v>18</v>
      </c>
      <c r="C15" s="154">
        <f>PLANTILLA!H16</f>
        <v>1</v>
      </c>
      <c r="D15" s="317">
        <f>PLANTILLA!I16</f>
        <v>1.8</v>
      </c>
      <c r="E15" s="310">
        <f t="shared" si="4"/>
        <v>1.8</v>
      </c>
      <c r="F15" s="310">
        <f t="shared" si="5"/>
        <v>1.9000000000000001</v>
      </c>
      <c r="G15" s="310">
        <f t="shared" si="6"/>
        <v>1</v>
      </c>
      <c r="H15" s="310">
        <f t="shared" si="7"/>
        <v>1.99</v>
      </c>
      <c r="I15" s="314">
        <f t="shared" si="8"/>
        <v>1.8</v>
      </c>
      <c r="J15" s="314">
        <f t="shared" si="9"/>
        <v>7.5241900000000008</v>
      </c>
      <c r="K15" s="311"/>
    </row>
    <row r="16" spans="1:26" x14ac:dyDescent="0.25">
      <c r="A16" s="315" t="str">
        <f>PLANTILLA!D17</f>
        <v>M. Bondarewski</v>
      </c>
      <c r="B16" s="154">
        <f>PLANTILLA!E17</f>
        <v>18</v>
      </c>
      <c r="C16" s="154">
        <f>PLANTILLA!H17</f>
        <v>1</v>
      </c>
      <c r="D16" s="317">
        <f>PLANTILLA!I17</f>
        <v>1.6</v>
      </c>
      <c r="E16" s="310">
        <f t="shared" si="4"/>
        <v>1.6</v>
      </c>
      <c r="F16" s="310">
        <f t="shared" si="5"/>
        <v>1.7000000000000002</v>
      </c>
      <c r="G16" s="310">
        <f t="shared" si="6"/>
        <v>1</v>
      </c>
      <c r="H16" s="310">
        <f t="shared" si="7"/>
        <v>1.99</v>
      </c>
      <c r="I16" s="314">
        <f t="shared" si="8"/>
        <v>1.6</v>
      </c>
      <c r="J16" s="314">
        <f t="shared" si="9"/>
        <v>6.7321700000000009</v>
      </c>
      <c r="K16" s="311"/>
      <c r="L16" s="166" t="s">
        <v>426</v>
      </c>
      <c r="O16" t="s">
        <v>427</v>
      </c>
      <c r="P16" s="233">
        <f>SUM(P3:P13)</f>
        <v>81.599999999999994</v>
      </c>
      <c r="Q16" s="233">
        <f>SUM(Q3:Q13)</f>
        <v>82.7</v>
      </c>
      <c r="R16" s="233"/>
      <c r="V16" s="163" t="s">
        <v>427</v>
      </c>
      <c r="W16" s="233">
        <f>SUM(W3:W13)</f>
        <v>81.599999999999994</v>
      </c>
      <c r="X16" s="233">
        <f>SUM(X3:X13)</f>
        <v>82.7</v>
      </c>
      <c r="Y16" s="233"/>
    </row>
    <row r="17" spans="1:25" x14ac:dyDescent="0.25">
      <c r="A17" s="315" t="str">
        <f>PLANTILLA!D18</f>
        <v>J. Vartiainen</v>
      </c>
      <c r="B17" s="154">
        <f>PLANTILLA!E18</f>
        <v>19</v>
      </c>
      <c r="C17" s="154">
        <f>PLANTILLA!H18</f>
        <v>4</v>
      </c>
      <c r="D17" s="317">
        <f>PLANTILLA!I18</f>
        <v>0.3</v>
      </c>
      <c r="E17" s="310">
        <f t="shared" si="4"/>
        <v>0.3</v>
      </c>
      <c r="F17" s="310">
        <f t="shared" si="5"/>
        <v>0.4</v>
      </c>
      <c r="G17" s="310">
        <f t="shared" si="6"/>
        <v>4</v>
      </c>
      <c r="H17" s="310">
        <f t="shared" si="7"/>
        <v>4.99</v>
      </c>
      <c r="I17" s="314">
        <f t="shared" si="8"/>
        <v>4.8</v>
      </c>
      <c r="J17" s="314">
        <f t="shared" si="9"/>
        <v>9.9600400000000011</v>
      </c>
      <c r="K17" s="311"/>
      <c r="O17" s="285" t="s">
        <v>696</v>
      </c>
      <c r="P17" s="148">
        <f>P16/16.5</f>
        <v>4.9454545454545453</v>
      </c>
      <c r="Q17" s="148">
        <f>Q16/16.5</f>
        <v>5.0121212121212126</v>
      </c>
      <c r="R17" s="148"/>
      <c r="V17" s="163" t="s">
        <v>428</v>
      </c>
      <c r="W17" s="148">
        <f>W16/17</f>
        <v>4.8</v>
      </c>
      <c r="X17" s="148">
        <f>X16/17</f>
        <v>4.8647058823529417</v>
      </c>
      <c r="Y17" s="148"/>
    </row>
    <row r="18" spans="1:25" x14ac:dyDescent="0.25">
      <c r="A18" s="315" t="str">
        <f>PLANTILLA!D19</f>
        <v>R. Forsyth</v>
      </c>
      <c r="B18" s="154">
        <f>PLANTILLA!E19</f>
        <v>19</v>
      </c>
      <c r="C18" s="154">
        <f>PLANTILLA!H19</f>
        <v>4</v>
      </c>
      <c r="D18" s="317">
        <f>PLANTILLA!I19</f>
        <v>1.8</v>
      </c>
      <c r="E18" s="310">
        <f t="shared" si="4"/>
        <v>1.8</v>
      </c>
      <c r="F18" s="310">
        <f t="shared" si="5"/>
        <v>1.9000000000000001</v>
      </c>
      <c r="G18" s="310">
        <f t="shared" si="6"/>
        <v>4</v>
      </c>
      <c r="H18" s="310">
        <f t="shared" si="7"/>
        <v>4.99</v>
      </c>
      <c r="I18" s="314">
        <f t="shared" si="8"/>
        <v>28.8</v>
      </c>
      <c r="J18" s="314">
        <f t="shared" si="9"/>
        <v>47.310190000000006</v>
      </c>
      <c r="K18" s="311"/>
      <c r="L18" s="166" t="s">
        <v>429</v>
      </c>
      <c r="O18" s="219" t="s">
        <v>430</v>
      </c>
      <c r="P18" s="233">
        <f>R3^2</f>
        <v>36</v>
      </c>
      <c r="Q18" s="233">
        <f>S3^2</f>
        <v>48.860100000000003</v>
      </c>
      <c r="R18" s="233"/>
      <c r="V18" s="163" t="s">
        <v>430</v>
      </c>
      <c r="W18" s="233">
        <f>Y3^2</f>
        <v>36</v>
      </c>
      <c r="X18" s="233">
        <f>Z3^2</f>
        <v>48.860100000000003</v>
      </c>
      <c r="Y18" s="233"/>
    </row>
    <row r="19" spans="1:25" x14ac:dyDescent="0.25">
      <c r="A19" s="315" t="str">
        <f>PLANTILLA!D20</f>
        <v>K. Nelson</v>
      </c>
      <c r="B19" s="154">
        <f>PLANTILLA!E20</f>
        <v>19</v>
      </c>
      <c r="C19" s="154">
        <f>PLANTILLA!H20</f>
        <v>4</v>
      </c>
      <c r="D19" s="317">
        <f>PLANTILLA!I20</f>
        <v>1.8</v>
      </c>
      <c r="E19" s="310">
        <f t="shared" si="4"/>
        <v>1.8</v>
      </c>
      <c r="F19" s="310">
        <f t="shared" si="5"/>
        <v>1.9000000000000001</v>
      </c>
      <c r="G19" s="310">
        <f t="shared" si="6"/>
        <v>4</v>
      </c>
      <c r="H19" s="310">
        <f t="shared" si="7"/>
        <v>4.99</v>
      </c>
      <c r="I19" s="314">
        <f t="shared" si="8"/>
        <v>28.8</v>
      </c>
      <c r="J19" s="314">
        <f t="shared" si="9"/>
        <v>47.310190000000006</v>
      </c>
      <c r="K19" s="311"/>
      <c r="L19" s="166" t="s">
        <v>431</v>
      </c>
      <c r="O19" s="219" t="s">
        <v>432</v>
      </c>
      <c r="P19" s="233">
        <f>P18*P3</f>
        <v>853.19999999999993</v>
      </c>
      <c r="Q19" s="233">
        <f>Q18*Q3</f>
        <v>1162.8703800000001</v>
      </c>
      <c r="R19" s="233"/>
      <c r="V19" s="163" t="s">
        <v>432</v>
      </c>
      <c r="W19" s="233">
        <f>W18*W3</f>
        <v>853.19999999999993</v>
      </c>
      <c r="X19" s="233">
        <f>X18*X3</f>
        <v>1162.8703800000001</v>
      </c>
      <c r="Y19" s="233"/>
    </row>
    <row r="20" spans="1:25" x14ac:dyDescent="0.25">
      <c r="A20" s="315" t="str">
        <f>PLANTILLA!D21</f>
        <v>N. Janbu</v>
      </c>
      <c r="B20" s="154">
        <f>PLANTILLA!E21</f>
        <v>18</v>
      </c>
      <c r="C20" s="154">
        <f>PLANTILLA!H21</f>
        <v>5</v>
      </c>
      <c r="D20" s="317">
        <f>PLANTILLA!I21</f>
        <v>0.5</v>
      </c>
      <c r="E20" s="310">
        <f t="shared" si="4"/>
        <v>0.5</v>
      </c>
      <c r="F20" s="310">
        <f t="shared" si="5"/>
        <v>0.6</v>
      </c>
      <c r="G20" s="310">
        <f t="shared" si="6"/>
        <v>5</v>
      </c>
      <c r="H20" s="310">
        <f t="shared" si="7"/>
        <v>5.99</v>
      </c>
      <c r="I20" s="314">
        <f t="shared" si="8"/>
        <v>12.5</v>
      </c>
      <c r="J20" s="314">
        <f t="shared" si="9"/>
        <v>21.528060000000004</v>
      </c>
      <c r="K20" s="311"/>
      <c r="L20" s="166" t="s">
        <v>433</v>
      </c>
      <c r="O20" s="285" t="s">
        <v>697</v>
      </c>
      <c r="P20" s="148">
        <f>(P19^(2/3))/27</f>
        <v>3.331732564718342</v>
      </c>
      <c r="Q20" s="148">
        <f>(Q19^(2/3))/27</f>
        <v>4.0956588516953847</v>
      </c>
      <c r="R20" s="148"/>
      <c r="V20" s="163" t="s">
        <v>434</v>
      </c>
      <c r="W20" s="148">
        <f>(W19^(2/3))/30</f>
        <v>2.9985593082465076</v>
      </c>
      <c r="X20" s="148">
        <f>(X19^(2/3))/30</f>
        <v>3.6860929665258464</v>
      </c>
      <c r="Y20" s="148"/>
    </row>
    <row r="21" spans="1:25" x14ac:dyDescent="0.25">
      <c r="A21" s="315" t="str">
        <f>PLANTILLA!D22</f>
        <v>P. Tuderek</v>
      </c>
      <c r="B21" s="154">
        <f>PLANTILLA!E22</f>
        <v>18</v>
      </c>
      <c r="C21" s="154">
        <f>PLANTILLA!H22</f>
        <v>4</v>
      </c>
      <c r="D21" s="317">
        <f>PLANTILLA!I22</f>
        <v>0.6</v>
      </c>
      <c r="E21" s="310">
        <f t="shared" si="4"/>
        <v>0.6</v>
      </c>
      <c r="F21" s="310">
        <f t="shared" si="5"/>
        <v>0.7</v>
      </c>
      <c r="G21" s="310">
        <f t="shared" si="6"/>
        <v>4</v>
      </c>
      <c r="H21" s="310">
        <f t="shared" si="7"/>
        <v>4.99</v>
      </c>
      <c r="I21" s="314">
        <f t="shared" si="8"/>
        <v>9.6</v>
      </c>
      <c r="J21" s="314">
        <f t="shared" si="9"/>
        <v>17.430070000000001</v>
      </c>
      <c r="K21" s="311"/>
      <c r="L21" s="166" t="s">
        <v>435</v>
      </c>
      <c r="O21" s="163" t="s">
        <v>436</v>
      </c>
      <c r="P21" s="564">
        <f>P17+P20</f>
        <v>8.2771871101728873</v>
      </c>
      <c r="Q21" s="564">
        <f>Q17+Q20</f>
        <v>9.1077800638165982</v>
      </c>
      <c r="V21" s="163" t="s">
        <v>436</v>
      </c>
      <c r="W21" s="564">
        <f>W17+W20</f>
        <v>7.7985593082465074</v>
      </c>
      <c r="X21" s="564">
        <f>X17+X20</f>
        <v>8.550798848878788</v>
      </c>
    </row>
    <row r="22" spans="1:25" x14ac:dyDescent="0.25">
      <c r="A22" s="315" t="str">
        <f>PLANTILLA!D23</f>
        <v>R. Scheidecker</v>
      </c>
      <c r="B22" s="154">
        <f>PLANTILLA!E23</f>
        <v>18</v>
      </c>
      <c r="C22" s="154">
        <f>PLANTILLA!H23</f>
        <v>4</v>
      </c>
      <c r="D22" s="317">
        <f>PLANTILLA!I23</f>
        <v>0.5</v>
      </c>
      <c r="E22" s="310">
        <f t="shared" si="4"/>
        <v>0.5</v>
      </c>
      <c r="F22" s="310">
        <f t="shared" si="5"/>
        <v>0.6</v>
      </c>
      <c r="G22" s="310">
        <f t="shared" si="6"/>
        <v>4</v>
      </c>
      <c r="H22" s="310">
        <f t="shared" si="7"/>
        <v>4.99</v>
      </c>
      <c r="I22" s="314">
        <f t="shared" si="8"/>
        <v>8</v>
      </c>
      <c r="J22" s="314">
        <f t="shared" si="9"/>
        <v>14.940060000000001</v>
      </c>
      <c r="K22" s="311"/>
      <c r="L22" t="s">
        <v>437</v>
      </c>
    </row>
    <row r="23" spans="1:25" x14ac:dyDescent="0.25">
      <c r="A23" s="315" t="str">
        <f>PLANTILLA!D24</f>
        <v>K. Helms</v>
      </c>
      <c r="B23" s="154">
        <f>PLANTILLA!E24</f>
        <v>35</v>
      </c>
      <c r="C23" s="154">
        <f>PLANTILLA!H24</f>
        <v>2</v>
      </c>
      <c r="D23" s="317">
        <f>PLANTILLA!I24</f>
        <v>13.5</v>
      </c>
      <c r="E23" s="310">
        <f t="shared" si="4"/>
        <v>13.5</v>
      </c>
      <c r="F23" s="310">
        <f t="shared" si="5"/>
        <v>13.6</v>
      </c>
      <c r="G23" s="310">
        <f t="shared" si="6"/>
        <v>2</v>
      </c>
      <c r="H23" s="310">
        <f t="shared" si="7"/>
        <v>2.99</v>
      </c>
      <c r="I23" s="314">
        <f t="shared" si="8"/>
        <v>54</v>
      </c>
      <c r="J23" s="314">
        <f t="shared" si="9"/>
        <v>121.58536000000001</v>
      </c>
      <c r="K23" s="311"/>
      <c r="O23" s="258">
        <v>42576</v>
      </c>
      <c r="P23">
        <v>6.76</v>
      </c>
      <c r="Q23">
        <v>6.99</v>
      </c>
      <c r="R23" t="s">
        <v>661</v>
      </c>
      <c r="W23" s="148"/>
    </row>
    <row r="24" spans="1:25" x14ac:dyDescent="0.25">
      <c r="A24" s="315" t="str">
        <f>PLANTILLA!D25</f>
        <v>S. Zobbe</v>
      </c>
      <c r="B24" s="154">
        <f>PLANTILLA!E25</f>
        <v>32</v>
      </c>
      <c r="C24" s="154">
        <f>PLANTILLA!H25</f>
        <v>2</v>
      </c>
      <c r="D24" s="317">
        <f>PLANTILLA!I25</f>
        <v>13</v>
      </c>
      <c r="E24" s="310">
        <f t="shared" si="4"/>
        <v>13</v>
      </c>
      <c r="F24" s="310">
        <f t="shared" si="5"/>
        <v>13.1</v>
      </c>
      <c r="G24" s="310">
        <f t="shared" si="6"/>
        <v>2</v>
      </c>
      <c r="H24" s="310">
        <f t="shared" si="7"/>
        <v>2.99</v>
      </c>
      <c r="I24" s="314">
        <f t="shared" si="8"/>
        <v>52</v>
      </c>
      <c r="J24" s="314">
        <f t="shared" si="9"/>
        <v>117.11531000000001</v>
      </c>
    </row>
    <row r="25" spans="1:25" x14ac:dyDescent="0.25">
      <c r="A25" s="315" t="str">
        <f>PLANTILLA!D26</f>
        <v>L. Bauman</v>
      </c>
      <c r="B25" s="154">
        <f>PLANTILLA!E26</f>
        <v>35</v>
      </c>
      <c r="C25" s="154">
        <f>PLANTILLA!H26</f>
        <v>0</v>
      </c>
      <c r="D25" s="317">
        <f>PLANTILLA!I26</f>
        <v>12</v>
      </c>
      <c r="E25" s="310">
        <f t="shared" si="4"/>
        <v>12</v>
      </c>
      <c r="F25" s="310">
        <f t="shared" si="5"/>
        <v>12.1</v>
      </c>
      <c r="G25" s="310">
        <f t="shared" si="6"/>
        <v>0</v>
      </c>
      <c r="H25" s="310">
        <f t="shared" si="7"/>
        <v>0.99</v>
      </c>
      <c r="I25" s="314">
        <f t="shared" si="8"/>
        <v>0</v>
      </c>
      <c r="J25" s="314">
        <f t="shared" si="9"/>
        <v>11.859209999999999</v>
      </c>
      <c r="V25"/>
    </row>
    <row r="26" spans="1:25" x14ac:dyDescent="0.25">
      <c r="A26" s="315" t="str">
        <f>PLANTILLA!D27</f>
        <v>J. Limon</v>
      </c>
      <c r="B26" s="154">
        <f>PLANTILLA!E27</f>
        <v>34</v>
      </c>
      <c r="C26" s="154">
        <f>PLANTILLA!H27</f>
        <v>3</v>
      </c>
      <c r="D26" s="317">
        <f>PLANTILLA!I27</f>
        <v>14.3</v>
      </c>
      <c r="E26" s="310">
        <f t="shared" si="4"/>
        <v>14.3</v>
      </c>
      <c r="F26" s="310">
        <f t="shared" si="5"/>
        <v>14.4</v>
      </c>
      <c r="G26" s="310">
        <f t="shared" si="6"/>
        <v>3</v>
      </c>
      <c r="H26" s="310">
        <f t="shared" si="7"/>
        <v>3.99</v>
      </c>
      <c r="I26" s="314">
        <f t="shared" si="8"/>
        <v>128.70000000000002</v>
      </c>
      <c r="J26" s="314">
        <f t="shared" si="9"/>
        <v>229.24944000000002</v>
      </c>
      <c r="V26"/>
    </row>
    <row r="27" spans="1:25" x14ac:dyDescent="0.25">
      <c r="A27" s="315" t="str">
        <f>PLANTILLA!D28</f>
        <v>P .Trivadi</v>
      </c>
      <c r="B27" s="154">
        <f>PLANTILLA!E28</f>
        <v>31</v>
      </c>
      <c r="C27" s="154">
        <f>PLANTILLA!H28</f>
        <v>5</v>
      </c>
      <c r="D27" s="317">
        <f>PLANTILLA!I28</f>
        <v>6.2</v>
      </c>
      <c r="E27" s="310">
        <f t="shared" si="4"/>
        <v>6.2</v>
      </c>
      <c r="F27" s="310">
        <f t="shared" si="5"/>
        <v>6.3</v>
      </c>
      <c r="G27" s="310">
        <f t="shared" si="6"/>
        <v>5</v>
      </c>
      <c r="H27" s="310">
        <f t="shared" si="7"/>
        <v>5.99</v>
      </c>
      <c r="I27" s="314">
        <f t="shared" si="8"/>
        <v>155</v>
      </c>
      <c r="J27" s="314">
        <f t="shared" si="9"/>
        <v>226.04463000000004</v>
      </c>
      <c r="V27"/>
    </row>
  </sheetData>
  <conditionalFormatting sqref="I3:J27">
    <cfRule type="cellIs" dxfId="147" priority="1" operator="between">
      <formula>70</formula>
      <formula>100</formula>
    </cfRule>
    <cfRule type="cellIs" dxfId="146" priority="2" operator="greaterThan">
      <formula>100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D8" sqref="D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354" bestFit="1" customWidth="1"/>
    <col min="14" max="14" width="21.5703125" style="354" bestFit="1" customWidth="1"/>
    <col min="15" max="15" width="14" style="395" bestFit="1" customWidth="1"/>
    <col min="16" max="16" width="13" style="354" bestFit="1" customWidth="1"/>
    <col min="17" max="17" width="10.42578125" style="354" bestFit="1" customWidth="1"/>
    <col min="18" max="18" width="10.28515625" style="354" bestFit="1" customWidth="1"/>
    <col min="19" max="19" width="21" style="354" bestFit="1" customWidth="1"/>
    <col min="20" max="20" width="12" style="354" bestFit="1" customWidth="1"/>
    <col min="21" max="21" width="16.85546875" style="354" bestFit="1" customWidth="1"/>
    <col min="22" max="22" width="16.7109375" bestFit="1" customWidth="1"/>
  </cols>
  <sheetData>
    <row r="1" spans="1:22" x14ac:dyDescent="0.25">
      <c r="A1" s="266" t="s">
        <v>357</v>
      </c>
      <c r="B1" s="266" t="s">
        <v>247</v>
      </c>
      <c r="C1" s="267" t="s">
        <v>382</v>
      </c>
      <c r="D1" s="268" t="s">
        <v>174</v>
      </c>
      <c r="E1" s="266" t="s">
        <v>175</v>
      </c>
      <c r="F1" s="266" t="s">
        <v>177</v>
      </c>
      <c r="G1" s="266" t="s">
        <v>178</v>
      </c>
      <c r="H1" s="266" t="s">
        <v>170</v>
      </c>
      <c r="I1" s="269" t="s">
        <v>250</v>
      </c>
      <c r="J1" s="269" t="s">
        <v>251</v>
      </c>
      <c r="K1" s="266" t="s">
        <v>176</v>
      </c>
      <c r="L1" s="266" t="s">
        <v>193</v>
      </c>
      <c r="M1" s="355" t="s">
        <v>461</v>
      </c>
      <c r="N1" s="355" t="s">
        <v>462</v>
      </c>
      <c r="O1" s="355" t="s">
        <v>508</v>
      </c>
      <c r="P1" s="355" t="s">
        <v>459</v>
      </c>
      <c r="Q1" s="355" t="s">
        <v>465</v>
      </c>
      <c r="R1" s="355" t="s">
        <v>466</v>
      </c>
      <c r="S1" s="355" t="s">
        <v>460</v>
      </c>
      <c r="T1" s="355" t="s">
        <v>439</v>
      </c>
      <c r="U1" s="355" t="s">
        <v>463</v>
      </c>
      <c r="V1" s="355" t="s">
        <v>464</v>
      </c>
    </row>
    <row r="2" spans="1:22" x14ac:dyDescent="0.25">
      <c r="A2" s="265"/>
      <c r="B2" s="265" t="s">
        <v>367</v>
      </c>
      <c r="C2" s="265"/>
      <c r="D2" s="261" t="s">
        <v>344</v>
      </c>
      <c r="E2" s="192">
        <v>42</v>
      </c>
      <c r="F2" s="230" t="s">
        <v>410</v>
      </c>
      <c r="G2" s="325">
        <v>3</v>
      </c>
      <c r="H2" s="195">
        <v>16.004000000000001</v>
      </c>
      <c r="I2" s="270">
        <f>(G2)*(G2)*(H2)</f>
        <v>144.036</v>
      </c>
      <c r="J2" s="270">
        <f>(G2+1)*(G2+1)*H2</f>
        <v>256.06400000000002</v>
      </c>
      <c r="K2" s="262">
        <v>0</v>
      </c>
      <c r="L2" s="262">
        <v>300</v>
      </c>
      <c r="M2" s="356">
        <v>41576</v>
      </c>
      <c r="N2" s="356">
        <v>41731</v>
      </c>
      <c r="O2" s="356">
        <v>42305</v>
      </c>
      <c r="P2" s="203">
        <v>772000</v>
      </c>
      <c r="Q2" s="203">
        <f>((N2-M2)/7)*L2</f>
        <v>6642.8571428571431</v>
      </c>
      <c r="R2" s="203">
        <f ca="1">((TODAY()-N2)/7)*L2</f>
        <v>81557.142857142855</v>
      </c>
      <c r="S2" s="203">
        <v>2068800</v>
      </c>
      <c r="T2" s="203">
        <f ca="1">S2+Q2+P2+R2</f>
        <v>2929000</v>
      </c>
      <c r="U2" s="208">
        <f ca="1">T2/((O2-N2)/112)</f>
        <v>571512.19512195117</v>
      </c>
      <c r="V2" s="152">
        <f>(O2-N2)/112</f>
        <v>5.125</v>
      </c>
    </row>
    <row r="3" spans="1:22" x14ac:dyDescent="0.25">
      <c r="A3" s="266" t="s">
        <v>357</v>
      </c>
      <c r="B3" s="266" t="s">
        <v>247</v>
      </c>
      <c r="C3" s="267" t="s">
        <v>382</v>
      </c>
      <c r="D3" s="268" t="s">
        <v>174</v>
      </c>
      <c r="E3" s="266" t="s">
        <v>175</v>
      </c>
      <c r="F3" s="266" t="s">
        <v>177</v>
      </c>
      <c r="G3" s="266" t="s">
        <v>178</v>
      </c>
      <c r="H3" s="266" t="s">
        <v>170</v>
      </c>
      <c r="I3" s="269" t="s">
        <v>250</v>
      </c>
      <c r="J3" s="269" t="s">
        <v>251</v>
      </c>
      <c r="K3" s="266" t="s">
        <v>176</v>
      </c>
      <c r="L3" s="266" t="s">
        <v>193</v>
      </c>
      <c r="M3" s="355" t="s">
        <v>461</v>
      </c>
      <c r="N3" s="355" t="s">
        <v>462</v>
      </c>
      <c r="O3" s="355" t="s">
        <v>508</v>
      </c>
      <c r="P3" s="355" t="s">
        <v>459</v>
      </c>
      <c r="Q3" s="355" t="s">
        <v>465</v>
      </c>
      <c r="R3" s="355" t="s">
        <v>466</v>
      </c>
      <c r="S3" s="355" t="s">
        <v>460</v>
      </c>
      <c r="T3" s="355" t="s">
        <v>439</v>
      </c>
      <c r="U3" s="355" t="s">
        <v>463</v>
      </c>
      <c r="V3" s="355" t="s">
        <v>464</v>
      </c>
    </row>
    <row r="4" spans="1:22" x14ac:dyDescent="0.25">
      <c r="A4" s="265"/>
      <c r="B4" s="265" t="s">
        <v>367</v>
      </c>
      <c r="C4" s="265"/>
      <c r="D4" s="261" t="s">
        <v>443</v>
      </c>
      <c r="E4" s="192">
        <v>44</v>
      </c>
      <c r="F4" s="230" t="s">
        <v>410</v>
      </c>
      <c r="G4" s="325">
        <v>5</v>
      </c>
      <c r="H4" s="195">
        <v>16.109000000000002</v>
      </c>
      <c r="I4" s="270">
        <f t="shared" ref="I4" si="0">(G4)*(G4)*(H4)</f>
        <v>402.72500000000002</v>
      </c>
      <c r="J4" s="270">
        <f t="shared" ref="J4" si="1">(G4+1)*(G4+1)*H4</f>
        <v>579.92400000000009</v>
      </c>
      <c r="K4" s="262">
        <v>0</v>
      </c>
      <c r="L4" s="262">
        <v>300</v>
      </c>
      <c r="M4" s="356">
        <v>41976</v>
      </c>
      <c r="N4" s="356">
        <v>42305</v>
      </c>
      <c r="O4" s="356">
        <v>42908</v>
      </c>
      <c r="P4" s="203">
        <v>1052640</v>
      </c>
      <c r="Q4" s="203">
        <f>((N4-M4)/7)*L4</f>
        <v>14100</v>
      </c>
      <c r="R4" s="203">
        <f ca="1">((TODAY()-N4)/7)*L4</f>
        <v>56957.142857142855</v>
      </c>
      <c r="S4" s="203">
        <v>2059800</v>
      </c>
      <c r="T4" s="203">
        <f>S4+Q4+P4</f>
        <v>3126540</v>
      </c>
      <c r="U4" s="208">
        <f>T4/((O4-N4)/112)</f>
        <v>580717.21393034828</v>
      </c>
      <c r="V4" s="152">
        <f ca="1">(A7-N4)/112</f>
        <v>11.866071428571429</v>
      </c>
    </row>
    <row r="5" spans="1:22" x14ac:dyDescent="0.25">
      <c r="M5" s="395"/>
      <c r="N5" s="395"/>
      <c r="O5" s="518"/>
      <c r="P5" s="395"/>
      <c r="Q5" s="395"/>
      <c r="R5" s="395"/>
      <c r="S5" s="395"/>
      <c r="T5" s="395"/>
      <c r="U5" s="395"/>
    </row>
    <row r="6" spans="1:22" x14ac:dyDescent="0.25">
      <c r="M6" s="395"/>
      <c r="N6" s="395"/>
      <c r="P6" s="395"/>
      <c r="Q6" s="395"/>
      <c r="R6" s="395"/>
      <c r="S6" s="395"/>
      <c r="T6" s="395"/>
      <c r="U6" s="395"/>
    </row>
    <row r="7" spans="1:22" x14ac:dyDescent="0.25">
      <c r="A7" s="161">
        <f ca="1">TODAY()</f>
        <v>43634</v>
      </c>
    </row>
    <row r="8" spans="1:22" x14ac:dyDescent="0.25">
      <c r="A8" s="161">
        <v>41757</v>
      </c>
    </row>
    <row r="9" spans="1:22" x14ac:dyDescent="0.25">
      <c r="A9" s="163">
        <f ca="1">A7-A8</f>
        <v>1877</v>
      </c>
    </row>
    <row r="10" spans="1:22" x14ac:dyDescent="0.25">
      <c r="A10" s="353">
        <f ca="1">A9/112</f>
        <v>16.758928571428573</v>
      </c>
    </row>
    <row r="12" spans="1:22" x14ac:dyDescent="0.25">
      <c r="A12" s="266" t="s">
        <v>357</v>
      </c>
      <c r="B12" s="266" t="s">
        <v>247</v>
      </c>
      <c r="C12" s="267" t="s">
        <v>382</v>
      </c>
      <c r="D12" s="268" t="s">
        <v>174</v>
      </c>
      <c r="E12" s="266" t="s">
        <v>175</v>
      </c>
      <c r="F12" s="266" t="s">
        <v>177</v>
      </c>
      <c r="G12" s="266" t="s">
        <v>178</v>
      </c>
      <c r="H12" s="266" t="s">
        <v>170</v>
      </c>
      <c r="I12" s="269" t="s">
        <v>250</v>
      </c>
      <c r="J12" s="269" t="s">
        <v>251</v>
      </c>
      <c r="K12" s="266" t="s">
        <v>176</v>
      </c>
      <c r="L12" s="266" t="s">
        <v>193</v>
      </c>
      <c r="M12" s="355" t="s">
        <v>461</v>
      </c>
      <c r="N12" s="355" t="s">
        <v>462</v>
      </c>
      <c r="O12" s="355" t="s">
        <v>508</v>
      </c>
      <c r="P12" s="355" t="s">
        <v>459</v>
      </c>
      <c r="Q12" s="355" t="s">
        <v>465</v>
      </c>
      <c r="R12" s="355" t="s">
        <v>466</v>
      </c>
      <c r="S12" s="355" t="s">
        <v>460</v>
      </c>
      <c r="T12" s="355" t="s">
        <v>439</v>
      </c>
      <c r="U12" s="355" t="s">
        <v>463</v>
      </c>
      <c r="V12" s="355" t="s">
        <v>464</v>
      </c>
    </row>
    <row r="13" spans="1:22" x14ac:dyDescent="0.25">
      <c r="D13" s="261" t="s">
        <v>675</v>
      </c>
      <c r="E13" s="192">
        <v>39</v>
      </c>
      <c r="F13" s="230"/>
      <c r="G13" s="325">
        <v>6</v>
      </c>
      <c r="H13" s="195">
        <v>13</v>
      </c>
      <c r="I13" s="270">
        <f t="shared" ref="I13" si="2">(G13)*(G13)*(H13)</f>
        <v>468</v>
      </c>
      <c r="J13" s="270">
        <f t="shared" ref="J13" si="3">(G13+1)*(G13+1)*H13</f>
        <v>637</v>
      </c>
      <c r="K13" s="262">
        <v>1130</v>
      </c>
      <c r="L13" s="262">
        <v>864</v>
      </c>
      <c r="M13" s="356">
        <v>42628</v>
      </c>
      <c r="N13" s="356">
        <f>O4</f>
        <v>42908</v>
      </c>
      <c r="O13" s="356">
        <f ca="1">TODAY()</f>
        <v>43634</v>
      </c>
      <c r="P13" s="520">
        <v>1800000</v>
      </c>
      <c r="Q13" s="203">
        <v>372</v>
      </c>
      <c r="R13" s="203">
        <f t="shared" ref="R13" ca="1" si="4">((TODAY()-N13)/7)*L13</f>
        <v>89609.142857142855</v>
      </c>
      <c r="S13" s="520">
        <v>2553000</v>
      </c>
      <c r="T13" s="203">
        <f t="shared" ref="T13" si="5">S13+Q13+P13</f>
        <v>4353372</v>
      </c>
      <c r="U13" s="208">
        <f t="shared" ref="U13" ca="1" si="6">T13/((O13-N13)/112)</f>
        <v>671594.57851239678</v>
      </c>
      <c r="V13" s="152">
        <v>7</v>
      </c>
    </row>
    <row r="16" spans="1:22" x14ac:dyDescent="0.25">
      <c r="N16" s="571"/>
    </row>
    <row r="17" spans="1:22" ht="18" x14ac:dyDescent="0.25">
      <c r="A17" s="505">
        <v>42908</v>
      </c>
      <c r="B17" s="258"/>
      <c r="C17">
        <v>112</v>
      </c>
      <c r="D17">
        <v>0</v>
      </c>
    </row>
    <row r="18" spans="1:22" x14ac:dyDescent="0.25">
      <c r="A18" s="258">
        <f ca="1">TODAY()</f>
        <v>43634</v>
      </c>
      <c r="B18" s="258"/>
      <c r="C18">
        <v>400</v>
      </c>
      <c r="D18">
        <v>1</v>
      </c>
    </row>
    <row r="19" spans="1:22" x14ac:dyDescent="0.25">
      <c r="A19">
        <f ca="1">A18-A17</f>
        <v>726</v>
      </c>
      <c r="C19">
        <f>C18-C17</f>
        <v>288</v>
      </c>
      <c r="D19" s="506">
        <f ca="1">(A19-C17)/C19</f>
        <v>2.1319444444444446</v>
      </c>
    </row>
    <row r="20" spans="1:22" x14ac:dyDescent="0.25">
      <c r="D20" t="s">
        <v>691</v>
      </c>
    </row>
    <row r="24" spans="1:22" x14ac:dyDescent="0.25">
      <c r="A24" s="266" t="s">
        <v>357</v>
      </c>
      <c r="B24" s="266" t="s">
        <v>247</v>
      </c>
      <c r="C24" s="267" t="s">
        <v>382</v>
      </c>
      <c r="D24" s="268" t="s">
        <v>174</v>
      </c>
      <c r="E24" s="266" t="s">
        <v>175</v>
      </c>
      <c r="F24" s="266" t="s">
        <v>177</v>
      </c>
      <c r="G24" s="266" t="s">
        <v>178</v>
      </c>
      <c r="H24" s="266" t="s">
        <v>170</v>
      </c>
      <c r="I24" s="269" t="s">
        <v>250</v>
      </c>
      <c r="J24" s="269" t="s">
        <v>251</v>
      </c>
      <c r="K24" s="266" t="s">
        <v>176</v>
      </c>
      <c r="L24" s="266" t="s">
        <v>193</v>
      </c>
      <c r="M24" s="355" t="s">
        <v>461</v>
      </c>
      <c r="N24" s="355" t="s">
        <v>462</v>
      </c>
      <c r="O24" s="355" t="s">
        <v>508</v>
      </c>
      <c r="P24" s="355" t="s">
        <v>459</v>
      </c>
      <c r="Q24" s="355" t="s">
        <v>465</v>
      </c>
      <c r="R24" s="355" t="s">
        <v>466</v>
      </c>
      <c r="S24" s="355" t="s">
        <v>460</v>
      </c>
      <c r="T24" s="355" t="s">
        <v>439</v>
      </c>
      <c r="U24" s="355" t="s">
        <v>463</v>
      </c>
      <c r="V24" s="355" t="s">
        <v>464</v>
      </c>
    </row>
    <row r="28" spans="1:22" ht="19.5" x14ac:dyDescent="0.25">
      <c r="A28" s="608" t="s">
        <v>282</v>
      </c>
      <c r="B28" s="608"/>
      <c r="C28" s="608"/>
      <c r="D28" s="608"/>
    </row>
    <row r="29" spans="1:22" x14ac:dyDescent="0.25">
      <c r="A29" s="609" t="s">
        <v>236</v>
      </c>
      <c r="B29" s="610" t="s">
        <v>283</v>
      </c>
      <c r="C29" s="610" t="s">
        <v>284</v>
      </c>
      <c r="D29" s="610" t="s">
        <v>285</v>
      </c>
    </row>
    <row r="30" spans="1:22" x14ac:dyDescent="0.25">
      <c r="A30" s="609"/>
      <c r="B30" s="610"/>
      <c r="C30" s="610"/>
      <c r="D30" s="610"/>
    </row>
    <row r="31" spans="1:22" x14ac:dyDescent="0.25">
      <c r="A31" s="204" t="s">
        <v>283</v>
      </c>
      <c r="B31" s="205" t="s">
        <v>286</v>
      </c>
      <c r="C31" s="205" t="s">
        <v>287</v>
      </c>
      <c r="D31" s="205" t="s">
        <v>287</v>
      </c>
    </row>
    <row r="32" spans="1:22" x14ac:dyDescent="0.25">
      <c r="A32" s="519" t="s">
        <v>284</v>
      </c>
      <c r="B32" s="207" t="s">
        <v>288</v>
      </c>
      <c r="C32" s="207" t="s">
        <v>289</v>
      </c>
      <c r="D32" s="207" t="s">
        <v>287</v>
      </c>
    </row>
    <row r="33" spans="1:4" x14ac:dyDescent="0.25">
      <c r="A33" s="204" t="s">
        <v>285</v>
      </c>
      <c r="B33" s="205" t="s">
        <v>290</v>
      </c>
      <c r="C33" s="205" t="s">
        <v>291</v>
      </c>
      <c r="D33" s="205" t="s">
        <v>292</v>
      </c>
    </row>
    <row r="34" spans="1:4" x14ac:dyDescent="0.25">
      <c r="A34" s="519" t="s">
        <v>293</v>
      </c>
      <c r="B34" s="207" t="s">
        <v>294</v>
      </c>
      <c r="C34" s="207" t="s">
        <v>295</v>
      </c>
      <c r="D34" s="207" t="s">
        <v>296</v>
      </c>
    </row>
    <row r="35" spans="1:4" x14ac:dyDescent="0.25">
      <c r="A35" s="204" t="s">
        <v>297</v>
      </c>
      <c r="B35" s="205" t="s">
        <v>298</v>
      </c>
      <c r="C35" s="205" t="s">
        <v>299</v>
      </c>
      <c r="D35" s="205" t="s">
        <v>300</v>
      </c>
    </row>
    <row r="36" spans="1:4" x14ac:dyDescent="0.25">
      <c r="A36" s="519" t="s">
        <v>301</v>
      </c>
      <c r="B36" s="207" t="s">
        <v>302</v>
      </c>
      <c r="C36" s="207" t="s">
        <v>303</v>
      </c>
      <c r="D36" s="207" t="s">
        <v>304</v>
      </c>
    </row>
    <row r="37" spans="1:4" x14ac:dyDescent="0.25">
      <c r="A37" s="204" t="s">
        <v>305</v>
      </c>
      <c r="B37" s="205" t="s">
        <v>306</v>
      </c>
      <c r="C37" s="205" t="s">
        <v>307</v>
      </c>
      <c r="D37" s="205" t="s">
        <v>308</v>
      </c>
    </row>
    <row r="38" spans="1:4" x14ac:dyDescent="0.25">
      <c r="A38" s="519" t="s">
        <v>309</v>
      </c>
      <c r="B38" s="207" t="s">
        <v>310</v>
      </c>
      <c r="C38" s="207" t="s">
        <v>311</v>
      </c>
      <c r="D38" s="207" t="s">
        <v>312</v>
      </c>
    </row>
    <row r="39" spans="1:4" x14ac:dyDescent="0.25">
      <c r="A39" s="204" t="s">
        <v>313</v>
      </c>
      <c r="B39" s="205" t="s">
        <v>314</v>
      </c>
      <c r="C39" s="205" t="s">
        <v>315</v>
      </c>
      <c r="D39" s="205" t="s">
        <v>316</v>
      </c>
    </row>
    <row r="40" spans="1:4" x14ac:dyDescent="0.25">
      <c r="A40" s="519" t="s">
        <v>317</v>
      </c>
      <c r="B40" s="207" t="s">
        <v>318</v>
      </c>
      <c r="C40" s="207" t="s">
        <v>319</v>
      </c>
      <c r="D40" s="207" t="s">
        <v>320</v>
      </c>
    </row>
    <row r="41" spans="1:4" x14ac:dyDescent="0.25">
      <c r="A41" s="204" t="s">
        <v>321</v>
      </c>
      <c r="B41" s="205" t="s">
        <v>322</v>
      </c>
      <c r="C41" s="205" t="s">
        <v>323</v>
      </c>
      <c r="D41" s="205" t="s">
        <v>324</v>
      </c>
    </row>
    <row r="42" spans="1:4" x14ac:dyDescent="0.25">
      <c r="A42" s="519" t="s">
        <v>325</v>
      </c>
      <c r="B42" s="207" t="s">
        <v>326</v>
      </c>
      <c r="C42" s="207" t="s">
        <v>327</v>
      </c>
      <c r="D42" s="207" t="s">
        <v>328</v>
      </c>
    </row>
    <row r="43" spans="1:4" x14ac:dyDescent="0.25">
      <c r="A43" s="204" t="s">
        <v>329</v>
      </c>
      <c r="B43" s="205" t="s">
        <v>330</v>
      </c>
      <c r="C43" s="205" t="s">
        <v>331</v>
      </c>
      <c r="D43" s="205" t="s">
        <v>332</v>
      </c>
    </row>
    <row r="44" spans="1:4" x14ac:dyDescent="0.25">
      <c r="A44" s="519" t="s">
        <v>333</v>
      </c>
      <c r="B44" s="207" t="s">
        <v>334</v>
      </c>
      <c r="C44" s="207" t="s">
        <v>335</v>
      </c>
      <c r="D44" s="207" t="s">
        <v>336</v>
      </c>
    </row>
    <row r="45" spans="1:4" x14ac:dyDescent="0.25">
      <c r="A45" s="204" t="s">
        <v>337</v>
      </c>
      <c r="B45" s="205" t="s">
        <v>338</v>
      </c>
      <c r="C45" s="205" t="s">
        <v>339</v>
      </c>
      <c r="D45" s="205" t="s">
        <v>340</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BK42"/>
  <sheetViews>
    <sheetView zoomScaleNormal="100" workbookViewId="0">
      <pane xSplit="9" ySplit="3" topLeftCell="J4" activePane="bottomRight" state="frozen"/>
      <selection pane="topRight" activeCell="J1" sqref="J1"/>
      <selection pane="bottomLeft" activeCell="A5" sqref="A5"/>
      <selection pane="bottomRight" activeCell="D14" sqref="D14"/>
    </sheetView>
  </sheetViews>
  <sheetFormatPr baseColWidth="10" defaultColWidth="11.42578125" defaultRowHeight="15" x14ac:dyDescent="0.25"/>
  <cols>
    <col min="1" max="1" width="4.7109375" bestFit="1" customWidth="1"/>
    <col min="2" max="2" width="5.42578125" bestFit="1" customWidth="1"/>
    <col min="3" max="3" width="5.5703125" style="197" bestFit="1" customWidth="1"/>
    <col min="4" max="4" width="15.140625" style="163" bestFit="1" customWidth="1"/>
    <col min="5" max="5" width="5.5703125" bestFit="1" customWidth="1"/>
    <col min="6" max="6" width="5" bestFit="1" customWidth="1"/>
    <col min="7" max="7" width="4.5703125" style="196" bestFit="1" customWidth="1"/>
    <col min="8" max="8" width="3.7109375" style="4" bestFit="1" customWidth="1"/>
    <col min="9" max="9" width="4.85546875" bestFit="1" customWidth="1"/>
    <col min="10" max="10" width="4.5703125" bestFit="1" customWidth="1"/>
    <col min="11" max="11" width="4.7109375" style="252" bestFit="1" customWidth="1"/>
    <col min="12" max="12" width="4.7109375" bestFit="1" customWidth="1"/>
    <col min="13" max="13" width="4.28515625" style="252" bestFit="1" customWidth="1"/>
    <col min="14" max="14" width="5" style="381" bestFit="1" customWidth="1"/>
    <col min="15" max="15" width="10.42578125" style="566" bestFit="1" customWidth="1"/>
    <col min="16" max="16" width="5.5703125" style="566" bestFit="1" customWidth="1"/>
    <col min="17" max="17" width="4.140625" style="352" bestFit="1" customWidth="1"/>
    <col min="18" max="19" width="5.7109375" style="416" bestFit="1" customWidth="1"/>
    <col min="20" max="20" width="12" bestFit="1" customWidth="1"/>
    <col min="21" max="21" width="8.5703125" bestFit="1" customWidth="1"/>
    <col min="22" max="22" width="11.140625" style="145" bestFit="1" customWidth="1"/>
    <col min="23" max="23" width="7.5703125" style="145" bestFit="1" customWidth="1"/>
    <col min="24" max="24" width="6.140625" style="145" bestFit="1" customWidth="1"/>
    <col min="25" max="28" width="6.140625" bestFit="1" customWidth="1"/>
    <col min="29" max="29" width="5.5703125" bestFit="1" customWidth="1"/>
    <col min="30" max="30" width="6.140625" bestFit="1" customWidth="1"/>
    <col min="31" max="31" width="9.5703125" style="145" bestFit="1" customWidth="1"/>
    <col min="32" max="33" width="4.85546875" bestFit="1" customWidth="1"/>
    <col min="34" max="34" width="6.5703125" style="145" bestFit="1" customWidth="1"/>
    <col min="35" max="35" width="7.5703125" style="145" bestFit="1" customWidth="1"/>
    <col min="36" max="36" width="7.5703125" bestFit="1" customWidth="1"/>
    <col min="37" max="38" width="6.5703125" style="145" bestFit="1" customWidth="1"/>
    <col min="39" max="40" width="7" style="145"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222" customFormat="1" x14ac:dyDescent="0.25">
      <c r="C1" s="525"/>
      <c r="D1" s="301">
        <f ca="1">TODAY()</f>
        <v>43634</v>
      </c>
      <c r="E1" s="611">
        <v>41471</v>
      </c>
      <c r="F1" s="611"/>
      <c r="G1" s="611"/>
      <c r="H1" s="223"/>
      <c r="I1" s="223"/>
      <c r="J1" s="223"/>
      <c r="K1" s="224"/>
      <c r="L1" s="223"/>
      <c r="M1" s="224"/>
      <c r="N1" s="224"/>
      <c r="O1" s="224"/>
      <c r="P1" s="224"/>
      <c r="Q1" s="525"/>
      <c r="R1" s="224"/>
      <c r="S1" s="224"/>
      <c r="T1" s="223"/>
      <c r="U1" s="223"/>
      <c r="V1" s="223"/>
      <c r="W1" s="223"/>
      <c r="X1" s="277"/>
      <c r="Y1" s="223"/>
      <c r="Z1" s="223"/>
      <c r="AA1" s="223"/>
      <c r="AB1" s="223"/>
      <c r="AC1" s="223"/>
      <c r="AD1" s="223"/>
      <c r="AE1" s="277"/>
      <c r="AH1" s="277"/>
      <c r="AI1" s="277"/>
      <c r="AJ1" s="223"/>
      <c r="AK1" s="277"/>
      <c r="AL1" s="277"/>
      <c r="AM1" s="277"/>
      <c r="AN1" s="277"/>
      <c r="AO1" s="223"/>
      <c r="AP1" s="223"/>
      <c r="AQ1" s="223"/>
      <c r="AR1" s="223"/>
      <c r="AS1" s="223"/>
      <c r="AT1" s="223"/>
      <c r="AU1" s="223"/>
      <c r="AV1" s="223"/>
      <c r="AW1" s="223"/>
      <c r="AX1" s="223"/>
      <c r="AY1" s="223"/>
      <c r="AZ1" s="223"/>
      <c r="BA1" s="223"/>
      <c r="BB1" s="223"/>
      <c r="BC1" s="223"/>
      <c r="BD1" s="223"/>
      <c r="BE1" s="223"/>
      <c r="BF1" s="223"/>
    </row>
    <row r="2" spans="1:63" s="3" customFormat="1" x14ac:dyDescent="0.25">
      <c r="A2" s="3">
        <v>16</v>
      </c>
      <c r="B2" s="253"/>
      <c r="C2" s="254"/>
      <c r="D2" s="281"/>
      <c r="E2" s="264"/>
      <c r="F2" s="264"/>
      <c r="I2" s="303">
        <f>AVERAGE(I4:I28)</f>
        <v>8.0640000000000018</v>
      </c>
      <c r="J2" s="264"/>
      <c r="K2" s="264"/>
      <c r="M2" s="303">
        <f>AVERAGE(M4:M28)</f>
        <v>5.32</v>
      </c>
      <c r="N2" s="264"/>
      <c r="O2" s="264"/>
      <c r="P2" s="264"/>
      <c r="Q2" s="303">
        <f>AVERAGE(Q4:Q28)</f>
        <v>5.48</v>
      </c>
      <c r="R2" s="430">
        <f>AVERAGE(R4:R28)</f>
        <v>0.88112421644579386</v>
      </c>
      <c r="S2" s="430">
        <f>AVERAGE(S4:S28)</f>
        <v>0.94761801389617051</v>
      </c>
      <c r="T2" s="304">
        <f>AVERAGE(T4:T28)</f>
        <v>15856.8</v>
      </c>
      <c r="U2" s="304"/>
      <c r="V2" s="304">
        <f>AVERAGE(V4:V28)</f>
        <v>3705.76</v>
      </c>
      <c r="W2" s="260"/>
      <c r="X2" s="302">
        <f>(X4+X5)/2</f>
        <v>12.308333333333334</v>
      </c>
      <c r="Y2" s="302">
        <f>AVERAGE(Y4:Y13)</f>
        <v>9.8809888888888882</v>
      </c>
      <c r="Z2" s="302">
        <f>AVERAGE(Z14:Z19)</f>
        <v>7.1185185185185178</v>
      </c>
      <c r="AA2" s="302">
        <f>AVERAGE(AA20:AA23)</f>
        <v>2</v>
      </c>
      <c r="AB2" s="302">
        <f>AVERAGE(AB5:AB28)</f>
        <v>6.6174999999999988</v>
      </c>
      <c r="AC2" s="302">
        <f>AVERAGE(AC24:AC28)</f>
        <v>6.55</v>
      </c>
      <c r="AD2" s="302">
        <f>AVERAGE(AD4:AD28)</f>
        <v>11.249644444444444</v>
      </c>
      <c r="AE2" s="260"/>
      <c r="AH2" s="260"/>
      <c r="AI2" s="260"/>
      <c r="AJ2" s="260"/>
      <c r="AK2" s="260"/>
      <c r="AL2" s="260"/>
      <c r="AM2" s="260"/>
      <c r="AN2" s="260"/>
    </row>
    <row r="3" spans="1:63" x14ac:dyDescent="0.25">
      <c r="A3" s="266" t="s">
        <v>357</v>
      </c>
      <c r="B3" s="266" t="s">
        <v>247</v>
      </c>
      <c r="C3" s="267" t="s">
        <v>490</v>
      </c>
      <c r="D3" s="268" t="s">
        <v>174</v>
      </c>
      <c r="E3" s="266" t="s">
        <v>175</v>
      </c>
      <c r="F3" s="266" t="s">
        <v>62</v>
      </c>
      <c r="G3" s="266" t="s">
        <v>177</v>
      </c>
      <c r="H3" s="266" t="s">
        <v>178</v>
      </c>
      <c r="I3" s="266" t="s">
        <v>170</v>
      </c>
      <c r="J3" s="266" t="s">
        <v>551</v>
      </c>
      <c r="K3" s="269" t="s">
        <v>491</v>
      </c>
      <c r="L3" s="269" t="s">
        <v>492</v>
      </c>
      <c r="M3" s="266" t="s">
        <v>179</v>
      </c>
      <c r="N3" s="266" t="s">
        <v>481</v>
      </c>
      <c r="O3" s="266" t="s">
        <v>699</v>
      </c>
      <c r="P3" s="266" t="s">
        <v>541</v>
      </c>
      <c r="Q3" s="266" t="s">
        <v>458</v>
      </c>
      <c r="R3" s="419" t="s">
        <v>539</v>
      </c>
      <c r="S3" s="419" t="s">
        <v>540</v>
      </c>
      <c r="T3" s="266" t="s">
        <v>176</v>
      </c>
      <c r="U3" s="266" t="s">
        <v>470</v>
      </c>
      <c r="V3" s="266" t="s">
        <v>193</v>
      </c>
      <c r="W3" s="266" t="s">
        <v>381</v>
      </c>
      <c r="X3" s="266" t="s">
        <v>253</v>
      </c>
      <c r="Y3" s="266" t="s">
        <v>180</v>
      </c>
      <c r="Z3" s="266" t="s">
        <v>181</v>
      </c>
      <c r="AA3" s="266" t="s">
        <v>182</v>
      </c>
      <c r="AB3" s="266" t="s">
        <v>183</v>
      </c>
      <c r="AC3" s="266" t="s">
        <v>184</v>
      </c>
      <c r="AD3" s="266" t="s">
        <v>177</v>
      </c>
      <c r="AE3" s="266" t="s">
        <v>399</v>
      </c>
      <c r="AF3" s="300" t="s">
        <v>725</v>
      </c>
      <c r="AG3" s="300" t="s">
        <v>726</v>
      </c>
      <c r="AH3" s="300" t="s">
        <v>658</v>
      </c>
      <c r="AI3" s="300" t="s">
        <v>659</v>
      </c>
      <c r="AJ3" s="300" t="s">
        <v>416</v>
      </c>
      <c r="AK3" s="300" t="s">
        <v>417</v>
      </c>
      <c r="AL3" s="300" t="s">
        <v>418</v>
      </c>
      <c r="AM3" s="300" t="s">
        <v>456</v>
      </c>
      <c r="AN3" s="300" t="s">
        <v>457</v>
      </c>
      <c r="AO3" s="266" t="s">
        <v>633</v>
      </c>
      <c r="AP3" s="266" t="s">
        <v>634</v>
      </c>
      <c r="AQ3" s="266" t="s">
        <v>635</v>
      </c>
      <c r="AR3" s="355" t="s">
        <v>713</v>
      </c>
      <c r="AS3" s="355" t="s">
        <v>723</v>
      </c>
      <c r="AT3" s="355" t="s">
        <v>714</v>
      </c>
      <c r="AU3" s="355" t="s">
        <v>715</v>
      </c>
      <c r="AV3" s="355" t="s">
        <v>716</v>
      </c>
      <c r="AW3" s="355" t="s">
        <v>717</v>
      </c>
      <c r="AX3" s="355" t="s">
        <v>648</v>
      </c>
      <c r="AY3" s="355" t="s">
        <v>718</v>
      </c>
      <c r="AZ3" s="355" t="s">
        <v>719</v>
      </c>
      <c r="BA3" s="355" t="s">
        <v>639</v>
      </c>
      <c r="BB3" s="355" t="s">
        <v>720</v>
      </c>
      <c r="BC3" s="355" t="s">
        <v>496</v>
      </c>
      <c r="BD3" s="355" t="s">
        <v>721</v>
      </c>
      <c r="BE3" s="355" t="s">
        <v>722</v>
      </c>
      <c r="BF3" s="355" t="s">
        <v>468</v>
      </c>
      <c r="BG3" s="355" t="s">
        <v>682</v>
      </c>
      <c r="BH3" s="585" t="s">
        <v>728</v>
      </c>
    </row>
    <row r="4" spans="1:63" x14ac:dyDescent="0.25">
      <c r="A4" s="330" t="s">
        <v>347</v>
      </c>
      <c r="B4" s="330" t="s">
        <v>1</v>
      </c>
      <c r="C4" s="331">
        <f ca="1">((34*112)-(E4*112)-(F4))/112</f>
        <v>-0.9642857142857143</v>
      </c>
      <c r="D4" s="552" t="s">
        <v>618</v>
      </c>
      <c r="E4" s="332">
        <v>34</v>
      </c>
      <c r="F4" s="337">
        <f ca="1">-42406+$D$1-112-112-112-112-112-112-112-112-112-112</f>
        <v>108</v>
      </c>
      <c r="G4" s="333"/>
      <c r="H4" s="577">
        <v>6</v>
      </c>
      <c r="I4" s="275">
        <v>23.7</v>
      </c>
      <c r="J4" s="415">
        <f>LOG(I4+1)*4/3</f>
        <v>1.8569292710128877</v>
      </c>
      <c r="K4" s="270">
        <f t="shared" ref="K4" si="0">(H4)*(H4)*(I4)</f>
        <v>853.19999999999993</v>
      </c>
      <c r="L4" s="270">
        <f t="shared" ref="L4" si="1">(H4+1)*(H4+1)*I4</f>
        <v>1161.3</v>
      </c>
      <c r="M4" s="334">
        <v>6</v>
      </c>
      <c r="N4" s="382">
        <f>M4*10+19</f>
        <v>79</v>
      </c>
      <c r="O4" s="568">
        <v>42468</v>
      </c>
      <c r="P4" s="569">
        <f ca="1">IF((TODAY()-O4)&gt;335,1,((TODAY()-O4)^0.64)/(336^0.64))</f>
        <v>1</v>
      </c>
      <c r="Q4" s="382">
        <v>5</v>
      </c>
      <c r="R4" s="429">
        <f>(Q4/7)^0.5</f>
        <v>0.84515425472851657</v>
      </c>
      <c r="S4" s="429">
        <f>IF(Q4=7,1,((Q4+0.99)/7)^0.5)</f>
        <v>0.92504826128926143</v>
      </c>
      <c r="T4" s="291">
        <v>50520</v>
      </c>
      <c r="U4" s="523">
        <f t="shared" ref="U4:U23" si="2">T4-BG4</f>
        <v>-1430</v>
      </c>
      <c r="V4" s="291">
        <v>19032</v>
      </c>
      <c r="W4" s="283">
        <f t="shared" ref="W4:W29" si="3">T4/V4</f>
        <v>2.6544766708701135</v>
      </c>
      <c r="X4" s="414">
        <f>16+12/18</f>
        <v>16.666666666666668</v>
      </c>
      <c r="Y4" s="415">
        <v>11.95</v>
      </c>
      <c r="Z4" s="414">
        <f>2+0.01+0.01+0.01+0.01+0.01+0.01+0.01</f>
        <v>2.0699999999999985</v>
      </c>
      <c r="AA4" s="415">
        <f>1.94+0.03+0.03+0.03+0.03+0.03+0.03+0.02+0.01</f>
        <v>2.149999999999999</v>
      </c>
      <c r="AB4" s="414">
        <v>0.95</v>
      </c>
      <c r="AC4" s="415">
        <v>0</v>
      </c>
      <c r="AD4" s="414">
        <f>18+0.2</f>
        <v>18.2</v>
      </c>
      <c r="AE4" s="581">
        <v>1379</v>
      </c>
      <c r="AF4" s="501">
        <f ca="1">(Z4+P4+J4)*(Q4/7)^0.5</f>
        <v>4.1640152361430092</v>
      </c>
      <c r="AG4" s="501">
        <f ca="1">(Z4+P4+J4)*(IF(Q4=7, (Q4/7)^0.5, ((Q4+1)/7)^0.5))</f>
        <v>4.5614501492614545</v>
      </c>
      <c r="AH4" s="283">
        <f ca="1">(((Y4+P4+J4)+(AB4+P4+J4)*2)/8)*(Q4/7)^0.5</f>
        <v>2.3686280268193625</v>
      </c>
      <c r="AI4" s="283">
        <f ca="1">(1.66*(AC4+J4+P4)+0.55*(AD4+J4+P4)-7.6)*(Q4/7)^0.5</f>
        <v>7.3729682566652341</v>
      </c>
      <c r="AJ4" s="283">
        <f ca="1">((AD4+J4+P4)*0.7+(AC4+J4+P4)*0.3)*(Q4/7)^0.5</f>
        <v>13.18181113409628</v>
      </c>
      <c r="AK4" s="283">
        <f ca="1">(0.5*(AC4+P4+J4)+ 0.3*(AD4+P4+J4))/10</f>
        <v>0.77455434168103099</v>
      </c>
      <c r="AL4" s="283">
        <f ca="1">(0.4*(Y4+P4+J4)+0.3*(AD4+P4+J4))/10</f>
        <v>1.2239850489709021</v>
      </c>
      <c r="AM4" s="278">
        <f ca="1">(AD4+P4+(LOG(I4)*4/3))*(Q4/7)^0.5</f>
        <v>17.776127575869424</v>
      </c>
      <c r="AN4" s="278">
        <f ca="1">(AD4+P4+(LOG(I4)*4/3))*(IF(Q4=7, (Q4/7)^0.5, ((Q4+1)/7)^0.5))</f>
        <v>19.472772116786619</v>
      </c>
      <c r="AO4" s="382">
        <v>2</v>
      </c>
      <c r="AP4" s="382">
        <v>2</v>
      </c>
      <c r="AQ4" s="490">
        <f>IF(AO4=4,IF(AP4=0,0.137+0.0697,0.137+0.02),IF(AO4=3,IF(AP4=0,0.0958+0.0697,0.0958+0.02),IF(AO4=2,IF(AP4=0,0.0415+0.0697,0.0415+0.02),IF(AO4=1,IF(AP4=0,0.0294+0.0697,0.0294+0.02),IF(AO4=0,IF(AP4=0,0.0063+0.0697,0.0063+0.02))))))</f>
        <v>6.1499999999999999E-2</v>
      </c>
      <c r="AR4" s="583"/>
      <c r="AS4" s="583"/>
      <c r="AT4" s="583"/>
      <c r="AU4" s="583"/>
      <c r="AV4" s="490"/>
      <c r="AW4" s="490"/>
      <c r="AX4" s="490"/>
      <c r="AY4" s="490"/>
      <c r="AZ4" s="490"/>
      <c r="BA4" s="490"/>
      <c r="BB4" s="490"/>
      <c r="BC4" s="490"/>
      <c r="BD4" s="490"/>
      <c r="BE4" s="490"/>
      <c r="BF4" s="490"/>
      <c r="BG4" s="291">
        <v>51950</v>
      </c>
      <c r="BH4" s="586"/>
      <c r="BJ4" s="335"/>
      <c r="BK4" s="343"/>
    </row>
    <row r="5" spans="1:63" s="231" customFormat="1" x14ac:dyDescent="0.25">
      <c r="A5" s="330" t="s">
        <v>736</v>
      </c>
      <c r="B5" s="330" t="s">
        <v>1</v>
      </c>
      <c r="C5" s="331">
        <f ca="1">((34*112)-(E5*112)-(F5))/112</f>
        <v>-5.0446428571428568</v>
      </c>
      <c r="D5" s="552" t="s">
        <v>240</v>
      </c>
      <c r="E5" s="332">
        <v>39</v>
      </c>
      <c r="F5" s="337">
        <f ca="1">82-41471+$D$1-112-112-112-112-112-112-112-112-112-112-112-112-112-112-112-112-112-112-112-112</f>
        <v>5</v>
      </c>
      <c r="G5" s="333" t="s">
        <v>410</v>
      </c>
      <c r="H5" s="325">
        <v>3</v>
      </c>
      <c r="I5" s="275">
        <v>8.4</v>
      </c>
      <c r="J5" s="415">
        <f t="shared" ref="J5:J23" si="4">LOG(I5+1)*4/3</f>
        <v>1.2975038047995981</v>
      </c>
      <c r="K5" s="270">
        <f t="shared" ref="K5:K23" si="5">(H5)*(H5)*(I5)</f>
        <v>75.600000000000009</v>
      </c>
      <c r="L5" s="270">
        <f t="shared" ref="L5:L23" si="6">(H5+1)*(H5+1)*I5</f>
        <v>134.4</v>
      </c>
      <c r="M5" s="334">
        <v>4</v>
      </c>
      <c r="N5" s="382">
        <f t="shared" ref="N5:N23" si="7">M5*10+19</f>
        <v>59</v>
      </c>
      <c r="O5" s="382" t="s">
        <v>447</v>
      </c>
      <c r="P5" s="569">
        <v>1.5</v>
      </c>
      <c r="Q5" s="382">
        <v>4</v>
      </c>
      <c r="R5" s="429">
        <f t="shared" ref="R5:R23" si="8">(Q5/7)^0.5</f>
        <v>0.7559289460184544</v>
      </c>
      <c r="S5" s="429">
        <f t="shared" ref="S5:S23" si="9">IF(Q5=7,1,((Q5+0.99)/7)^0.5)</f>
        <v>0.84430867747355465</v>
      </c>
      <c r="T5" s="291">
        <v>650</v>
      </c>
      <c r="U5" s="523">
        <f t="shared" si="2"/>
        <v>-640</v>
      </c>
      <c r="V5" s="291">
        <v>450</v>
      </c>
      <c r="W5" s="283">
        <f t="shared" si="3"/>
        <v>1.4444444444444444</v>
      </c>
      <c r="X5" s="414">
        <v>7.95</v>
      </c>
      <c r="Y5" s="415">
        <v>7.95</v>
      </c>
      <c r="Z5" s="414">
        <v>0.95</v>
      </c>
      <c r="AA5" s="415">
        <v>0.95</v>
      </c>
      <c r="AB5" s="414">
        <v>1.95</v>
      </c>
      <c r="AC5" s="415">
        <v>0</v>
      </c>
      <c r="AD5" s="414">
        <v>14.95</v>
      </c>
      <c r="AE5" s="581">
        <v>495</v>
      </c>
      <c r="AF5" s="501">
        <f t="shared" ref="AF5:AF23" si="10">(Z5+P5+J5)*(Q5/7)^0.5</f>
        <v>2.8328466013623084</v>
      </c>
      <c r="AG5" s="501">
        <f t="shared" ref="AG5:AG23" si="11">(Z5+P5+J5)*(IF(Q5=7, (Q5/7)^0.5, ((Q5+1)/7)^0.5))</f>
        <v>3.1672187852376847</v>
      </c>
      <c r="AH5" s="283">
        <f t="shared" ref="AH5:AH23" si="12">(((Y5+P5+J5)+(AB5+P5+J5)*2)/8)*(Q5/7)^0.5</f>
        <v>1.9127375397816266</v>
      </c>
      <c r="AI5" s="283">
        <f t="shared" ref="AI5:AI23" si="13">(1.66*(AC5+J5+P5)+0.55*(AD5+J5+P5)-7.6)*(Q5/7)^0.5</f>
        <v>5.1440839357414436</v>
      </c>
      <c r="AJ5" s="283">
        <f t="shared" ref="AJ5:AJ23" si="14">((AD5+J5+P5)*0.7+(AC5+J5+P5)*0.3)*(Q5/7)^0.5</f>
        <v>10.025510522727901</v>
      </c>
      <c r="AK5" s="283">
        <f t="shared" ref="AK5:AK23" si="15">(0.5*(AC5+P5+J5)+ 0.3*(AD5+P5+J5))/10</f>
        <v>0.67230030438396782</v>
      </c>
      <c r="AL5" s="283">
        <f t="shared" ref="AL5:AL23" si="16">(0.4*(Y5+P5+J5)+0.3*(AD5+P5+J5))/10</f>
        <v>0.96232526633597182</v>
      </c>
      <c r="AM5" s="278">
        <f t="shared" ref="AM5:AM23" si="17">(AD5+P5+(LOG(I5)*4/3))*(Q5/7)^0.5</f>
        <v>13.366617117389504</v>
      </c>
      <c r="AN5" s="278">
        <f t="shared" ref="AN5:AN23" si="18">(AD5+P5+(LOG(I5)*4/3))*(IF(Q5=7, (Q5/7)^0.5, ((Q5+1)/7)^0.5))</f>
        <v>14.94433225184761</v>
      </c>
      <c r="AO5" s="382">
        <v>4</v>
      </c>
      <c r="AP5" s="382">
        <v>3</v>
      </c>
      <c r="AQ5" s="490">
        <f t="shared" ref="AQ5:AQ23" si="19">IF(AO5=4,IF(AP5=0,0.137+0.0697,0.137+0.02),IF(AO5=3,IF(AP5=0,0.0958+0.0697,0.0958+0.02),IF(AO5=2,IF(AP5=0,0.0415+0.0697,0.0415+0.02),IF(AO5=1,IF(AP5=0,0.0294+0.0697,0.0294+0.02),IF(AO5=0,IF(AP5=0,0.0063+0.0697,0.0063+0.02))))))</f>
        <v>0.157</v>
      </c>
      <c r="AR5" s="583"/>
      <c r="AS5" s="583"/>
      <c r="AT5" s="583"/>
      <c r="AU5" s="583"/>
      <c r="AV5" s="490"/>
      <c r="AW5" s="490"/>
      <c r="AX5" s="490"/>
      <c r="AY5" s="490"/>
      <c r="AZ5" s="490"/>
      <c r="BA5" s="490"/>
      <c r="BB5" s="490"/>
      <c r="BC5" s="490"/>
      <c r="BD5" s="490"/>
      <c r="BE5" s="490"/>
      <c r="BF5" s="490"/>
      <c r="BG5" s="291">
        <v>1290</v>
      </c>
      <c r="BH5" s="586"/>
      <c r="BJ5" s="335"/>
      <c r="BK5" s="343"/>
    </row>
    <row r="6" spans="1:63" s="219" customFormat="1" x14ac:dyDescent="0.25">
      <c r="A6" s="330" t="s">
        <v>412</v>
      </c>
      <c r="B6" s="330" t="s">
        <v>2</v>
      </c>
      <c r="C6" s="331">
        <f t="shared" ref="C6:C23" ca="1" si="20">((34*112)-(E6*112)-(F6))/112</f>
        <v>-2.0625</v>
      </c>
      <c r="D6" s="552" t="s">
        <v>242</v>
      </c>
      <c r="E6" s="332">
        <v>36</v>
      </c>
      <c r="F6" s="337">
        <f ca="1">84-41471+$D$1-112-112-112-112-112-112-112-112-112-112-112-112-112-112-112-112-112-112-112-112</f>
        <v>7</v>
      </c>
      <c r="G6" s="333"/>
      <c r="H6" s="336">
        <v>4</v>
      </c>
      <c r="I6" s="275">
        <v>18</v>
      </c>
      <c r="J6" s="415">
        <f t="shared" si="4"/>
        <v>1.7050048012704384</v>
      </c>
      <c r="K6" s="270">
        <f t="shared" si="5"/>
        <v>288</v>
      </c>
      <c r="L6" s="270">
        <f t="shared" si="6"/>
        <v>450</v>
      </c>
      <c r="M6" s="334">
        <v>5.5</v>
      </c>
      <c r="N6" s="382">
        <f t="shared" si="7"/>
        <v>74</v>
      </c>
      <c r="O6" s="382" t="s">
        <v>447</v>
      </c>
      <c r="P6" s="569">
        <v>1.5</v>
      </c>
      <c r="Q6" s="382">
        <v>5</v>
      </c>
      <c r="R6" s="429">
        <f t="shared" si="8"/>
        <v>0.84515425472851657</v>
      </c>
      <c r="S6" s="429">
        <f t="shared" si="9"/>
        <v>0.92504826128926143</v>
      </c>
      <c r="T6" s="291">
        <v>15380</v>
      </c>
      <c r="U6" s="523">
        <f t="shared" si="2"/>
        <v>-470</v>
      </c>
      <c r="V6" s="291">
        <v>2980</v>
      </c>
      <c r="W6" s="283">
        <f t="shared" si="3"/>
        <v>5.1610738255033555</v>
      </c>
      <c r="X6" s="414">
        <v>0</v>
      </c>
      <c r="Y6" s="415">
        <v>11.95</v>
      </c>
      <c r="Z6" s="414">
        <v>12.95</v>
      </c>
      <c r="AA6" s="415">
        <v>8.9499999999999993</v>
      </c>
      <c r="AB6" s="414">
        <v>8.9499999999999993</v>
      </c>
      <c r="AC6" s="415">
        <v>1.95</v>
      </c>
      <c r="AD6" s="414">
        <f>10.7+0.5+0.5*77/90+0.5+0.45+0.45+0.4+0.35+0.35+0.3+0.35+0.3+0.3+0.3+0.25+0.25+0.2+0.2+0.2+0.2+0.2</f>
        <v>17.177777777777774</v>
      </c>
      <c r="AE6" s="581">
        <v>1578</v>
      </c>
      <c r="AF6" s="501">
        <f t="shared" si="10"/>
        <v>13.653471042953322</v>
      </c>
      <c r="AG6" s="501">
        <f t="shared" si="11"/>
        <v>14.956628156938242</v>
      </c>
      <c r="AH6" s="283">
        <f t="shared" si="12"/>
        <v>4.1692531045379155</v>
      </c>
      <c r="AI6" s="283">
        <f t="shared" si="13"/>
        <v>10.283700384961968</v>
      </c>
      <c r="AJ6" s="283">
        <f t="shared" si="14"/>
        <v>13.365649066204108</v>
      </c>
      <c r="AK6" s="283">
        <f t="shared" si="15"/>
        <v>0.86923371743496813</v>
      </c>
      <c r="AL6" s="283">
        <f t="shared" si="16"/>
        <v>1.2176836694222639</v>
      </c>
      <c r="AM6" s="278">
        <f t="shared" si="17"/>
        <v>17.200135222471665</v>
      </c>
      <c r="AN6" s="278">
        <f t="shared" si="18"/>
        <v>18.84180410697374</v>
      </c>
      <c r="AO6" s="382">
        <v>2</v>
      </c>
      <c r="AP6" s="382">
        <v>3</v>
      </c>
      <c r="AQ6" s="490">
        <f t="shared" si="19"/>
        <v>6.1499999999999999E-2</v>
      </c>
      <c r="AR6" s="583"/>
      <c r="AS6" s="583"/>
      <c r="AT6" s="583"/>
      <c r="AU6" s="583"/>
      <c r="AV6" s="490"/>
      <c r="AW6" s="490"/>
      <c r="AX6" s="490"/>
      <c r="AY6" s="490"/>
      <c r="AZ6" s="490"/>
      <c r="BA6" s="490"/>
      <c r="BB6" s="490"/>
      <c r="BC6" s="490"/>
      <c r="BD6" s="490"/>
      <c r="BE6" s="490"/>
      <c r="BF6" s="490"/>
      <c r="BG6" s="291">
        <v>15850</v>
      </c>
      <c r="BH6" s="586"/>
      <c r="BJ6" s="335"/>
      <c r="BK6" s="343"/>
    </row>
    <row r="7" spans="1:63" s="220" customFormat="1" x14ac:dyDescent="0.25">
      <c r="A7" s="330" t="s">
        <v>735</v>
      </c>
      <c r="B7" s="229" t="s">
        <v>2</v>
      </c>
      <c r="C7" s="331">
        <f t="shared" ca="1" si="20"/>
        <v>-1.9285714285714286</v>
      </c>
      <c r="D7" s="552" t="s">
        <v>245</v>
      </c>
      <c r="E7" s="192">
        <v>35</v>
      </c>
      <c r="F7" s="193">
        <f ca="1">69-41471+$D$1-112-112-112-112-112-112-112-112-112-112-112-112-112-112-112-112-112-112-112</f>
        <v>104</v>
      </c>
      <c r="G7" s="230"/>
      <c r="H7" s="325">
        <v>3</v>
      </c>
      <c r="I7" s="195">
        <v>11.8</v>
      </c>
      <c r="J7" s="415">
        <f t="shared" si="4"/>
        <v>1.4762799595304912</v>
      </c>
      <c r="K7" s="270">
        <f t="shared" si="5"/>
        <v>106.2</v>
      </c>
      <c r="L7" s="270">
        <f t="shared" si="6"/>
        <v>188.8</v>
      </c>
      <c r="M7" s="263">
        <v>5.5</v>
      </c>
      <c r="N7" s="382">
        <f t="shared" si="7"/>
        <v>74</v>
      </c>
      <c r="O7" s="382" t="s">
        <v>447</v>
      </c>
      <c r="P7" s="569">
        <v>1.5</v>
      </c>
      <c r="Q7" s="383">
        <v>6</v>
      </c>
      <c r="R7" s="429">
        <f t="shared" si="8"/>
        <v>0.92582009977255142</v>
      </c>
      <c r="S7" s="429">
        <f t="shared" si="9"/>
        <v>0.99928545900129484</v>
      </c>
      <c r="T7" s="291">
        <v>4600</v>
      </c>
      <c r="U7" s="523">
        <f t="shared" si="2"/>
        <v>-90</v>
      </c>
      <c r="V7" s="524">
        <v>2120</v>
      </c>
      <c r="W7" s="283">
        <f t="shared" si="3"/>
        <v>2.1698113207547172</v>
      </c>
      <c r="X7" s="414">
        <v>0</v>
      </c>
      <c r="Y7" s="415">
        <v>11.95</v>
      </c>
      <c r="Z7" s="414">
        <v>5.95</v>
      </c>
      <c r="AA7" s="415">
        <v>6.95</v>
      </c>
      <c r="AB7" s="414">
        <v>7.95</v>
      </c>
      <c r="AC7" s="415">
        <v>2.95</v>
      </c>
      <c r="AD7" s="414">
        <v>16</v>
      </c>
      <c r="AE7" s="581">
        <v>1081</v>
      </c>
      <c r="AF7" s="501">
        <f t="shared" si="10"/>
        <v>8.2641294027302461</v>
      </c>
      <c r="AG7" s="501">
        <f t="shared" si="11"/>
        <v>8.9262799595304916</v>
      </c>
      <c r="AH7" s="283">
        <f t="shared" si="12"/>
        <v>4.2563236507395308</v>
      </c>
      <c r="AI7" s="283">
        <f t="shared" si="13"/>
        <v>11.734379726387926</v>
      </c>
      <c r="AJ7" s="283">
        <f t="shared" si="14"/>
        <v>13.944035714834849</v>
      </c>
      <c r="AK7" s="283">
        <f t="shared" si="15"/>
        <v>0.86560239676243922</v>
      </c>
      <c r="AL7" s="283">
        <f t="shared" si="16"/>
        <v>1.1663395971671342</v>
      </c>
      <c r="AM7" s="278">
        <f t="shared" si="17"/>
        <v>17.525011621951062</v>
      </c>
      <c r="AN7" s="278">
        <f t="shared" si="18"/>
        <v>18.9291760097415</v>
      </c>
      <c r="AO7" s="383">
        <v>3</v>
      </c>
      <c r="AP7" s="383">
        <v>2</v>
      </c>
      <c r="AQ7" s="490">
        <f t="shared" si="19"/>
        <v>0.1158</v>
      </c>
      <c r="AR7" s="583"/>
      <c r="AS7" s="583"/>
      <c r="AT7" s="583"/>
      <c r="AU7" s="583"/>
      <c r="AV7" s="490"/>
      <c r="AW7" s="490"/>
      <c r="AX7" s="490"/>
      <c r="AY7" s="490"/>
      <c r="AZ7" s="490"/>
      <c r="BA7" s="490"/>
      <c r="BB7" s="490"/>
      <c r="BC7" s="490"/>
      <c r="BD7" s="490"/>
      <c r="BE7" s="490"/>
      <c r="BF7" s="490"/>
      <c r="BG7" s="291">
        <v>4690</v>
      </c>
      <c r="BH7" s="586"/>
      <c r="BJ7" s="335"/>
      <c r="BK7" s="343"/>
    </row>
    <row r="8" spans="1:63" s="232" customFormat="1" x14ac:dyDescent="0.25">
      <c r="A8" s="271" t="s">
        <v>406</v>
      </c>
      <c r="B8" s="229" t="s">
        <v>2</v>
      </c>
      <c r="C8" s="331">
        <f t="shared" ca="1" si="20"/>
        <v>1.8660714285714286</v>
      </c>
      <c r="D8" s="553" t="s">
        <v>449</v>
      </c>
      <c r="E8" s="192">
        <v>32</v>
      </c>
      <c r="F8" s="193">
        <f ca="1">75-41471+$D$1-24-112-10-112-112+6-112-112-112+45-112-112-112-112-112-112-112-112-112-112-112-112-112-112</f>
        <v>15</v>
      </c>
      <c r="G8" s="230"/>
      <c r="H8" s="336">
        <v>4</v>
      </c>
      <c r="I8" s="195">
        <v>6.3</v>
      </c>
      <c r="J8" s="415">
        <f t="shared" si="4"/>
        <v>1.1510971468272746</v>
      </c>
      <c r="K8" s="270">
        <f t="shared" si="5"/>
        <v>100.8</v>
      </c>
      <c r="L8" s="270">
        <f t="shared" si="6"/>
        <v>157.5</v>
      </c>
      <c r="M8" s="263">
        <v>6.9</v>
      </c>
      <c r="N8" s="382">
        <f t="shared" si="7"/>
        <v>88</v>
      </c>
      <c r="O8" s="382" t="s">
        <v>447</v>
      </c>
      <c r="P8" s="569">
        <v>1.5</v>
      </c>
      <c r="Q8" s="383">
        <v>5</v>
      </c>
      <c r="R8" s="429">
        <f t="shared" si="8"/>
        <v>0.84515425472851657</v>
      </c>
      <c r="S8" s="429">
        <f t="shared" si="9"/>
        <v>0.92504826128926143</v>
      </c>
      <c r="T8" s="524">
        <v>12760</v>
      </c>
      <c r="U8" s="523">
        <f t="shared" si="2"/>
        <v>680</v>
      </c>
      <c r="V8" s="524">
        <v>1710</v>
      </c>
      <c r="W8" s="283">
        <f t="shared" si="3"/>
        <v>7.4619883040935671</v>
      </c>
      <c r="X8" s="414">
        <v>0</v>
      </c>
      <c r="Y8" s="415">
        <f>6.51+0.25+0.25+0.25+0.2+0.2+0.2+0.2+0.19+0.19+0.17+0.16+0.16+0.03+0.16+0.15*33/90+0.14+0.13+0.13*36/90+0.02+0.12*32/90+0.02+0.02+0.15*3/90</f>
        <v>9.6046666666666667</v>
      </c>
      <c r="Z8" s="414">
        <f>6.92+0.04+0.04+0.04+0.13+0.04+0.03+0.03+(0.25*30/90*0.5)+(0.25*60/90*0.16)+0.03+0.03+0.25*0.5*1/90+0.026+0.03+0.03+0.03+0.03+0.25*0.5+0.02+0.02+0.02+0.01+0.01+0.01</f>
        <v>7.7607222222222223</v>
      </c>
      <c r="AA8" s="415">
        <f>5.8+0.05+0.05+0.05+0.05+0.04+0.04+0.03+0.02+0.02+0.01</f>
        <v>6.1599999999999984</v>
      </c>
      <c r="AB8" s="414">
        <f>4.28+(0.4/3)+0.4+0.4+0.35+0.35+0.35+0.35+0.3+0.3+0.25+0.25+0.25+0.2+0.04+0.17+0.16+0.03+0.15+0.13+0.02</f>
        <v>8.8633333333333315</v>
      </c>
      <c r="AC8" s="415">
        <v>2.95</v>
      </c>
      <c r="AD8" s="414">
        <f>9+1*5/90+0.85+0.85*30/90+0.65+0.55+0.5+0.4+0.35+0.35+0.25+0.25*35/90</f>
        <v>13.33611111111111</v>
      </c>
      <c r="AE8" s="581">
        <v>988</v>
      </c>
      <c r="AF8" s="501">
        <f t="shared" si="10"/>
        <v>8.7995934392169612</v>
      </c>
      <c r="AG8" s="501">
        <f t="shared" si="11"/>
        <v>9.6394716470671877</v>
      </c>
      <c r="AH8" s="283">
        <f t="shared" si="12"/>
        <v>3.7276188442611371</v>
      </c>
      <c r="AI8" s="283">
        <f t="shared" si="13"/>
        <v>8.8663322590478515</v>
      </c>
      <c r="AJ8" s="283">
        <f t="shared" si="14"/>
        <v>10.878297281735897</v>
      </c>
      <c r="AK8" s="283">
        <f t="shared" si="15"/>
        <v>0.7596711050795153</v>
      </c>
      <c r="AL8" s="283">
        <f t="shared" si="16"/>
        <v>0.96984680027790904</v>
      </c>
      <c r="AM8" s="278">
        <f t="shared" si="17"/>
        <v>13.439557184310875</v>
      </c>
      <c r="AN8" s="278">
        <f t="shared" si="18"/>
        <v>14.722297265455362</v>
      </c>
      <c r="AO8" s="383">
        <v>3</v>
      </c>
      <c r="AP8" s="383">
        <v>2</v>
      </c>
      <c r="AQ8" s="490">
        <f t="shared" si="19"/>
        <v>0.1158</v>
      </c>
      <c r="AR8" s="583"/>
      <c r="AS8" s="583"/>
      <c r="AT8" s="583"/>
      <c r="AU8" s="583"/>
      <c r="AV8" s="490"/>
      <c r="AW8" s="490"/>
      <c r="AX8" s="490"/>
      <c r="AY8" s="490"/>
      <c r="AZ8" s="490"/>
      <c r="BA8" s="490"/>
      <c r="BB8" s="490"/>
      <c r="BC8" s="490"/>
      <c r="BD8" s="490"/>
      <c r="BE8" s="490"/>
      <c r="BF8" s="490"/>
      <c r="BG8" s="524">
        <v>12080</v>
      </c>
      <c r="BH8" s="587"/>
      <c r="BJ8" s="335"/>
      <c r="BK8" s="343"/>
    </row>
    <row r="9" spans="1:63" s="232" customFormat="1" x14ac:dyDescent="0.25">
      <c r="A9" s="330" t="s">
        <v>352</v>
      </c>
      <c r="B9" s="330" t="s">
        <v>2</v>
      </c>
      <c r="C9" s="331">
        <f t="shared" ca="1" si="20"/>
        <v>-1.7232142857142858</v>
      </c>
      <c r="D9" s="552" t="s">
        <v>650</v>
      </c>
      <c r="E9" s="332">
        <v>35</v>
      </c>
      <c r="F9" s="193">
        <f ca="1">46-41471+$D$1-112-112-112-112-112-112-112-112-112-112-112-112-112-112-112-112-112-112-112</f>
        <v>81</v>
      </c>
      <c r="G9" s="333" t="s">
        <v>243</v>
      </c>
      <c r="H9" s="325">
        <v>0</v>
      </c>
      <c r="I9" s="275">
        <v>17.100000000000001</v>
      </c>
      <c r="J9" s="415">
        <f t="shared" si="4"/>
        <v>1.6769047664922461</v>
      </c>
      <c r="K9" s="270">
        <f t="shared" si="5"/>
        <v>0</v>
      </c>
      <c r="L9" s="270">
        <f t="shared" si="6"/>
        <v>17.100000000000001</v>
      </c>
      <c r="M9" s="334">
        <v>5.5</v>
      </c>
      <c r="N9" s="382">
        <f t="shared" si="7"/>
        <v>74</v>
      </c>
      <c r="O9" s="382" t="s">
        <v>447</v>
      </c>
      <c r="P9" s="569">
        <v>1.5</v>
      </c>
      <c r="Q9" s="382">
        <v>7</v>
      </c>
      <c r="R9" s="429">
        <f t="shared" si="8"/>
        <v>1</v>
      </c>
      <c r="S9" s="429">
        <f t="shared" si="9"/>
        <v>1</v>
      </c>
      <c r="T9" s="291">
        <v>29540</v>
      </c>
      <c r="U9" s="523">
        <f t="shared" si="2"/>
        <v>-740</v>
      </c>
      <c r="V9" s="291">
        <v>5520</v>
      </c>
      <c r="W9" s="283">
        <f t="shared" si="3"/>
        <v>5.3514492753623184</v>
      </c>
      <c r="X9" s="414">
        <v>0</v>
      </c>
      <c r="Y9" s="415">
        <v>11.95</v>
      </c>
      <c r="Z9" s="414">
        <f>9.9+0.17+(0.17/90*26)+0.17+0.15+0.15+0.15+0.13+0.13+(1/8)+0.13+0.13+0.13*0.5+0.11+0.11+0.11*0.5+0.11*0.5+0.1*0.5+0.1*0.5+0.1+0.1+0.1*0.5+0.09+0.09*0.5+0.09*0.5+0.09*0.5+0.09*0.5+0.09*0.5+0.09*0.5+0.09*0.5+0.09*0.5+0.07*0.5</f>
        <v>12.614111111111114</v>
      </c>
      <c r="AA9" s="415">
        <v>12.95</v>
      </c>
      <c r="AB9" s="414">
        <v>10.95</v>
      </c>
      <c r="AC9" s="415">
        <v>5.95</v>
      </c>
      <c r="AD9" s="414">
        <f>10.8+0.67+0.55+0.55+0.45+0.45+0.4+0.4+0.35+0.35+0.33+0.33+0.3+0.3+0.25+0.25+0.2+0.2+0.2+0.2</f>
        <v>17.529999999999998</v>
      </c>
      <c r="AE9" s="581">
        <v>1965</v>
      </c>
      <c r="AF9" s="501">
        <f t="shared" si="10"/>
        <v>15.79101587760336</v>
      </c>
      <c r="AG9" s="501">
        <f t="shared" si="11"/>
        <v>15.79101587760336</v>
      </c>
      <c r="AH9" s="283">
        <f t="shared" si="12"/>
        <v>5.422589287434592</v>
      </c>
      <c r="AI9" s="283">
        <f t="shared" si="13"/>
        <v>18.939459533947861</v>
      </c>
      <c r="AJ9" s="283">
        <f t="shared" si="14"/>
        <v>17.232904766492243</v>
      </c>
      <c r="AK9" s="283">
        <f t="shared" si="15"/>
        <v>1.0775523813193797</v>
      </c>
      <c r="AL9" s="283">
        <f t="shared" si="16"/>
        <v>1.226283333654457</v>
      </c>
      <c r="AM9" s="278">
        <f t="shared" si="17"/>
        <v>20.673994813856204</v>
      </c>
      <c r="AN9" s="278">
        <f t="shared" si="18"/>
        <v>20.673994813856204</v>
      </c>
      <c r="AO9" s="382">
        <v>1</v>
      </c>
      <c r="AP9" s="382">
        <v>2</v>
      </c>
      <c r="AQ9" s="490">
        <f t="shared" si="19"/>
        <v>4.9399999999999999E-2</v>
      </c>
      <c r="AR9" s="583"/>
      <c r="AS9" s="583"/>
      <c r="AT9" s="583"/>
      <c r="AU9" s="583"/>
      <c r="AV9" s="490"/>
      <c r="AW9" s="490"/>
      <c r="AX9" s="490"/>
      <c r="AY9" s="490"/>
      <c r="AZ9" s="490"/>
      <c r="BA9" s="490"/>
      <c r="BB9" s="490"/>
      <c r="BC9" s="490"/>
      <c r="BD9" s="490"/>
      <c r="BE9" s="490"/>
      <c r="BF9" s="490"/>
      <c r="BG9" s="291">
        <v>30280</v>
      </c>
      <c r="BH9" s="586"/>
      <c r="BJ9" s="335"/>
      <c r="BK9" s="343"/>
    </row>
    <row r="10" spans="1:63" s="232" customFormat="1" x14ac:dyDescent="0.25">
      <c r="A10" s="330" t="s">
        <v>350</v>
      </c>
      <c r="B10" s="229" t="s">
        <v>2</v>
      </c>
      <c r="C10" s="331">
        <f t="shared" ca="1" si="20"/>
        <v>-0.35714285714285715</v>
      </c>
      <c r="D10" s="553" t="s">
        <v>482</v>
      </c>
      <c r="E10" s="192">
        <v>34</v>
      </c>
      <c r="F10" s="193">
        <f ca="1">7-41471+$D$1-112-111-3-112-112-112-112-112-112-112-112-112-112-112-112-112-112-112-112-112</f>
        <v>40</v>
      </c>
      <c r="G10" s="333" t="s">
        <v>241</v>
      </c>
      <c r="H10" s="325">
        <v>3</v>
      </c>
      <c r="I10" s="195">
        <v>14.8</v>
      </c>
      <c r="J10" s="415">
        <f t="shared" si="4"/>
        <v>1.5982094492725636</v>
      </c>
      <c r="K10" s="270">
        <f t="shared" si="5"/>
        <v>133.20000000000002</v>
      </c>
      <c r="L10" s="270">
        <f t="shared" si="6"/>
        <v>236.8</v>
      </c>
      <c r="M10" s="263">
        <v>6</v>
      </c>
      <c r="N10" s="382">
        <f t="shared" si="7"/>
        <v>79</v>
      </c>
      <c r="O10" s="382" t="s">
        <v>447</v>
      </c>
      <c r="P10" s="569">
        <v>1.5</v>
      </c>
      <c r="Q10" s="383">
        <v>7</v>
      </c>
      <c r="R10" s="429">
        <f t="shared" si="8"/>
        <v>1</v>
      </c>
      <c r="S10" s="429">
        <f t="shared" si="9"/>
        <v>1</v>
      </c>
      <c r="T10" s="291">
        <v>35090</v>
      </c>
      <c r="U10" s="523">
        <f t="shared" si="2"/>
        <v>290</v>
      </c>
      <c r="V10" s="524">
        <v>12280</v>
      </c>
      <c r="W10" s="283">
        <f t="shared" si="3"/>
        <v>2.8574918566775245</v>
      </c>
      <c r="X10" s="414">
        <v>0</v>
      </c>
      <c r="Y10" s="415">
        <f>5.6+0.26+0.26+0.26+(0.26*23/90)+(0.05*(90-23)/90)+0.26+0.26+0.23+0.23+0.22+0.15+0.15+0.14+0.13+0.13+0.13+0.12+0.12+0.12+0.02+0.1+0.1+0.1+0.01+0.1</f>
        <v>9.3036666666666648</v>
      </c>
      <c r="Z10" s="414">
        <v>14</v>
      </c>
      <c r="AA10" s="415">
        <f>11.58+0.17+(0.17/2)+0.17+0.15+0.03+0.15+0.14+0.13+0.12+0.11+0.11</f>
        <v>12.945</v>
      </c>
      <c r="AB10" s="414">
        <v>9.9499999999999993</v>
      </c>
      <c r="AC10" s="415">
        <v>3.95</v>
      </c>
      <c r="AD10" s="414">
        <v>16</v>
      </c>
      <c r="AE10" s="581">
        <v>1856</v>
      </c>
      <c r="AF10" s="501">
        <f t="shared" si="10"/>
        <v>17.098209449272563</v>
      </c>
      <c r="AG10" s="501">
        <f t="shared" si="11"/>
        <v>17.098209449272563</v>
      </c>
      <c r="AH10" s="283">
        <f t="shared" si="12"/>
        <v>4.8122868768105445</v>
      </c>
      <c r="AI10" s="283">
        <f t="shared" si="13"/>
        <v>14.604042882892367</v>
      </c>
      <c r="AJ10" s="283">
        <f t="shared" si="14"/>
        <v>15.483209449272563</v>
      </c>
      <c r="AK10" s="283">
        <f t="shared" si="15"/>
        <v>0.92535675594180522</v>
      </c>
      <c r="AL10" s="283">
        <f t="shared" si="16"/>
        <v>1.0690213281157459</v>
      </c>
      <c r="AM10" s="278">
        <f t="shared" si="17"/>
        <v>19.060348953859943</v>
      </c>
      <c r="AN10" s="278">
        <f t="shared" si="18"/>
        <v>19.060348953859943</v>
      </c>
      <c r="AO10" s="383">
        <v>3</v>
      </c>
      <c r="AP10" s="383">
        <v>3</v>
      </c>
      <c r="AQ10" s="490">
        <f t="shared" si="19"/>
        <v>0.1158</v>
      </c>
      <c r="AR10" s="583"/>
      <c r="AS10" s="583"/>
      <c r="AT10" s="583"/>
      <c r="AU10" s="583"/>
      <c r="AV10" s="490"/>
      <c r="AW10" s="490"/>
      <c r="AX10" s="490"/>
      <c r="AY10" s="490"/>
      <c r="AZ10" s="490"/>
      <c r="BA10" s="490"/>
      <c r="BB10" s="490"/>
      <c r="BC10" s="490"/>
      <c r="BD10" s="490"/>
      <c r="BE10" s="490"/>
      <c r="BF10" s="490"/>
      <c r="BG10" s="291">
        <v>34800</v>
      </c>
      <c r="BH10" s="586"/>
      <c r="BJ10" s="335"/>
      <c r="BK10" s="343"/>
    </row>
    <row r="11" spans="1:63" x14ac:dyDescent="0.25">
      <c r="A11" s="272" t="s">
        <v>351</v>
      </c>
      <c r="B11" s="330" t="s">
        <v>2</v>
      </c>
      <c r="C11" s="331">
        <f t="shared" ca="1" si="20"/>
        <v>-2.6607142857142856</v>
      </c>
      <c r="D11" s="552" t="s">
        <v>248</v>
      </c>
      <c r="E11" s="332">
        <v>36</v>
      </c>
      <c r="F11" s="337">
        <f ca="1">33-41471+$D$1-112+6-112-112-112-112-112-112-112-112-112-112-112-112-112-112-112-112-112-112</f>
        <v>74</v>
      </c>
      <c r="G11" s="333" t="s">
        <v>241</v>
      </c>
      <c r="H11" s="336">
        <v>4</v>
      </c>
      <c r="I11" s="275">
        <v>14.4</v>
      </c>
      <c r="J11" s="415">
        <f t="shared" si="4"/>
        <v>1.5833609611152841</v>
      </c>
      <c r="K11" s="270">
        <f t="shared" si="5"/>
        <v>230.4</v>
      </c>
      <c r="L11" s="270">
        <f t="shared" si="6"/>
        <v>360</v>
      </c>
      <c r="M11" s="334">
        <v>5.0999999999999996</v>
      </c>
      <c r="N11" s="382">
        <f t="shared" si="7"/>
        <v>70</v>
      </c>
      <c r="O11" s="382" t="s">
        <v>447</v>
      </c>
      <c r="P11" s="569">
        <v>1.5</v>
      </c>
      <c r="Q11" s="382">
        <v>6</v>
      </c>
      <c r="R11" s="429">
        <f t="shared" si="8"/>
        <v>0.92582009977255142</v>
      </c>
      <c r="S11" s="429">
        <f t="shared" si="9"/>
        <v>0.99928545900129484</v>
      </c>
      <c r="T11" s="291">
        <v>11190</v>
      </c>
      <c r="U11" s="523">
        <f t="shared" si="2"/>
        <v>60</v>
      </c>
      <c r="V11" s="291">
        <v>4300</v>
      </c>
      <c r="W11" s="283">
        <f t="shared" si="3"/>
        <v>2.6023255813953488</v>
      </c>
      <c r="X11" s="414">
        <v>0</v>
      </c>
      <c r="Y11" s="415">
        <v>7.95</v>
      </c>
      <c r="Z11" s="414">
        <v>13.95</v>
      </c>
      <c r="AA11" s="415">
        <v>8.9499999999999993</v>
      </c>
      <c r="AB11" s="414">
        <v>9.9499999999999993</v>
      </c>
      <c r="AC11" s="415">
        <v>1.95</v>
      </c>
      <c r="AD11" s="414">
        <v>16.95</v>
      </c>
      <c r="AE11" s="581">
        <v>1375</v>
      </c>
      <c r="AF11" s="501">
        <f t="shared" si="10"/>
        <v>15.769827944481635</v>
      </c>
      <c r="AG11" s="501">
        <f t="shared" si="11"/>
        <v>17.033360961115285</v>
      </c>
      <c r="AH11" s="283">
        <f t="shared" si="12"/>
        <v>4.2935003045786475</v>
      </c>
      <c r="AI11" s="283">
        <f t="shared" si="13"/>
        <v>10.900353776188508</v>
      </c>
      <c r="AJ11" s="283">
        <f t="shared" si="14"/>
        <v>14.381097794822807</v>
      </c>
      <c r="AK11" s="283">
        <f t="shared" si="15"/>
        <v>0.85266887688922277</v>
      </c>
      <c r="AL11" s="283">
        <f t="shared" si="16"/>
        <v>1.0423352672780699</v>
      </c>
      <c r="AM11" s="278">
        <f t="shared" si="17"/>
        <v>18.511294544809449</v>
      </c>
      <c r="AN11" s="278">
        <f t="shared" si="18"/>
        <v>19.994483322793666</v>
      </c>
      <c r="AO11" s="382">
        <v>2</v>
      </c>
      <c r="AP11" s="382">
        <v>2</v>
      </c>
      <c r="AQ11" s="490">
        <f t="shared" si="19"/>
        <v>6.1499999999999999E-2</v>
      </c>
      <c r="AR11" s="583"/>
      <c r="AS11" s="583"/>
      <c r="AT11" s="583"/>
      <c r="AU11" s="583"/>
      <c r="AV11" s="490"/>
      <c r="AW11" s="490"/>
      <c r="AX11" s="490"/>
      <c r="AY11" s="490"/>
      <c r="AZ11" s="490"/>
      <c r="BA11" s="490"/>
      <c r="BB11" s="490"/>
      <c r="BC11" s="490"/>
      <c r="BD11" s="490"/>
      <c r="BE11" s="490"/>
      <c r="BF11" s="490"/>
      <c r="BG11" s="291">
        <v>11130</v>
      </c>
      <c r="BH11" s="586"/>
      <c r="BJ11" s="335"/>
      <c r="BK11" s="343"/>
    </row>
    <row r="12" spans="1:63" s="4" customFormat="1" x14ac:dyDescent="0.25">
      <c r="A12" s="330" t="s">
        <v>348</v>
      </c>
      <c r="B12" s="330" t="s">
        <v>2</v>
      </c>
      <c r="C12" s="331">
        <f t="shared" ca="1" si="20"/>
        <v>-1.6071428571428572</v>
      </c>
      <c r="D12" s="552" t="s">
        <v>244</v>
      </c>
      <c r="E12" s="332">
        <v>35</v>
      </c>
      <c r="F12" s="337">
        <f ca="1">33-41471+$D$1-112-112-112-112-112-112-112-112-112-112-112-112-112-112-112-112-112-112-112</f>
        <v>68</v>
      </c>
      <c r="G12" s="333"/>
      <c r="H12" s="325">
        <v>3</v>
      </c>
      <c r="I12" s="275">
        <v>13.1</v>
      </c>
      <c r="J12" s="415">
        <f t="shared" si="4"/>
        <v>1.5322921502071731</v>
      </c>
      <c r="K12" s="270">
        <f t="shared" si="5"/>
        <v>117.89999999999999</v>
      </c>
      <c r="L12" s="270">
        <f t="shared" si="6"/>
        <v>209.6</v>
      </c>
      <c r="M12" s="334">
        <v>5.5</v>
      </c>
      <c r="N12" s="382">
        <f t="shared" si="7"/>
        <v>74</v>
      </c>
      <c r="O12" s="382" t="s">
        <v>447</v>
      </c>
      <c r="P12" s="569">
        <v>1.5</v>
      </c>
      <c r="Q12" s="382">
        <v>6</v>
      </c>
      <c r="R12" s="429">
        <f t="shared" si="8"/>
        <v>0.92582009977255142</v>
      </c>
      <c r="S12" s="429">
        <f t="shared" si="9"/>
        <v>0.99928545900129484</v>
      </c>
      <c r="T12" s="291">
        <v>9960</v>
      </c>
      <c r="U12" s="523">
        <f t="shared" si="2"/>
        <v>510</v>
      </c>
      <c r="V12" s="291">
        <v>4400</v>
      </c>
      <c r="W12" s="283">
        <f t="shared" si="3"/>
        <v>2.2636363636363637</v>
      </c>
      <c r="X12" s="414">
        <v>0</v>
      </c>
      <c r="Y12" s="415">
        <f>7.5+0.2+0.2+0.2+0.2+0.2+0.16+0.16+0.14+0.14+0.13+0.13+0.12+0.12+0.12+0.12+0.11+0.1+0.1+0.1+0.1+0.1+0.1</f>
        <v>10.549999999999995</v>
      </c>
      <c r="Z12" s="414">
        <v>12.95</v>
      </c>
      <c r="AA12" s="415">
        <v>4.95</v>
      </c>
      <c r="AB12" s="414">
        <v>8.9499999999999993</v>
      </c>
      <c r="AC12" s="415">
        <v>0.95</v>
      </c>
      <c r="AD12" s="414">
        <v>17.3</v>
      </c>
      <c r="AE12" s="581">
        <v>1383</v>
      </c>
      <c r="AF12" s="501">
        <f t="shared" si="10"/>
        <v>14.79672731309887</v>
      </c>
      <c r="AG12" s="501">
        <f t="shared" si="11"/>
        <v>15.982292150207172</v>
      </c>
      <c r="AH12" s="283">
        <f t="shared" si="12"/>
        <v>4.3452066127077584</v>
      </c>
      <c r="AI12" s="283">
        <f t="shared" si="13"/>
        <v>9.4372228049137181</v>
      </c>
      <c r="AJ12" s="283">
        <f t="shared" si="14"/>
        <v>14.282897157725104</v>
      </c>
      <c r="AK12" s="283">
        <f t="shared" si="15"/>
        <v>0.80908337201657388</v>
      </c>
      <c r="AL12" s="283">
        <f t="shared" si="16"/>
        <v>1.1532604505145021</v>
      </c>
      <c r="AM12" s="278">
        <f t="shared" si="17"/>
        <v>18.784607505613337</v>
      </c>
      <c r="AN12" s="278">
        <f t="shared" si="18"/>
        <v>20.289695060874354</v>
      </c>
      <c r="AO12" s="382">
        <v>4</v>
      </c>
      <c r="AP12" s="382">
        <v>1</v>
      </c>
      <c r="AQ12" s="490">
        <f t="shared" si="19"/>
        <v>0.157</v>
      </c>
      <c r="AR12" s="583"/>
      <c r="AS12" s="583"/>
      <c r="AT12" s="583"/>
      <c r="AU12" s="583"/>
      <c r="AV12" s="490"/>
      <c r="AW12" s="490"/>
      <c r="AX12" s="490"/>
      <c r="AY12" s="490"/>
      <c r="AZ12" s="490"/>
      <c r="BA12" s="490"/>
      <c r="BB12" s="490"/>
      <c r="BC12" s="490"/>
      <c r="BD12" s="490"/>
      <c r="BE12" s="490"/>
      <c r="BF12" s="490"/>
      <c r="BG12" s="291">
        <v>9450</v>
      </c>
      <c r="BH12" s="586"/>
      <c r="BJ12" s="335"/>
      <c r="BK12" s="343"/>
    </row>
    <row r="13" spans="1:63" s="232" customFormat="1" ht="14.25" customHeight="1" x14ac:dyDescent="0.25">
      <c r="A13" s="272" t="s">
        <v>734</v>
      </c>
      <c r="B13" s="229" t="s">
        <v>2</v>
      </c>
      <c r="C13" s="331">
        <f t="shared" ca="1" si="20"/>
        <v>6.25E-2</v>
      </c>
      <c r="D13" s="553" t="s">
        <v>358</v>
      </c>
      <c r="E13" s="192">
        <v>33</v>
      </c>
      <c r="F13" s="193">
        <f ca="1">59-41471+$D$1-325-112-112-112-112-112-112-112-112-112-112-112-112-112-112-112-112</f>
        <v>105</v>
      </c>
      <c r="G13" s="230"/>
      <c r="H13" s="325">
        <v>2</v>
      </c>
      <c r="I13" s="195">
        <v>4.5</v>
      </c>
      <c r="J13" s="415">
        <f t="shared" si="4"/>
        <v>0.98715025265899181</v>
      </c>
      <c r="K13" s="270">
        <f t="shared" si="5"/>
        <v>18</v>
      </c>
      <c r="L13" s="270">
        <f t="shared" si="6"/>
        <v>40.5</v>
      </c>
      <c r="M13" s="263">
        <v>6.2</v>
      </c>
      <c r="N13" s="382">
        <f t="shared" si="7"/>
        <v>81</v>
      </c>
      <c r="O13" s="382" t="s">
        <v>447</v>
      </c>
      <c r="P13" s="569">
        <v>1.5</v>
      </c>
      <c r="Q13" s="383">
        <v>4</v>
      </c>
      <c r="R13" s="429">
        <f t="shared" si="8"/>
        <v>0.7559289460184544</v>
      </c>
      <c r="S13" s="429">
        <f t="shared" si="9"/>
        <v>0.84430867747355465</v>
      </c>
      <c r="T13" s="291">
        <v>5870</v>
      </c>
      <c r="U13" s="523">
        <f t="shared" si="2"/>
        <v>110</v>
      </c>
      <c r="V13" s="524">
        <v>1690</v>
      </c>
      <c r="W13" s="283">
        <f t="shared" si="3"/>
        <v>3.473372781065089</v>
      </c>
      <c r="X13" s="414">
        <v>0</v>
      </c>
      <c r="Y13" s="415">
        <f>4.45+0.06+0.2+0.06+0.06+(0.06*68/90)+0.06+0.06+0.06+0.04+(0.22*35/90)+0.04+0.04+0.04+0.04+0.04+0.04*0.5+0.2*66/90+0.02+0.12*33/90+0.02+0.02</f>
        <v>5.6515555555555519</v>
      </c>
      <c r="Z13" s="414">
        <v>8.9499999999999993</v>
      </c>
      <c r="AA13" s="415">
        <v>6.95</v>
      </c>
      <c r="AB13" s="414">
        <f>5.2+0.38+0.38+0.33+0.3+0.3+0.3+0.3+0.28+0.25+0.2+0.2+0.15+0.15*40/90+0.14+0.13+0.12+0.12+0.11+0.01</f>
        <v>9.2666666666666639</v>
      </c>
      <c r="AC13" s="415">
        <v>2.95</v>
      </c>
      <c r="AD13" s="414">
        <f>10+0.65+0.65+0.5+0.4+0.25+0.2+0.25*71/90</f>
        <v>12.847222222222223</v>
      </c>
      <c r="AE13" s="581">
        <v>864</v>
      </c>
      <c r="AF13" s="501">
        <f t="shared" si="10"/>
        <v>8.6456729359472106</v>
      </c>
      <c r="AG13" s="501">
        <f t="shared" si="11"/>
        <v>9.6661561980040744</v>
      </c>
      <c r="AH13" s="283">
        <f t="shared" si="12"/>
        <v>2.9902980218246666</v>
      </c>
      <c r="AI13" s="283">
        <f t="shared" si="13"/>
        <v>7.4531375941235565</v>
      </c>
      <c r="AJ13" s="283">
        <f t="shared" si="14"/>
        <v>9.3472169939048939</v>
      </c>
      <c r="AK13" s="283">
        <f t="shared" si="15"/>
        <v>0.73188868687938613</v>
      </c>
      <c r="AL13" s="283">
        <f t="shared" si="16"/>
        <v>0.78557940657501812</v>
      </c>
      <c r="AM13" s="278">
        <f t="shared" si="17"/>
        <v>11.503856902156008</v>
      </c>
      <c r="AN13" s="278">
        <f t="shared" si="18"/>
        <v>12.861703018325491</v>
      </c>
      <c r="AO13" s="383">
        <v>1</v>
      </c>
      <c r="AP13" s="383">
        <v>2</v>
      </c>
      <c r="AQ13" s="490">
        <f t="shared" si="19"/>
        <v>4.9399999999999999E-2</v>
      </c>
      <c r="AR13" s="583"/>
      <c r="AS13" s="583"/>
      <c r="AT13" s="583"/>
      <c r="AU13" s="583"/>
      <c r="AV13" s="490"/>
      <c r="AW13" s="490"/>
      <c r="AX13" s="490"/>
      <c r="AY13" s="490"/>
      <c r="AZ13" s="490"/>
      <c r="BA13" s="490"/>
      <c r="BB13" s="490"/>
      <c r="BC13" s="490"/>
      <c r="BD13" s="490"/>
      <c r="BE13" s="490"/>
      <c r="BF13" s="490"/>
      <c r="BG13" s="291">
        <v>5760</v>
      </c>
      <c r="BH13" s="586"/>
      <c r="BJ13" s="335"/>
      <c r="BK13" s="343"/>
    </row>
    <row r="14" spans="1:63" s="228" customFormat="1" x14ac:dyDescent="0.25">
      <c r="A14" s="330" t="s">
        <v>455</v>
      </c>
      <c r="B14" s="330" t="s">
        <v>64</v>
      </c>
      <c r="C14" s="331">
        <f t="shared" ca="1" si="20"/>
        <v>15.4375</v>
      </c>
      <c r="D14" s="584" t="s">
        <v>707</v>
      </c>
      <c r="E14" s="332">
        <v>18</v>
      </c>
      <c r="F14" s="193">
        <f ca="1">-43571+$D$1</f>
        <v>63</v>
      </c>
      <c r="G14" s="333" t="s">
        <v>410</v>
      </c>
      <c r="H14" s="325">
        <v>4</v>
      </c>
      <c r="I14" s="275">
        <v>0.4</v>
      </c>
      <c r="J14" s="415">
        <f t="shared" si="4"/>
        <v>0.19483738090431735</v>
      </c>
      <c r="K14" s="270">
        <f t="shared" si="5"/>
        <v>6.4</v>
      </c>
      <c r="L14" s="270">
        <f t="shared" si="6"/>
        <v>10</v>
      </c>
      <c r="M14" s="334">
        <v>5.2</v>
      </c>
      <c r="N14" s="382">
        <f t="shared" si="7"/>
        <v>71</v>
      </c>
      <c r="O14" s="568">
        <v>43626</v>
      </c>
      <c r="P14" s="569">
        <f t="shared" ref="P14:P23" ca="1" si="21">IF((TODAY()-O14)&gt;335,1,((TODAY()-O14)^0.64)/(336^0.64))</f>
        <v>9.1436681135175488E-2</v>
      </c>
      <c r="Q14" s="382">
        <v>5</v>
      </c>
      <c r="R14" s="429">
        <f t="shared" si="8"/>
        <v>0.84515425472851657</v>
      </c>
      <c r="S14" s="429">
        <f t="shared" si="9"/>
        <v>0.92504826128926143</v>
      </c>
      <c r="T14" s="291">
        <v>4990</v>
      </c>
      <c r="U14" s="523">
        <f t="shared" si="2"/>
        <v>690</v>
      </c>
      <c r="V14" s="291">
        <v>684</v>
      </c>
      <c r="W14" s="283">
        <f t="shared" si="3"/>
        <v>7.295321637426901</v>
      </c>
      <c r="X14" s="414">
        <v>0</v>
      </c>
      <c r="Y14" s="415">
        <v>4</v>
      </c>
      <c r="Z14" s="414">
        <f>7+0.2</f>
        <v>7.2</v>
      </c>
      <c r="AA14" s="415">
        <v>3</v>
      </c>
      <c r="AB14" s="414">
        <v>4</v>
      </c>
      <c r="AC14" s="415">
        <v>7</v>
      </c>
      <c r="AD14" s="414">
        <v>6</v>
      </c>
      <c r="AE14" s="581">
        <v>631</v>
      </c>
      <c r="AF14" s="501">
        <f t="shared" ca="1" si="10"/>
        <v>6.3270563755964124</v>
      </c>
      <c r="AG14" s="501">
        <f t="shared" ca="1" si="11"/>
        <v>6.9309429990420677</v>
      </c>
      <c r="AH14" s="283">
        <f t="shared" ca="1" si="12"/>
        <v>1.3584610351744348</v>
      </c>
      <c r="AI14" s="283">
        <f t="shared" ca="1" si="13"/>
        <v>6.7212292334406571</v>
      </c>
      <c r="AJ14" s="283">
        <f t="shared" ca="1" si="14"/>
        <v>5.5664175463407473</v>
      </c>
      <c r="AK14" s="283">
        <f t="shared" ca="1" si="15"/>
        <v>0.55290192496315949</v>
      </c>
      <c r="AL14" s="283">
        <f t="shared" ca="1" si="16"/>
        <v>0.3600391843427645</v>
      </c>
      <c r="AM14" s="278">
        <f t="shared" ca="1" si="17"/>
        <v>4.6997760398629138</v>
      </c>
      <c r="AN14" s="278">
        <f t="shared" ca="1" si="18"/>
        <v>5.1483467045104332</v>
      </c>
      <c r="AO14" s="382">
        <v>4</v>
      </c>
      <c r="AP14" s="382">
        <v>3</v>
      </c>
      <c r="AQ14" s="490">
        <f t="shared" si="19"/>
        <v>0.157</v>
      </c>
      <c r="AR14" s="590">
        <v>9</v>
      </c>
      <c r="AS14" s="590">
        <v>22</v>
      </c>
      <c r="AT14" s="590">
        <v>29</v>
      </c>
      <c r="AU14" s="590">
        <v>5</v>
      </c>
      <c r="AV14" s="590">
        <f>AR14*1+AS14*0.066</f>
        <v>10.452</v>
      </c>
      <c r="AW14" s="590">
        <f>AR14*0.919+AS14*0.167</f>
        <v>11.945</v>
      </c>
      <c r="AX14" s="590">
        <f>AR14*1+AS14*0.236</f>
        <v>14.192</v>
      </c>
      <c r="AY14" s="590">
        <f>AR14*0.75+AS14*0.165</f>
        <v>10.38</v>
      </c>
      <c r="AZ14" s="590">
        <f>AR14*0.73+AS14*0.38</f>
        <v>14.93</v>
      </c>
      <c r="BA14" s="590">
        <f>AR14*0.45+AS14*1</f>
        <v>26.05</v>
      </c>
      <c r="BB14" s="590">
        <f>AR14*0.65+AS14*0.95</f>
        <v>26.75</v>
      </c>
      <c r="BC14" s="590">
        <f>AR14*0.3+AS14*0.53</f>
        <v>14.36</v>
      </c>
      <c r="BD14" s="590">
        <f>AR14*0.4+AS14*0.44</f>
        <v>13.28</v>
      </c>
      <c r="BE14" s="590">
        <f>AR14*0.25+AS14*0.73</f>
        <v>18.309999999999999</v>
      </c>
      <c r="BF14" s="590">
        <f>AS14*0.46</f>
        <v>10.120000000000001</v>
      </c>
      <c r="BG14" s="291">
        <v>4300</v>
      </c>
      <c r="BH14" s="586">
        <v>2327</v>
      </c>
      <c r="BJ14" s="335"/>
      <c r="BK14" s="343"/>
    </row>
    <row r="15" spans="1:63" s="228" customFormat="1" x14ac:dyDescent="0.25">
      <c r="A15" s="330" t="s">
        <v>356</v>
      </c>
      <c r="B15" s="330" t="s">
        <v>64</v>
      </c>
      <c r="C15" s="331">
        <f t="shared" ca="1" si="20"/>
        <v>15.946428571428571</v>
      </c>
      <c r="D15" s="584" t="s">
        <v>730</v>
      </c>
      <c r="E15" s="332">
        <v>18</v>
      </c>
      <c r="F15" s="193">
        <f ca="1">-43628+$D$1</f>
        <v>6</v>
      </c>
      <c r="G15" s="333" t="s">
        <v>252</v>
      </c>
      <c r="H15" s="577">
        <v>6</v>
      </c>
      <c r="I15" s="275">
        <v>1.2</v>
      </c>
      <c r="J15" s="415">
        <f t="shared" si="4"/>
        <v>0.45656357442960838</v>
      </c>
      <c r="K15" s="270">
        <f t="shared" si="5"/>
        <v>43.199999999999996</v>
      </c>
      <c r="L15" s="270">
        <f t="shared" si="6"/>
        <v>58.8</v>
      </c>
      <c r="M15" s="334">
        <v>3.8</v>
      </c>
      <c r="N15" s="382">
        <f t="shared" si="7"/>
        <v>57</v>
      </c>
      <c r="O15" s="568">
        <v>43633</v>
      </c>
      <c r="P15" s="569">
        <f t="shared" ca="1" si="21"/>
        <v>2.4162555382234736E-2</v>
      </c>
      <c r="Q15" s="382">
        <v>6</v>
      </c>
      <c r="R15" s="429">
        <f t="shared" si="8"/>
        <v>0.92582009977255142</v>
      </c>
      <c r="S15" s="429">
        <f t="shared" si="9"/>
        <v>0.99928545900129484</v>
      </c>
      <c r="T15" s="291">
        <v>8190</v>
      </c>
      <c r="U15" s="523">
        <f t="shared" si="2"/>
        <v>0</v>
      </c>
      <c r="V15" s="291">
        <v>1490</v>
      </c>
      <c r="W15" s="283">
        <f t="shared" si="3"/>
        <v>5.4966442953020138</v>
      </c>
      <c r="X15" s="414">
        <v>0</v>
      </c>
      <c r="Y15" s="415">
        <v>3</v>
      </c>
      <c r="Z15" s="414">
        <v>5</v>
      </c>
      <c r="AA15" s="415">
        <v>2</v>
      </c>
      <c r="AB15" s="414">
        <v>6</v>
      </c>
      <c r="AC15" s="415">
        <v>9</v>
      </c>
      <c r="AD15" s="414">
        <v>2</v>
      </c>
      <c r="AE15" s="581">
        <v>639</v>
      </c>
      <c r="AF15" s="501">
        <f t="shared" ref="AF15" ca="1" si="22">(Z15+P15+J15)*(Q15/7)^0.5</f>
        <v>5.0741664123284309</v>
      </c>
      <c r="AG15" s="501">
        <f t="shared" ref="AG15" ca="1" si="23">(Z15+P15+J15)*(IF(Q15=7, (Q15/7)^0.5, ((Q15+1)/7)^0.5))</f>
        <v>5.4807261298118437</v>
      </c>
      <c r="AH15" s="283">
        <f t="shared" ca="1" si="12"/>
        <v>1.9028124046231614</v>
      </c>
      <c r="AI15" s="283">
        <f t="shared" ca="1" si="13"/>
        <v>8.7975173108394706</v>
      </c>
      <c r="AJ15" s="283">
        <f t="shared" ca="1" si="14"/>
        <v>4.2409283225331338</v>
      </c>
      <c r="AK15" s="283">
        <f t="shared" ca="1" si="15"/>
        <v>0.54845809038494742</v>
      </c>
      <c r="AL15" s="283">
        <f t="shared" ca="1" si="16"/>
        <v>0.21365082908682903</v>
      </c>
      <c r="AM15" s="278">
        <f t="shared" ca="1" si="17"/>
        <v>1.9717538311344127</v>
      </c>
      <c r="AN15" s="278">
        <f t="shared" ca="1" si="18"/>
        <v>2.1297375501124014</v>
      </c>
      <c r="AO15" s="382">
        <v>4</v>
      </c>
      <c r="AP15" s="382">
        <v>2</v>
      </c>
      <c r="AQ15" s="490">
        <f t="shared" si="19"/>
        <v>0.157</v>
      </c>
      <c r="AR15" s="590">
        <v>6</v>
      </c>
      <c r="AS15" s="590">
        <v>12</v>
      </c>
      <c r="AT15" s="590">
        <v>32</v>
      </c>
      <c r="AU15" s="590">
        <v>1</v>
      </c>
      <c r="AV15" s="590">
        <f t="shared" ref="AV15:AV23" si="24">AR15*1+AS15*0.066</f>
        <v>6.7919999999999998</v>
      </c>
      <c r="AW15" s="590">
        <f t="shared" ref="AW15:AW23" si="25">AR15*0.919+AS15*0.167</f>
        <v>7.5180000000000007</v>
      </c>
      <c r="AX15" s="590">
        <f t="shared" ref="AX15:AX23" si="26">AR15*1+AS15*0.236</f>
        <v>8.8320000000000007</v>
      </c>
      <c r="AY15" s="590">
        <f t="shared" ref="AY15:AY23" si="27">AR15*0.75+AS15*0.165</f>
        <v>6.48</v>
      </c>
      <c r="AZ15" s="590">
        <f t="shared" ref="AZ15:AZ23" si="28">AR15*0.73+AS15*0.38</f>
        <v>8.9400000000000013</v>
      </c>
      <c r="BA15" s="590">
        <f t="shared" ref="BA15:BA23" si="29">AR15*0.45+AS15*1</f>
        <v>14.7</v>
      </c>
      <c r="BB15" s="590">
        <f t="shared" ref="BB15:BB23" si="30">AR15*0.65+AS15*0.95</f>
        <v>15.299999999999999</v>
      </c>
      <c r="BC15" s="590">
        <f t="shared" ref="BC15:BC23" si="31">AR15*0.3+AS15*0.53</f>
        <v>8.16</v>
      </c>
      <c r="BD15" s="590">
        <f t="shared" ref="BD15:BD23" si="32">AR15*0.4+AS15*0.44</f>
        <v>7.6800000000000006</v>
      </c>
      <c r="BE15" s="590">
        <f t="shared" ref="BE15:BE23" si="33">AR15*0.25+AS15*0.73</f>
        <v>10.26</v>
      </c>
      <c r="BF15" s="590">
        <f t="shared" ref="BF15:BF23" si="34">AS15*0.46</f>
        <v>5.5200000000000005</v>
      </c>
      <c r="BG15" s="291">
        <v>8190</v>
      </c>
      <c r="BH15" s="586">
        <v>4689</v>
      </c>
      <c r="BJ15" s="335"/>
      <c r="BK15" s="343"/>
    </row>
    <row r="16" spans="1:63" s="228" customFormat="1" x14ac:dyDescent="0.25">
      <c r="A16" s="330" t="s">
        <v>413</v>
      </c>
      <c r="B16" s="330" t="s">
        <v>64</v>
      </c>
      <c r="C16" s="331">
        <f ca="1">((34*112)-(E16*112)-(F16))/112</f>
        <v>15.294642857142858</v>
      </c>
      <c r="D16" s="584" t="s">
        <v>729</v>
      </c>
      <c r="E16" s="332">
        <v>18</v>
      </c>
      <c r="F16" s="193">
        <f ca="1">-43569+$D$1+14</f>
        <v>79</v>
      </c>
      <c r="G16" s="333" t="s">
        <v>243</v>
      </c>
      <c r="H16" s="325">
        <v>1</v>
      </c>
      <c r="I16" s="275">
        <v>1.8</v>
      </c>
      <c r="J16" s="415">
        <f>LOG(I16+1)*4/3</f>
        <v>0.59621070845629232</v>
      </c>
      <c r="K16" s="270">
        <f>(H16)*(H16)*(I16)</f>
        <v>1.8</v>
      </c>
      <c r="L16" s="270">
        <f>(H16+1)*(H16+1)*I16</f>
        <v>7.2</v>
      </c>
      <c r="M16" s="334">
        <v>3.8</v>
      </c>
      <c r="N16" s="382">
        <f>M16*10+19</f>
        <v>57</v>
      </c>
      <c r="O16" s="568">
        <v>43630</v>
      </c>
      <c r="P16" s="569">
        <f ca="1">IF((TODAY()-O16)&gt;335,1,((TODAY()-O16)^0.64)/(336^0.64))</f>
        <v>5.8676102278042847E-2</v>
      </c>
      <c r="Q16" s="382">
        <v>4</v>
      </c>
      <c r="R16" s="429">
        <f>(Q16/7)^0.5</f>
        <v>0.7559289460184544</v>
      </c>
      <c r="S16" s="429">
        <f>IF(Q16=7,1,((Q16+0.99)/7)^0.5)</f>
        <v>0.84430867747355465</v>
      </c>
      <c r="T16" s="291">
        <v>6480</v>
      </c>
      <c r="U16" s="523">
        <f>T16-BG16</f>
        <v>0</v>
      </c>
      <c r="V16" s="291">
        <v>1044</v>
      </c>
      <c r="W16" s="283">
        <f>T16/V16</f>
        <v>6.2068965517241379</v>
      </c>
      <c r="X16" s="414">
        <v>0</v>
      </c>
      <c r="Y16" s="415">
        <v>4</v>
      </c>
      <c r="Z16" s="414">
        <v>8</v>
      </c>
      <c r="AA16" s="415">
        <v>3</v>
      </c>
      <c r="AB16" s="414">
        <v>2</v>
      </c>
      <c r="AC16" s="415">
        <v>8</v>
      </c>
      <c r="AD16" s="414">
        <v>0</v>
      </c>
      <c r="AE16" s="581">
        <v>644</v>
      </c>
      <c r="AF16" s="501">
        <f ca="1">(Z16+P16+J16)*(Q16/7)^0.5</f>
        <v>6.5424794647474274</v>
      </c>
      <c r="AG16" s="501">
        <f ca="1">(Z16+P16+J16)*(IF(Q16=7, (Q16/7)^0.5, ((Q16+1)/7)^0.5))</f>
        <v>7.3147144122858441</v>
      </c>
      <c r="AH16" s="283">
        <f ca="1">(((Y16+P16+J16)+(AB16+P16+J16)*2)/8)*(Q16/7)^0.5</f>
        <v>0.94157190724337669</v>
      </c>
      <c r="AI16" s="283">
        <f ca="1">(1.66*(AC16+J16+P16)+0.55*(AD16+J16+P16)-7.6)*(Q16/7)^0.5</f>
        <v>5.3877322648703609</v>
      </c>
      <c r="AJ16" s="283">
        <f ca="1">((AD16+J16+P16)*0.7+(AC16+J16+P16)*0.3)*(Q16/7)^0.5</f>
        <v>2.3092773670440829</v>
      </c>
      <c r="AK16" s="283">
        <f ca="1">(0.5*(AC16+P16+J16)+ 0.3*(AD16+P16+J16))/10</f>
        <v>0.45239094485874676</v>
      </c>
      <c r="AL16" s="283">
        <f ca="1">(0.4*(Y16+P16+J16)+0.3*(AD16+P16+J16))/10</f>
        <v>0.20584207675140348</v>
      </c>
      <c r="AM16" s="278">
        <f ca="1">(AD16+P16+(LOG(I16)*4/3))*(Q16/7)^0.5</f>
        <v>0.3016454651251555</v>
      </c>
      <c r="AN16" s="278">
        <f ca="1">(AD16+P16+(LOG(I16)*4/3))*(IF(Q16=7, (Q16/7)^0.5, ((Q16+1)/7)^0.5))</f>
        <v>0.33724988256219496</v>
      </c>
      <c r="AO16" s="382">
        <v>3</v>
      </c>
      <c r="AP16" s="382">
        <v>0</v>
      </c>
      <c r="AQ16" s="490">
        <f>IF(AO16=4,IF(AP16=0,0.137+0.0697,0.137+0.02),IF(AO16=3,IF(AP16=0,0.0958+0.0697,0.0958+0.02),IF(AO16=2,IF(AP16=0,0.0415+0.0697,0.0415+0.02),IF(AO16=1,IF(AP16=0,0.0294+0.0697,0.0294+0.02),IF(AO16=0,IF(AP16=0,0.0063+0.0697,0.0063+0.02))))))</f>
        <v>0.16549999999999998</v>
      </c>
      <c r="AR16" s="590">
        <v>9</v>
      </c>
      <c r="AS16" s="590">
        <v>26</v>
      </c>
      <c r="AT16" s="590">
        <v>26</v>
      </c>
      <c r="AU16" s="590">
        <v>-1</v>
      </c>
      <c r="AV16" s="590">
        <f>AR16*1+AS16*0.066</f>
        <v>10.716000000000001</v>
      </c>
      <c r="AW16" s="590">
        <f>AR16*0.919+AS16*0.167</f>
        <v>12.613000000000001</v>
      </c>
      <c r="AX16" s="590">
        <f>AR16*1+AS16*0.236</f>
        <v>15.135999999999999</v>
      </c>
      <c r="AY16" s="590">
        <f>AR16*0.75+AS16*0.165</f>
        <v>11.04</v>
      </c>
      <c r="AZ16" s="590">
        <f>AR16*0.73+AS16*0.38</f>
        <v>16.450000000000003</v>
      </c>
      <c r="BA16" s="590">
        <f>AR16*0.45+AS16*1</f>
        <v>30.05</v>
      </c>
      <c r="BB16" s="590">
        <f>AR16*0.65+AS16*0.95</f>
        <v>30.55</v>
      </c>
      <c r="BC16" s="590">
        <f>AR16*0.3+AS16*0.53</f>
        <v>16.48</v>
      </c>
      <c r="BD16" s="590">
        <f>AR16*0.4+AS16*0.44</f>
        <v>15.04</v>
      </c>
      <c r="BE16" s="590">
        <f>AR16*0.25+AS16*0.73</f>
        <v>21.23</v>
      </c>
      <c r="BF16" s="590">
        <f>AS16*0.46</f>
        <v>11.96</v>
      </c>
      <c r="BG16" s="291">
        <v>6480</v>
      </c>
      <c r="BH16" s="586">
        <v>1887</v>
      </c>
      <c r="BJ16" s="335"/>
      <c r="BK16" s="343"/>
    </row>
    <row r="17" spans="1:63" s="228" customFormat="1" x14ac:dyDescent="0.25">
      <c r="A17" s="330" t="s">
        <v>349</v>
      </c>
      <c r="B17" s="330" t="s">
        <v>64</v>
      </c>
      <c r="C17" s="331">
        <f ca="1">((34*112)-(E17*112)-(F17))/112</f>
        <v>15.294642857142858</v>
      </c>
      <c r="D17" s="584" t="s">
        <v>724</v>
      </c>
      <c r="E17" s="332">
        <v>18</v>
      </c>
      <c r="F17" s="193">
        <f ca="1">-43569+$D$1+14</f>
        <v>79</v>
      </c>
      <c r="G17" s="333" t="s">
        <v>252</v>
      </c>
      <c r="H17" s="325">
        <v>1</v>
      </c>
      <c r="I17" s="275">
        <v>1.6</v>
      </c>
      <c r="J17" s="415">
        <f>LOG(I17+1)*4/3</f>
        <v>0.55329779729442397</v>
      </c>
      <c r="K17" s="270">
        <f>(H17)*(H17)*(I17)</f>
        <v>1.6</v>
      </c>
      <c r="L17" s="270">
        <f>(H17+1)*(H17+1)*I17</f>
        <v>6.4</v>
      </c>
      <c r="M17" s="334">
        <v>6.5</v>
      </c>
      <c r="N17" s="382">
        <f>M17*10+19</f>
        <v>84</v>
      </c>
      <c r="O17" s="568">
        <v>43627</v>
      </c>
      <c r="P17" s="569">
        <f ca="1">IF((TODAY()-O17)&gt;335,1,((TODAY()-O17)^0.64)/(336^0.64))</f>
        <v>8.394708266038052E-2</v>
      </c>
      <c r="Q17" s="382">
        <v>6</v>
      </c>
      <c r="R17" s="429">
        <f>(Q17/7)^0.5</f>
        <v>0.92582009977255142</v>
      </c>
      <c r="S17" s="429">
        <f>IF(Q17=7,1,((Q17+0.99)/7)^0.5)</f>
        <v>0.99928545900129484</v>
      </c>
      <c r="T17" s="291">
        <v>11680</v>
      </c>
      <c r="U17" s="523">
        <f>T17-BG17</f>
        <v>1100</v>
      </c>
      <c r="V17" s="291">
        <v>924</v>
      </c>
      <c r="W17" s="283">
        <f>T17/V17</f>
        <v>12.64069264069264</v>
      </c>
      <c r="X17" s="414">
        <v>0</v>
      </c>
      <c r="Y17" s="415">
        <v>2</v>
      </c>
      <c r="Z17" s="414">
        <f>8+0.2</f>
        <v>8.1999999999999993</v>
      </c>
      <c r="AA17" s="415">
        <v>5</v>
      </c>
      <c r="AB17" s="414">
        <v>4</v>
      </c>
      <c r="AC17" s="415">
        <v>8</v>
      </c>
      <c r="AD17" s="414">
        <v>6</v>
      </c>
      <c r="AE17" s="581">
        <v>696</v>
      </c>
      <c r="AF17" s="501">
        <f ca="1">(Z17+P17+J17)*(Q17/7)^0.5</f>
        <v>8.1816989364742252</v>
      </c>
      <c r="AG17" s="501">
        <f ca="1">(Z17+P17+J17)*(IF(Q17=7, (Q17/7)^0.5, ((Q17+1)/7)^0.5))</f>
        <v>8.8372448799548025</v>
      </c>
      <c r="AH17" s="283">
        <f ca="1">(((Y17+P17+J17)+(AB17+P17+J17)*2)/8)*(Q17/7)^0.5</f>
        <v>1.3785154190929285</v>
      </c>
      <c r="AI17" s="283">
        <f ca="1">(1.66*(AC17+J17+P17)+0.55*(AD17+J17+P17)-7.6)*(Q17/7)^0.5</f>
        <v>9.6177072974873727</v>
      </c>
      <c r="AJ17" s="283">
        <f ca="1">((AD17+J17+P17)*0.7+(AC17+J17+P17)*0.3)*(Q17/7)^0.5</f>
        <v>6.7003867768381431</v>
      </c>
      <c r="AK17" s="283">
        <f ca="1">(0.5*(AC17+P17+J17)+ 0.3*(AD17+P17+J17))/10</f>
        <v>0.63097959039638429</v>
      </c>
      <c r="AL17" s="283">
        <f ca="1">(0.4*(Y17+P17+J17)+0.3*(AD17+P17+J17))/10</f>
        <v>0.30460714159683633</v>
      </c>
      <c r="AM17" s="278">
        <f ca="1">(AD17+P17+(LOG(I17)*4/3))*(Q17/7)^0.5</f>
        <v>5.884611672023663</v>
      </c>
      <c r="AN17" s="278">
        <f ca="1">(AD17+P17+(LOG(I17)*4/3))*(IF(Q17=7, (Q17/7)^0.5, ((Q17+1)/7)^0.5))</f>
        <v>6.3561070595349465</v>
      </c>
      <c r="AO17" s="382">
        <v>4</v>
      </c>
      <c r="AP17" s="382">
        <v>2</v>
      </c>
      <c r="AQ17" s="490">
        <f>IF(AO17=4,IF(AP17=0,0.137+0.0697,0.137+0.02),IF(AO17=3,IF(AP17=0,0.0958+0.0697,0.0958+0.02),IF(AO17=2,IF(AP17=0,0.0415+0.0697,0.0415+0.02),IF(AO17=1,IF(AP17=0,0.0294+0.0697,0.0294+0.02),IF(AO17=0,IF(AP17=0,0.0063+0.0697,0.0063+0.02))))))</f>
        <v>0.157</v>
      </c>
      <c r="AR17" s="590">
        <v>3</v>
      </c>
      <c r="AS17" s="590">
        <v>27</v>
      </c>
      <c r="AT17" s="590">
        <v>26</v>
      </c>
      <c r="AU17" s="590">
        <v>5</v>
      </c>
      <c r="AV17" s="590">
        <f>AR17*1+AS17*0.066</f>
        <v>4.782</v>
      </c>
      <c r="AW17" s="590">
        <f>AR17*0.919+AS17*0.167</f>
        <v>7.266</v>
      </c>
      <c r="AX17" s="590">
        <f>AR17*1+AS17*0.236</f>
        <v>9.3719999999999999</v>
      </c>
      <c r="AY17" s="590">
        <f>AR17*0.75+AS17*0.165</f>
        <v>6.7050000000000001</v>
      </c>
      <c r="AZ17" s="590">
        <f>AR17*0.73+AS17*0.38</f>
        <v>12.45</v>
      </c>
      <c r="BA17" s="590">
        <f>AR17*0.45+AS17*1</f>
        <v>28.35</v>
      </c>
      <c r="BB17" s="590">
        <f>AR17*0.65+AS17*0.95</f>
        <v>27.599999999999998</v>
      </c>
      <c r="BC17" s="590">
        <f>AR17*0.3+AS17*0.53</f>
        <v>15.21</v>
      </c>
      <c r="BD17" s="590">
        <f>AR17*0.4+AS17*0.44</f>
        <v>13.080000000000002</v>
      </c>
      <c r="BE17" s="590">
        <f>AR17*0.25+AS17*0.73</f>
        <v>20.46</v>
      </c>
      <c r="BF17" s="590">
        <f>AS17*0.46</f>
        <v>12.42</v>
      </c>
      <c r="BG17" s="291">
        <v>10580</v>
      </c>
      <c r="BH17" s="586">
        <v>3853</v>
      </c>
      <c r="BJ17" s="335"/>
      <c r="BK17" s="343"/>
    </row>
    <row r="18" spans="1:63" s="228" customFormat="1" x14ac:dyDescent="0.25">
      <c r="A18" s="330" t="s">
        <v>450</v>
      </c>
      <c r="B18" s="330" t="s">
        <v>64</v>
      </c>
      <c r="C18" s="331">
        <f ca="1">((34*112)-(E18*112)-(F18))/112</f>
        <v>14.883928571428571</v>
      </c>
      <c r="D18" s="584" t="s">
        <v>727</v>
      </c>
      <c r="E18" s="332">
        <v>19</v>
      </c>
      <c r="F18" s="193">
        <f ca="1">-43626+$D$1+5</f>
        <v>13</v>
      </c>
      <c r="G18" s="333" t="s">
        <v>410</v>
      </c>
      <c r="H18" s="325">
        <v>4</v>
      </c>
      <c r="I18" s="275">
        <v>0.3</v>
      </c>
      <c r="J18" s="415">
        <f>LOG(I18+1)*4/3</f>
        <v>0.15192446974244905</v>
      </c>
      <c r="K18" s="270">
        <f>(H18)*(H18)*(I18)</f>
        <v>4.8</v>
      </c>
      <c r="L18" s="270">
        <f>(H18+1)*(H18+1)*I18</f>
        <v>7.5</v>
      </c>
      <c r="M18" s="334">
        <v>4.5999999999999996</v>
      </c>
      <c r="N18" s="382">
        <f>M18*10+19</f>
        <v>65</v>
      </c>
      <c r="O18" s="568">
        <v>43628</v>
      </c>
      <c r="P18" s="569">
        <f ca="1">IF((TODAY()-O18)&gt;335,1,((TODAY()-O18)^0.64)/(336^0.64))</f>
        <v>7.6060585239192346E-2</v>
      </c>
      <c r="Q18" s="382">
        <v>6</v>
      </c>
      <c r="R18" s="429">
        <f>(Q18/7)^0.5</f>
        <v>0.92582009977255142</v>
      </c>
      <c r="S18" s="429">
        <f>IF(Q18=7,1,((Q18+0.99)/7)^0.5)</f>
        <v>0.99928545900129484</v>
      </c>
      <c r="T18" s="291">
        <v>7560</v>
      </c>
      <c r="U18" s="523">
        <f>T18-BG18</f>
        <v>620</v>
      </c>
      <c r="V18" s="291">
        <v>948</v>
      </c>
      <c r="W18" s="283">
        <f>T18/V18</f>
        <v>7.9746835443037973</v>
      </c>
      <c r="X18" s="414">
        <v>0</v>
      </c>
      <c r="Y18" s="415">
        <v>7</v>
      </c>
      <c r="Z18" s="414">
        <f>7+1/9</f>
        <v>7.1111111111111107</v>
      </c>
      <c r="AA18" s="415">
        <v>1</v>
      </c>
      <c r="AB18" s="414">
        <v>1</v>
      </c>
      <c r="AC18" s="415">
        <v>6</v>
      </c>
      <c r="AD18" s="414">
        <v>1</v>
      </c>
      <c r="AE18" s="581">
        <v>597</v>
      </c>
      <c r="AF18" s="501">
        <f ca="1">(Z18+P18+J18)*(Q18/7)^0.5</f>
        <v>6.7946827447323406</v>
      </c>
      <c r="AG18" s="501">
        <f ca="1">(Z18+P18+J18)*(IF(Q18=7, (Q18/7)^0.5, ((Q18+1)/7)^0.5))</f>
        <v>7.3390961660927516</v>
      </c>
      <c r="AH18" s="283">
        <f ca="1">(((Y18+P18+J18)+(AB18+P18+J18)*2)/8)*(Q18/7)^0.5</f>
        <v>1.120700042125278</v>
      </c>
      <c r="AI18" s="283">
        <f ca="1">(1.66*(AC18+J18+P18)+0.55*(AD18+J18+P18)-7.6)*(Q18/7)^0.5</f>
        <v>3.1606081437710785</v>
      </c>
      <c r="AJ18" s="283">
        <f ca="1">((AD18+J18+P18)*0.7+(AC18+J18+P18)*0.3)*(Q18/7)^0.5</f>
        <v>2.5256233957811318</v>
      </c>
      <c r="AK18" s="283">
        <f ca="1">(0.5*(AC18+P18+J18)+ 0.3*(AD18+P18+J18))/10</f>
        <v>0.34823880439853128</v>
      </c>
      <c r="AL18" s="283">
        <f ca="1">(0.4*(Y18+P18+J18)+0.3*(AD18+P18+J18))/10</f>
        <v>0.32595895384871493</v>
      </c>
      <c r="AM18" s="278">
        <f ca="1">(AD18+P18+(LOG(I18)*4/3))*(Q18/7)^0.5</f>
        <v>0.35078298222160742</v>
      </c>
      <c r="AN18" s="278">
        <f ca="1">(AD18+P18+(LOG(I18)*4/3))*(IF(Q18=7, (Q18/7)^0.5, ((Q18+1)/7)^0.5))</f>
        <v>0.3788889248654087</v>
      </c>
      <c r="AO18" s="382">
        <v>4</v>
      </c>
      <c r="AP18" s="382">
        <v>2</v>
      </c>
      <c r="AQ18" s="490">
        <f>IF(AO18=4,IF(AP18=0,0.137+0.0697,0.137+0.02),IF(AO18=3,IF(AP18=0,0.0958+0.0697,0.0958+0.02),IF(AO18=2,IF(AP18=0,0.0415+0.0697,0.0415+0.02),IF(AO18=1,IF(AP18=0,0.0294+0.0697,0.0294+0.02),IF(AO18=0,IF(AP18=0,0.0063+0.0697,0.0063+0.02))))))</f>
        <v>0.157</v>
      </c>
      <c r="AR18" s="590">
        <v>23</v>
      </c>
      <c r="AS18" s="590">
        <v>21.5</v>
      </c>
      <c r="AT18" s="590">
        <v>16</v>
      </c>
      <c r="AU18" s="590">
        <v>0</v>
      </c>
      <c r="AV18" s="590">
        <f>AR18*1+AS18*0.066</f>
        <v>24.419</v>
      </c>
      <c r="AW18" s="590">
        <f>AR18*0.919+AS18*0.167</f>
        <v>24.727499999999999</v>
      </c>
      <c r="AX18" s="590">
        <f>AR18*1+AS18*0.236</f>
        <v>28.073999999999998</v>
      </c>
      <c r="AY18" s="590">
        <f>AR18*0.75+AS18*0.165</f>
        <v>20.797499999999999</v>
      </c>
      <c r="AZ18" s="590">
        <f>AR18*0.73+AS18*0.38</f>
        <v>24.96</v>
      </c>
      <c r="BA18" s="590">
        <f>AR18*0.45+AS18*1</f>
        <v>31.85</v>
      </c>
      <c r="BB18" s="590">
        <f>AR18*0.65+AS18*0.95</f>
        <v>35.375</v>
      </c>
      <c r="BC18" s="590">
        <f>AR18*0.3+AS18*0.53</f>
        <v>18.295000000000002</v>
      </c>
      <c r="BD18" s="590">
        <f>AR18*0.4+AS18*0.44</f>
        <v>18.660000000000004</v>
      </c>
      <c r="BE18" s="590">
        <f>AR18*0.25+AS18*0.73</f>
        <v>21.445</v>
      </c>
      <c r="BF18" s="590">
        <f>AS18*0.46</f>
        <v>9.89</v>
      </c>
      <c r="BG18" s="291">
        <v>6940</v>
      </c>
      <c r="BH18" s="586">
        <v>740</v>
      </c>
      <c r="BJ18" s="335"/>
      <c r="BK18" s="343"/>
    </row>
    <row r="19" spans="1:63" s="228" customFormat="1" x14ac:dyDescent="0.25">
      <c r="A19" s="330" t="s">
        <v>400</v>
      </c>
      <c r="B19" s="330" t="s">
        <v>64</v>
      </c>
      <c r="C19" s="331">
        <f ca="1">((34*112)-(E19*112)-(F19))/112</f>
        <v>14.928571428571429</v>
      </c>
      <c r="D19" s="584" t="s">
        <v>712</v>
      </c>
      <c r="E19" s="332">
        <v>19</v>
      </c>
      <c r="F19" s="193">
        <f ca="1">-43626+$D$1</f>
        <v>8</v>
      </c>
      <c r="G19" s="333" t="s">
        <v>169</v>
      </c>
      <c r="H19" s="325">
        <v>4</v>
      </c>
      <c r="I19" s="275">
        <v>1.8</v>
      </c>
      <c r="J19" s="415">
        <f>LOG(I19+1)*4/3</f>
        <v>0.59621070845629232</v>
      </c>
      <c r="K19" s="270">
        <f>(H19)*(H19)*(I19)</f>
        <v>28.8</v>
      </c>
      <c r="L19" s="270">
        <f>(H19+1)*(H19+1)*I19</f>
        <v>45</v>
      </c>
      <c r="M19" s="334">
        <v>2.9</v>
      </c>
      <c r="N19" s="382">
        <f>M19*10+19</f>
        <v>48</v>
      </c>
      <c r="O19" s="568">
        <v>43626</v>
      </c>
      <c r="P19" s="569">
        <f ca="1">IF((TODAY()-O19)&gt;335,1,((TODAY()-O19)^0.64)/(336^0.64))</f>
        <v>9.1436681135175488E-2</v>
      </c>
      <c r="Q19" s="382">
        <v>6</v>
      </c>
      <c r="R19" s="429">
        <f>(Q19/7)^0.5</f>
        <v>0.92582009977255142</v>
      </c>
      <c r="S19" s="429">
        <f>IF(Q19=7,1,((Q19+0.99)/7)^0.5)</f>
        <v>0.99928545900129484</v>
      </c>
      <c r="T19" s="291">
        <v>6610</v>
      </c>
      <c r="U19" s="523">
        <f>T19-BG19</f>
        <v>860</v>
      </c>
      <c r="V19" s="291">
        <v>870</v>
      </c>
      <c r="W19" s="283">
        <f>T19/V19</f>
        <v>7.5977011494252871</v>
      </c>
      <c r="X19" s="414">
        <v>0</v>
      </c>
      <c r="Y19" s="415">
        <v>7</v>
      </c>
      <c r="Z19" s="414">
        <f>7+0.2</f>
        <v>7.2</v>
      </c>
      <c r="AA19" s="415">
        <v>2</v>
      </c>
      <c r="AB19" s="414">
        <v>4</v>
      </c>
      <c r="AC19" s="415">
        <v>6</v>
      </c>
      <c r="AD19" s="414">
        <v>2</v>
      </c>
      <c r="AE19" s="581">
        <v>690</v>
      </c>
      <c r="AF19" s="501">
        <f ca="1">(Z19+P19+J19)*(Q19/7)^0.5</f>
        <v>7.3025424932022771</v>
      </c>
      <c r="AG19" s="501">
        <f ca="1">(Z19+P19+J19)*(IF(Q19=7, (Q19/7)^0.5, ((Q19+1)/7)^0.5))</f>
        <v>7.8876473895914678</v>
      </c>
      <c r="AH19" s="283">
        <f ca="1">(((Y19+P19+J19)+(AB19+P19+J19)*2)/8)*(Q19/7)^0.5</f>
        <v>1.9746518526384991</v>
      </c>
      <c r="AI19" s="283">
        <f ca="1">(1.66*(AC19+J19+P19)+0.55*(AD19+J19+P19)-7.6)*(Q19/7)^0.5</f>
        <v>4.6103070276092222</v>
      </c>
      <c r="AJ19" s="283">
        <f ca="1">((AD19+J19+P19)*0.7+(AC19+J19+P19)*0.3)*(Q19/7)^0.5</f>
        <v>3.5992620941120719</v>
      </c>
      <c r="AK19" s="283">
        <f ca="1">(0.5*(AC19+P19+J19)+ 0.3*(AD19+P19+J19))/10</f>
        <v>0.4150117911673174</v>
      </c>
      <c r="AL19" s="283">
        <f ca="1">(0.4*(Y19+P19+J19)+0.3*(AD19+P19+J19))/10</f>
        <v>0.38813531727140271</v>
      </c>
      <c r="AM19" s="278">
        <f ca="1">(AD19+P19+(LOG(I19)*4/3))*(Q19/7)^0.5</f>
        <v>2.251409338321785</v>
      </c>
      <c r="AN19" s="278">
        <f ca="1">(AD19+P19+(LOG(I19)*4/3))*(IF(Q19=7, (Q19/7)^0.5, ((Q19+1)/7)^0.5))</f>
        <v>2.4318000212729172</v>
      </c>
      <c r="AO19" s="382">
        <v>3</v>
      </c>
      <c r="AP19" s="382">
        <v>3</v>
      </c>
      <c r="AQ19" s="490">
        <f>IF(AO19=4,IF(AP19=0,0.137+0.0697,0.137+0.02),IF(AO19=3,IF(AP19=0,0.0958+0.0697,0.0958+0.02),IF(AO19=2,IF(AP19=0,0.0415+0.0697,0.0415+0.02),IF(AO19=1,IF(AP19=0,0.0294+0.0697,0.0294+0.02),IF(AO19=0,IF(AP19=0,0.0063+0.0697,0.0063+0.02))))))</f>
        <v>0.1158</v>
      </c>
      <c r="AR19" s="590">
        <v>23</v>
      </c>
      <c r="AS19" s="590">
        <v>22</v>
      </c>
      <c r="AT19" s="590">
        <v>16</v>
      </c>
      <c r="AU19" s="590">
        <v>1</v>
      </c>
      <c r="AV19" s="590">
        <f>AR19*1+AS19*0.066</f>
        <v>24.451999999999998</v>
      </c>
      <c r="AW19" s="590">
        <f>AR19*0.919+AS19*0.167</f>
        <v>24.811</v>
      </c>
      <c r="AX19" s="590">
        <f>AR19*1+AS19*0.236</f>
        <v>28.192</v>
      </c>
      <c r="AY19" s="590">
        <f>AR19*0.75+AS19*0.165</f>
        <v>20.88</v>
      </c>
      <c r="AZ19" s="590">
        <f>AR19*0.73+AS19*0.38</f>
        <v>25.15</v>
      </c>
      <c r="BA19" s="590">
        <f>AR19*0.45+AS19*1</f>
        <v>32.35</v>
      </c>
      <c r="BB19" s="590">
        <f>AR19*0.65+AS19*0.95</f>
        <v>35.85</v>
      </c>
      <c r="BC19" s="590">
        <f>AR19*0.3+AS19*0.53</f>
        <v>18.559999999999999</v>
      </c>
      <c r="BD19" s="590">
        <f>AR19*0.4+AS19*0.44</f>
        <v>18.880000000000003</v>
      </c>
      <c r="BE19" s="590">
        <f>AR19*0.25+AS19*0.73</f>
        <v>21.81</v>
      </c>
      <c r="BF19" s="590">
        <f>AS19*0.46</f>
        <v>10.120000000000001</v>
      </c>
      <c r="BG19" s="291">
        <v>5750</v>
      </c>
      <c r="BH19" s="586">
        <v>1308</v>
      </c>
      <c r="BJ19" s="335"/>
      <c r="BK19" s="343"/>
    </row>
    <row r="20" spans="1:63" s="228" customFormat="1" x14ac:dyDescent="0.25">
      <c r="A20" s="330" t="s">
        <v>732</v>
      </c>
      <c r="B20" s="330" t="s">
        <v>65</v>
      </c>
      <c r="C20" s="331">
        <f t="shared" ca="1" si="20"/>
        <v>15</v>
      </c>
      <c r="D20" s="552" t="s">
        <v>708</v>
      </c>
      <c r="E20" s="332">
        <v>19</v>
      </c>
      <c r="F20" s="193">
        <f ca="1">-43571+$D$1+49-112</f>
        <v>0</v>
      </c>
      <c r="G20" s="333"/>
      <c r="H20" s="325">
        <v>4</v>
      </c>
      <c r="I20" s="275">
        <v>1.8</v>
      </c>
      <c r="J20" s="415">
        <f t="shared" si="4"/>
        <v>0.59621070845629232</v>
      </c>
      <c r="K20" s="270">
        <f t="shared" si="5"/>
        <v>28.8</v>
      </c>
      <c r="L20" s="270">
        <f t="shared" si="6"/>
        <v>45</v>
      </c>
      <c r="M20" s="334">
        <v>3.7</v>
      </c>
      <c r="N20" s="382">
        <f t="shared" si="7"/>
        <v>56</v>
      </c>
      <c r="O20" s="568">
        <v>43624</v>
      </c>
      <c r="P20" s="569">
        <f t="shared" ca="1" si="21"/>
        <v>0.10547337971725297</v>
      </c>
      <c r="Q20" s="382">
        <v>5</v>
      </c>
      <c r="R20" s="429">
        <f t="shared" si="8"/>
        <v>0.84515425472851657</v>
      </c>
      <c r="S20" s="429">
        <f t="shared" si="9"/>
        <v>0.92504826128926143</v>
      </c>
      <c r="T20" s="291">
        <v>8630</v>
      </c>
      <c r="U20" s="523">
        <f t="shared" si="2"/>
        <v>370</v>
      </c>
      <c r="V20" s="291">
        <v>1650</v>
      </c>
      <c r="W20" s="283">
        <f t="shared" si="3"/>
        <v>5.2303030303030305</v>
      </c>
      <c r="X20" s="414">
        <v>0</v>
      </c>
      <c r="Y20" s="415">
        <v>5</v>
      </c>
      <c r="Z20" s="414">
        <f>6+1/30</f>
        <v>6.0333333333333332</v>
      </c>
      <c r="AA20" s="415">
        <v>2</v>
      </c>
      <c r="AB20" s="414">
        <v>3</v>
      </c>
      <c r="AC20" s="415">
        <v>9</v>
      </c>
      <c r="AD20" s="414">
        <v>1</v>
      </c>
      <c r="AE20" s="581">
        <v>655</v>
      </c>
      <c r="AF20" s="501">
        <f t="shared" ca="1" si="10"/>
        <v>5.6921286294572209</v>
      </c>
      <c r="AG20" s="501">
        <f t="shared" ca="1" si="11"/>
        <v>6.2354145011493705</v>
      </c>
      <c r="AH20" s="283">
        <f t="shared" ca="1" si="12"/>
        <v>1.3844738349748997</v>
      </c>
      <c r="AI20" s="283">
        <f t="shared" ca="1" si="13"/>
        <v>7.9788662264433228</v>
      </c>
      <c r="AJ20" s="283">
        <f t="shared" ca="1" si="14"/>
        <v>3.4665557586721278</v>
      </c>
      <c r="AK20" s="283">
        <f t="shared" ca="1" si="15"/>
        <v>0.53613472705388365</v>
      </c>
      <c r="AL20" s="283">
        <f t="shared" ca="1" si="16"/>
        <v>0.27911788617214817</v>
      </c>
      <c r="AM20" s="278">
        <f t="shared" ca="1" si="17"/>
        <v>1.2219550554281708</v>
      </c>
      <c r="AN20" s="278">
        <f t="shared" ca="1" si="18"/>
        <v>1.3385846962309693</v>
      </c>
      <c r="AO20" s="382">
        <v>2</v>
      </c>
      <c r="AP20" s="382">
        <v>2</v>
      </c>
      <c r="AQ20" s="490">
        <f t="shared" si="19"/>
        <v>6.1499999999999999E-2</v>
      </c>
      <c r="AR20" s="590">
        <v>13</v>
      </c>
      <c r="AS20" s="590">
        <f>16+1/30</f>
        <v>16.033333333333335</v>
      </c>
      <c r="AT20" s="590">
        <v>32</v>
      </c>
      <c r="AU20" s="590">
        <v>0</v>
      </c>
      <c r="AV20" s="590">
        <f t="shared" si="24"/>
        <v>14.058199999999999</v>
      </c>
      <c r="AW20" s="590">
        <f t="shared" si="25"/>
        <v>14.624566666666668</v>
      </c>
      <c r="AX20" s="590">
        <f t="shared" si="26"/>
        <v>16.783866666666668</v>
      </c>
      <c r="AY20" s="590">
        <f t="shared" si="27"/>
        <v>12.3955</v>
      </c>
      <c r="AZ20" s="590">
        <f t="shared" si="28"/>
        <v>15.582666666666668</v>
      </c>
      <c r="BA20" s="590">
        <f t="shared" si="29"/>
        <v>21.883333333333336</v>
      </c>
      <c r="BB20" s="590">
        <f t="shared" si="30"/>
        <v>23.681666666666668</v>
      </c>
      <c r="BC20" s="590">
        <f t="shared" si="31"/>
        <v>12.397666666666668</v>
      </c>
      <c r="BD20" s="590">
        <f t="shared" si="32"/>
        <v>12.254666666666669</v>
      </c>
      <c r="BE20" s="590">
        <f t="shared" si="33"/>
        <v>14.954333333333334</v>
      </c>
      <c r="BF20" s="590">
        <f t="shared" si="34"/>
        <v>7.3753333333333346</v>
      </c>
      <c r="BG20" s="291">
        <v>8260</v>
      </c>
      <c r="BH20" s="586">
        <v>1170</v>
      </c>
      <c r="BJ20" s="335"/>
      <c r="BK20" s="343"/>
    </row>
    <row r="21" spans="1:63" s="228" customFormat="1" x14ac:dyDescent="0.25">
      <c r="A21" s="330" t="s">
        <v>484</v>
      </c>
      <c r="B21" s="330" t="s">
        <v>65</v>
      </c>
      <c r="C21" s="331">
        <f t="shared" ca="1" si="20"/>
        <v>15.428571428571429</v>
      </c>
      <c r="D21" s="552" t="s">
        <v>709</v>
      </c>
      <c r="E21" s="332">
        <v>18</v>
      </c>
      <c r="F21" s="193">
        <f ca="1">-43570+$D$1</f>
        <v>64</v>
      </c>
      <c r="G21" s="333" t="s">
        <v>252</v>
      </c>
      <c r="H21" s="325">
        <v>5</v>
      </c>
      <c r="I21" s="275">
        <v>0.5</v>
      </c>
      <c r="J21" s="415">
        <f t="shared" si="4"/>
        <v>0.23478834540757498</v>
      </c>
      <c r="K21" s="270">
        <f t="shared" si="5"/>
        <v>12.5</v>
      </c>
      <c r="L21" s="270">
        <f t="shared" si="6"/>
        <v>18</v>
      </c>
      <c r="M21" s="334">
        <v>3.5</v>
      </c>
      <c r="N21" s="382">
        <f t="shared" si="7"/>
        <v>54</v>
      </c>
      <c r="O21" s="568">
        <v>43624</v>
      </c>
      <c r="P21" s="569">
        <f t="shared" ca="1" si="21"/>
        <v>0.10547337971725297</v>
      </c>
      <c r="Q21" s="382">
        <v>4</v>
      </c>
      <c r="R21" s="429">
        <f t="shared" si="8"/>
        <v>0.7559289460184544</v>
      </c>
      <c r="S21" s="429">
        <f t="shared" si="9"/>
        <v>0.84430867747355465</v>
      </c>
      <c r="T21" s="291">
        <v>3990</v>
      </c>
      <c r="U21" s="523">
        <f t="shared" si="2"/>
        <v>190</v>
      </c>
      <c r="V21" s="291">
        <v>1092</v>
      </c>
      <c r="W21" s="283">
        <f t="shared" si="3"/>
        <v>3.6538461538461537</v>
      </c>
      <c r="X21" s="414">
        <v>0</v>
      </c>
      <c r="Y21" s="415">
        <v>3</v>
      </c>
      <c r="Z21" s="414">
        <f>7+1/35</f>
        <v>7.0285714285714285</v>
      </c>
      <c r="AA21" s="415">
        <v>1</v>
      </c>
      <c r="AB21" s="414">
        <v>1</v>
      </c>
      <c r="AC21" s="415">
        <v>8</v>
      </c>
      <c r="AD21" s="414">
        <v>3</v>
      </c>
      <c r="AE21" s="581">
        <v>532</v>
      </c>
      <c r="AF21" s="501">
        <f t="shared" ca="1" si="10"/>
        <v>5.5703142792594544</v>
      </c>
      <c r="AG21" s="501">
        <f t="shared" ca="1" si="11"/>
        <v>6.2278006922309439</v>
      </c>
      <c r="AH21" s="283">
        <f t="shared" ca="1" si="12"/>
        <v>0.5689107239780461</v>
      </c>
      <c r="AI21" s="283">
        <f t="shared" ca="1" si="13"/>
        <v>6.1094014231245817</v>
      </c>
      <c r="AJ21" s="283">
        <f t="shared" ca="1" si="14"/>
        <v>3.6588939443270769</v>
      </c>
      <c r="AK21" s="283">
        <f t="shared" ca="1" si="15"/>
        <v>0.51722093800998625</v>
      </c>
      <c r="AL21" s="283">
        <f t="shared" ca="1" si="16"/>
        <v>0.23381832075873801</v>
      </c>
      <c r="AM21" s="278">
        <f t="shared" ca="1" si="17"/>
        <v>2.0441075023617463</v>
      </c>
      <c r="AN21" s="278">
        <f t="shared" ca="1" si="18"/>
        <v>2.2853816642990887</v>
      </c>
      <c r="AO21" s="382">
        <v>1</v>
      </c>
      <c r="AP21" s="382">
        <v>2</v>
      </c>
      <c r="AQ21" s="490">
        <f t="shared" si="19"/>
        <v>4.9399999999999999E-2</v>
      </c>
      <c r="AR21" s="590">
        <v>6</v>
      </c>
      <c r="AS21" s="590">
        <f>21+1/35</f>
        <v>21.028571428571428</v>
      </c>
      <c r="AT21" s="590">
        <v>26</v>
      </c>
      <c r="AU21" s="590">
        <v>2</v>
      </c>
      <c r="AV21" s="590">
        <f t="shared" si="24"/>
        <v>7.3878857142857139</v>
      </c>
      <c r="AW21" s="590">
        <f t="shared" si="25"/>
        <v>9.0257714285714279</v>
      </c>
      <c r="AX21" s="590">
        <f t="shared" si="26"/>
        <v>10.962742857142857</v>
      </c>
      <c r="AY21" s="590">
        <f t="shared" si="27"/>
        <v>7.9697142857142858</v>
      </c>
      <c r="AZ21" s="590">
        <f t="shared" si="28"/>
        <v>12.370857142857144</v>
      </c>
      <c r="BA21" s="590">
        <f t="shared" si="29"/>
        <v>23.728571428571428</v>
      </c>
      <c r="BB21" s="590">
        <f t="shared" si="30"/>
        <v>23.877142857142857</v>
      </c>
      <c r="BC21" s="590">
        <f t="shared" si="31"/>
        <v>12.945142857142859</v>
      </c>
      <c r="BD21" s="590">
        <f t="shared" si="32"/>
        <v>11.652571428571429</v>
      </c>
      <c r="BE21" s="590">
        <f t="shared" si="33"/>
        <v>16.850857142857144</v>
      </c>
      <c r="BF21" s="590">
        <f t="shared" si="34"/>
        <v>9.6731428571428584</v>
      </c>
      <c r="BG21" s="291">
        <v>3800</v>
      </c>
      <c r="BH21" s="586">
        <v>941</v>
      </c>
      <c r="BJ21" s="335"/>
      <c r="BK21" s="343"/>
    </row>
    <row r="22" spans="1:63" s="228" customFormat="1" x14ac:dyDescent="0.25">
      <c r="A22" s="330" t="s">
        <v>731</v>
      </c>
      <c r="B22" s="330" t="s">
        <v>65</v>
      </c>
      <c r="C22" s="331">
        <f t="shared" ca="1" si="20"/>
        <v>15.419642857142858</v>
      </c>
      <c r="D22" s="552" t="s">
        <v>710</v>
      </c>
      <c r="E22" s="332">
        <v>18</v>
      </c>
      <c r="F22" s="193">
        <f ca="1">-43569+$D$1</f>
        <v>65</v>
      </c>
      <c r="G22" s="333" t="s">
        <v>410</v>
      </c>
      <c r="H22" s="325">
        <v>4</v>
      </c>
      <c r="I22" s="275">
        <v>0.6</v>
      </c>
      <c r="J22" s="415">
        <f t="shared" si="4"/>
        <v>0.27215997687456639</v>
      </c>
      <c r="K22" s="270">
        <f t="shared" si="5"/>
        <v>9.6</v>
      </c>
      <c r="L22" s="270">
        <f t="shared" si="6"/>
        <v>15</v>
      </c>
      <c r="M22" s="334">
        <v>5.5</v>
      </c>
      <c r="N22" s="382">
        <f t="shared" si="7"/>
        <v>74</v>
      </c>
      <c r="O22" s="568">
        <v>43626</v>
      </c>
      <c r="P22" s="569">
        <f t="shared" ca="1" si="21"/>
        <v>9.1436681135175488E-2</v>
      </c>
      <c r="Q22" s="382">
        <v>7</v>
      </c>
      <c r="R22" s="429">
        <f t="shared" si="8"/>
        <v>1</v>
      </c>
      <c r="S22" s="429">
        <f t="shared" si="9"/>
        <v>1</v>
      </c>
      <c r="T22" s="291">
        <v>5710</v>
      </c>
      <c r="U22" s="523">
        <f t="shared" si="2"/>
        <v>70</v>
      </c>
      <c r="V22" s="291">
        <v>660</v>
      </c>
      <c r="W22" s="283">
        <f t="shared" si="3"/>
        <v>8.6515151515151523</v>
      </c>
      <c r="X22" s="414">
        <v>0</v>
      </c>
      <c r="Y22" s="415">
        <v>6</v>
      </c>
      <c r="Z22" s="414">
        <f>6+1/30</f>
        <v>6.0333333333333332</v>
      </c>
      <c r="AA22" s="415">
        <v>2</v>
      </c>
      <c r="AB22" s="414">
        <v>3</v>
      </c>
      <c r="AC22" s="415">
        <v>6</v>
      </c>
      <c r="AD22" s="414">
        <v>8</v>
      </c>
      <c r="AE22" s="581">
        <v>605</v>
      </c>
      <c r="AF22" s="501">
        <f t="shared" ca="1" si="10"/>
        <v>6.3969299913430753</v>
      </c>
      <c r="AG22" s="501">
        <f t="shared" ca="1" si="11"/>
        <v>6.3969299913430753</v>
      </c>
      <c r="AH22" s="283">
        <f t="shared" ca="1" si="12"/>
        <v>1.6363487467536533</v>
      </c>
      <c r="AI22" s="283">
        <f t="shared" ca="1" si="13"/>
        <v>7.5635486142015278</v>
      </c>
      <c r="AJ22" s="283">
        <f t="shared" ca="1" si="14"/>
        <v>7.7635966580097406</v>
      </c>
      <c r="AK22" s="283">
        <f t="shared" ca="1" si="15"/>
        <v>0.56908773264077939</v>
      </c>
      <c r="AL22" s="283">
        <f t="shared" ca="1" si="16"/>
        <v>0.50545176606068198</v>
      </c>
      <c r="AM22" s="278">
        <f t="shared" ca="1" si="17"/>
        <v>7.795638348313366</v>
      </c>
      <c r="AN22" s="278">
        <f t="shared" ca="1" si="18"/>
        <v>7.795638348313366</v>
      </c>
      <c r="AO22" s="382">
        <v>2</v>
      </c>
      <c r="AP22" s="382">
        <v>3</v>
      </c>
      <c r="AQ22" s="490">
        <f t="shared" si="19"/>
        <v>6.1499999999999999E-2</v>
      </c>
      <c r="AR22" s="590">
        <v>18</v>
      </c>
      <c r="AS22" s="590">
        <f>16+1/30</f>
        <v>16.033333333333335</v>
      </c>
      <c r="AT22" s="590">
        <v>16</v>
      </c>
      <c r="AU22" s="590">
        <v>8</v>
      </c>
      <c r="AV22" s="590">
        <f t="shared" si="24"/>
        <v>19.058199999999999</v>
      </c>
      <c r="AW22" s="590">
        <f t="shared" si="25"/>
        <v>19.219566666666669</v>
      </c>
      <c r="AX22" s="590">
        <f t="shared" si="26"/>
        <v>21.783866666666668</v>
      </c>
      <c r="AY22" s="590">
        <f t="shared" si="27"/>
        <v>16.145499999999998</v>
      </c>
      <c r="AZ22" s="590">
        <f t="shared" si="28"/>
        <v>19.232666666666667</v>
      </c>
      <c r="BA22" s="590">
        <f t="shared" si="29"/>
        <v>24.133333333333333</v>
      </c>
      <c r="BB22" s="590">
        <f t="shared" si="30"/>
        <v>26.931666666666668</v>
      </c>
      <c r="BC22" s="590">
        <f t="shared" si="31"/>
        <v>13.897666666666666</v>
      </c>
      <c r="BD22" s="590">
        <f t="shared" si="32"/>
        <v>14.254666666666669</v>
      </c>
      <c r="BE22" s="590">
        <f t="shared" si="33"/>
        <v>16.204333333333334</v>
      </c>
      <c r="BF22" s="590">
        <f t="shared" si="34"/>
        <v>7.3753333333333346</v>
      </c>
      <c r="BG22" s="291">
        <v>5640</v>
      </c>
      <c r="BH22" s="586">
        <v>1548</v>
      </c>
      <c r="BJ22" s="335"/>
      <c r="BK22" s="343"/>
    </row>
    <row r="23" spans="1:63" s="228" customFormat="1" x14ac:dyDescent="0.25">
      <c r="A23" s="330" t="s">
        <v>733</v>
      </c>
      <c r="B23" s="330" t="s">
        <v>65</v>
      </c>
      <c r="C23" s="331">
        <f t="shared" ca="1" si="20"/>
        <v>15.133928571428571</v>
      </c>
      <c r="D23" s="552" t="s">
        <v>711</v>
      </c>
      <c r="E23" s="332">
        <v>18</v>
      </c>
      <c r="F23" s="193">
        <f ca="1">-43570+$D$1+33</f>
        <v>97</v>
      </c>
      <c r="G23" s="333" t="s">
        <v>252</v>
      </c>
      <c r="H23" s="325">
        <v>4</v>
      </c>
      <c r="I23" s="275">
        <v>0.5</v>
      </c>
      <c r="J23" s="415">
        <f t="shared" si="4"/>
        <v>0.23478834540757498</v>
      </c>
      <c r="K23" s="270">
        <f t="shared" si="5"/>
        <v>8</v>
      </c>
      <c r="L23" s="270">
        <f t="shared" si="6"/>
        <v>12.5</v>
      </c>
      <c r="M23" s="334">
        <v>6.5</v>
      </c>
      <c r="N23" s="382">
        <f t="shared" si="7"/>
        <v>84</v>
      </c>
      <c r="O23" s="568">
        <v>43626</v>
      </c>
      <c r="P23" s="569">
        <f t="shared" ca="1" si="21"/>
        <v>9.1436681135175488E-2</v>
      </c>
      <c r="Q23" s="382">
        <v>6</v>
      </c>
      <c r="R23" s="429">
        <f t="shared" si="8"/>
        <v>0.92582009977255142</v>
      </c>
      <c r="S23" s="429">
        <f t="shared" si="9"/>
        <v>0.99928545900129484</v>
      </c>
      <c r="T23" s="291">
        <v>10590</v>
      </c>
      <c r="U23" s="523">
        <f t="shared" si="2"/>
        <v>280</v>
      </c>
      <c r="V23" s="291">
        <v>1140</v>
      </c>
      <c r="W23" s="283">
        <f t="shared" si="3"/>
        <v>9.2894736842105257</v>
      </c>
      <c r="X23" s="414">
        <v>0</v>
      </c>
      <c r="Y23" s="415">
        <v>4</v>
      </c>
      <c r="Z23" s="414">
        <f>5+1/7</f>
        <v>5.1428571428571432</v>
      </c>
      <c r="AA23" s="415">
        <v>3</v>
      </c>
      <c r="AB23" s="414">
        <v>4</v>
      </c>
      <c r="AC23" s="415">
        <v>9</v>
      </c>
      <c r="AD23" s="414">
        <v>8</v>
      </c>
      <c r="AE23" s="581">
        <v>658</v>
      </c>
      <c r="AF23" s="501">
        <f t="shared" ca="1" si="10"/>
        <v>5.0633861997380913</v>
      </c>
      <c r="AG23" s="501">
        <f t="shared" ca="1" si="11"/>
        <v>5.4690821693998934</v>
      </c>
      <c r="AH23" s="283">
        <f t="shared" ca="1" si="12"/>
        <v>1.5019897821421195</v>
      </c>
      <c r="AI23" s="283">
        <f t="shared" ca="1" si="13"/>
        <v>11.53660473876462</v>
      </c>
      <c r="AJ23" s="283">
        <f t="shared" ca="1" si="14"/>
        <v>7.9863325147342872</v>
      </c>
      <c r="AK23" s="283">
        <f t="shared" ca="1" si="15"/>
        <v>0.7160980021234199</v>
      </c>
      <c r="AL23" s="283">
        <f t="shared" ca="1" si="16"/>
        <v>0.42283575185799249</v>
      </c>
      <c r="AM23" s="278">
        <f t="shared" ca="1" si="17"/>
        <v>7.1196152212716388</v>
      </c>
      <c r="AN23" s="278">
        <f t="shared" ca="1" si="18"/>
        <v>7.6900633535831995</v>
      </c>
      <c r="AO23" s="382">
        <v>1</v>
      </c>
      <c r="AP23" s="382">
        <v>1</v>
      </c>
      <c r="AQ23" s="490">
        <f t="shared" si="19"/>
        <v>4.9399999999999999E-2</v>
      </c>
      <c r="AR23" s="590">
        <v>9</v>
      </c>
      <c r="AS23" s="590">
        <f>12+1/7</f>
        <v>12.142857142857142</v>
      </c>
      <c r="AT23" s="590">
        <v>32</v>
      </c>
      <c r="AU23" s="590">
        <v>6</v>
      </c>
      <c r="AV23" s="590">
        <f t="shared" si="24"/>
        <v>9.8014285714285716</v>
      </c>
      <c r="AW23" s="590">
        <f t="shared" si="25"/>
        <v>10.298857142857145</v>
      </c>
      <c r="AX23" s="590">
        <f t="shared" si="26"/>
        <v>11.865714285714287</v>
      </c>
      <c r="AY23" s="590">
        <f t="shared" si="27"/>
        <v>8.7535714285714281</v>
      </c>
      <c r="AZ23" s="590">
        <f t="shared" si="28"/>
        <v>11.184285714285714</v>
      </c>
      <c r="BA23" s="590">
        <f t="shared" si="29"/>
        <v>16.192857142857143</v>
      </c>
      <c r="BB23" s="590">
        <f t="shared" si="30"/>
        <v>17.385714285714286</v>
      </c>
      <c r="BC23" s="590">
        <f t="shared" si="31"/>
        <v>9.1357142857142861</v>
      </c>
      <c r="BD23" s="590">
        <f t="shared" si="32"/>
        <v>8.9428571428571431</v>
      </c>
      <c r="BE23" s="590">
        <f t="shared" si="33"/>
        <v>11.114285714285714</v>
      </c>
      <c r="BF23" s="590">
        <f t="shared" si="34"/>
        <v>5.5857142857142854</v>
      </c>
      <c r="BG23" s="291">
        <v>10310</v>
      </c>
      <c r="BH23" s="586">
        <v>1841</v>
      </c>
      <c r="BJ23" s="335"/>
      <c r="BK23" s="343"/>
    </row>
    <row r="24" spans="1:63" s="225" customFormat="1" x14ac:dyDescent="0.25">
      <c r="A24" s="330" t="s">
        <v>354</v>
      </c>
      <c r="B24" s="330" t="s">
        <v>66</v>
      </c>
      <c r="C24" s="331">
        <f ca="1">((34*112)-(E24*112)-(F24))/112</f>
        <v>-1.25</v>
      </c>
      <c r="D24" s="552" t="s">
        <v>254</v>
      </c>
      <c r="E24" s="332">
        <v>35</v>
      </c>
      <c r="F24" s="337">
        <f ca="1">75-41471+$D$1-24-112-10-112-40-8-112-112-112-112-112-112-112-112-112-112-112-112-112-112-112-112-112</f>
        <v>28</v>
      </c>
      <c r="G24" s="333" t="s">
        <v>241</v>
      </c>
      <c r="H24" s="325">
        <v>2</v>
      </c>
      <c r="I24" s="275">
        <v>13.5</v>
      </c>
      <c r="J24" s="415">
        <f>LOG(I24+1)*4/3</f>
        <v>1.5484906696466332</v>
      </c>
      <c r="K24" s="270">
        <f>(H24)*(H24)*(I24)</f>
        <v>54</v>
      </c>
      <c r="L24" s="270">
        <f>(H24+1)*(H24+1)*I24</f>
        <v>121.5</v>
      </c>
      <c r="M24" s="334">
        <v>5.5</v>
      </c>
      <c r="N24" s="382">
        <f>M24*10+19</f>
        <v>74</v>
      </c>
      <c r="O24" s="382" t="s">
        <v>447</v>
      </c>
      <c r="P24" s="569">
        <v>1.5</v>
      </c>
      <c r="Q24" s="382">
        <v>7</v>
      </c>
      <c r="R24" s="429">
        <f>(Q24/7)^0.5</f>
        <v>1</v>
      </c>
      <c r="S24" s="429">
        <f>IF(Q24=7,1,((Q24+0.99)/7)^0.5)</f>
        <v>1</v>
      </c>
      <c r="T24" s="582">
        <v>15520</v>
      </c>
      <c r="U24" s="523">
        <f>T24-BG24</f>
        <v>-240</v>
      </c>
      <c r="V24" s="291">
        <v>3410</v>
      </c>
      <c r="W24" s="283">
        <f>T24/V24</f>
        <v>4.551319648093842</v>
      </c>
      <c r="X24" s="414">
        <v>0</v>
      </c>
      <c r="Y24" s="415">
        <f>7+0.11+0.11+1/33</f>
        <v>7.2503030303030309</v>
      </c>
      <c r="Z24" s="414">
        <f>10+0.1*0.5+0.1*0.5+0.1*0.5+0.1*0.5+0.1*0.5+0.1+0.1+0.1*0.5+0.1*0.5+0.1*0.5</f>
        <v>10.600000000000005</v>
      </c>
      <c r="AA24" s="415">
        <v>12.95</v>
      </c>
      <c r="AB24" s="414">
        <v>9.9499999999999993</v>
      </c>
      <c r="AC24" s="415">
        <v>3.95</v>
      </c>
      <c r="AD24" s="414">
        <v>18</v>
      </c>
      <c r="AE24" s="581">
        <v>1470</v>
      </c>
      <c r="AF24" s="501">
        <f>(Z24+P24+J24)*(Q24/7)^0.5</f>
        <v>13.648490669646637</v>
      </c>
      <c r="AG24" s="501">
        <f>(Z24+P24+J24)*(IF(Q24=7, (Q24/7)^0.5, ((Q24+1)/7)^0.5))</f>
        <v>13.648490669646637</v>
      </c>
      <c r="AH24" s="283">
        <f>(((Y24+P24+J24)+(AB24+P24+J24)*2)/8)*(Q24/7)^0.5</f>
        <v>4.5369718799053658</v>
      </c>
      <c r="AI24" s="283">
        <f>(1.66*(AC24+J24+P24)+0.55*(AD24+J24+P24)-7.6)*(Q24/7)^0.5</f>
        <v>15.594164379919059</v>
      </c>
      <c r="AJ24" s="283">
        <f>((AD24+J24+P24)*0.7+(AC24+J24+P24)*0.3)*(Q24/7)^0.5</f>
        <v>16.833490669646633</v>
      </c>
      <c r="AK24" s="283">
        <f>(0.5*(AC24+P24+J24)+ 0.3*(AD24+P24+J24))/10</f>
        <v>0.98137925357173061</v>
      </c>
      <c r="AL24" s="283">
        <f>(0.4*(Y24+P24+J24)+0.3*(AD24+P24+J24))/10</f>
        <v>1.0434064680873854</v>
      </c>
      <c r="AM24" s="278">
        <f>(AD24+P24+(LOG(I24)*4/3))*(Q24/7)^0.5</f>
        <v>21.007111691326674</v>
      </c>
      <c r="AN24" s="278">
        <f>(AD24+P24+(LOG(I24)*4/3))*(IF(Q24=7, (Q24/7)^0.5, ((Q24+1)/7)^0.5))</f>
        <v>21.007111691326674</v>
      </c>
      <c r="AO24" s="382">
        <v>4</v>
      </c>
      <c r="AP24" s="382">
        <v>4</v>
      </c>
      <c r="AQ24" s="490">
        <f>IF(AO24=4,IF(AP24=0,0.137+0.0697,0.137+0.02),IF(AO24=3,IF(AP24=0,0.0958+0.0697,0.0958+0.02),IF(AO24=2,IF(AP24=0,0.0415+0.0697,0.0415+0.02),IF(AO24=1,IF(AP24=0,0.0294+0.0697,0.0294+0.02),IF(AO24=0,IF(AP24=0,0.0063+0.0697,0.0063+0.02))))))</f>
        <v>0.157</v>
      </c>
      <c r="AR24" s="583"/>
      <c r="AS24" s="583"/>
      <c r="AT24" s="583"/>
      <c r="AU24" s="583"/>
      <c r="AV24" s="490"/>
      <c r="AW24" s="490"/>
      <c r="AX24" s="490"/>
      <c r="AY24" s="490"/>
      <c r="AZ24" s="490"/>
      <c r="BA24" s="490"/>
      <c r="BB24" s="490"/>
      <c r="BC24" s="490"/>
      <c r="BD24" s="490"/>
      <c r="BE24" s="490"/>
      <c r="BF24" s="490"/>
      <c r="BG24" s="582">
        <v>15760</v>
      </c>
      <c r="BH24" s="588"/>
      <c r="BJ24" s="335"/>
      <c r="BK24" s="343"/>
    </row>
    <row r="25" spans="1:63" s="231" customFormat="1" x14ac:dyDescent="0.25">
      <c r="A25" s="330" t="s">
        <v>353</v>
      </c>
      <c r="B25" s="330" t="s">
        <v>66</v>
      </c>
      <c r="C25" s="331">
        <f ca="1">((34*112)-(E25*112)-(F25))/112</f>
        <v>1.6160714285714286</v>
      </c>
      <c r="D25" s="552" t="s">
        <v>415</v>
      </c>
      <c r="E25" s="332">
        <v>32</v>
      </c>
      <c r="F25" s="193">
        <f ca="1">7-41471+$D$1-112-111-112+4-112-116-112-112-112-112-112-112-112-112-112-112-112-112-112-112</f>
        <v>43</v>
      </c>
      <c r="G25" s="333" t="s">
        <v>410</v>
      </c>
      <c r="H25" s="325">
        <v>2</v>
      </c>
      <c r="I25" s="275">
        <v>13</v>
      </c>
      <c r="J25" s="415">
        <f>LOG(I25+1)*4/3</f>
        <v>1.5281707142376506</v>
      </c>
      <c r="K25" s="270">
        <f>(H25)*(H25)*(I25)</f>
        <v>52</v>
      </c>
      <c r="L25" s="270">
        <f>(H25+1)*(H25+1)*I25</f>
        <v>117</v>
      </c>
      <c r="M25" s="334">
        <v>6.8</v>
      </c>
      <c r="N25" s="382">
        <f>M25*10+19</f>
        <v>87</v>
      </c>
      <c r="O25" s="382" t="s">
        <v>447</v>
      </c>
      <c r="P25" s="569">
        <v>1.5</v>
      </c>
      <c r="Q25" s="382">
        <v>6</v>
      </c>
      <c r="R25" s="429">
        <f>(Q25/7)^0.5</f>
        <v>0.92582009977255142</v>
      </c>
      <c r="S25" s="429">
        <f>IF(Q25=7,1,((Q25+0.99)/7)^0.5)</f>
        <v>0.99928545900129484</v>
      </c>
      <c r="T25" s="291">
        <v>101020</v>
      </c>
      <c r="U25" s="523">
        <f>T25-BG25</f>
        <v>-470</v>
      </c>
      <c r="V25" s="291">
        <v>12210</v>
      </c>
      <c r="W25" s="283">
        <f>T25/V25</f>
        <v>8.2735462735462733</v>
      </c>
      <c r="X25" s="414">
        <v>0</v>
      </c>
      <c r="Y25" s="415">
        <f>8+0.12+0.12+0.12</f>
        <v>8.3599999999999977</v>
      </c>
      <c r="Z25" s="414">
        <f>8.4+0.22+0.22+(0.22*75/90)+(0.05*15/90)+0.17+0.17+0.17+0.17+0.17+1/7+0.16+0.16+0.16+0.125+0.16+0.16+0.14+0.14+0.05*61/90+0.11+0.11*0.5+0.11+0.11+0.11+0.1+0.1+0.1*0.5+0.1*0.5+0.1+0.1*0.5+0.09*0.5</f>
        <v>12.253412698412699</v>
      </c>
      <c r="AA25" s="415">
        <v>12.95</v>
      </c>
      <c r="AB25" s="414">
        <f>6+0.33+0.33+0.33+0.3+0.25+0.25+0.24+0.24+0.23+0.2+0.2+0.18+0.15+0.15+0.15+0.15+0.13+0.13+0.12+0.1+0.08</f>
        <v>10.24</v>
      </c>
      <c r="AC25" s="415">
        <v>6.95</v>
      </c>
      <c r="AD25" s="414">
        <v>16</v>
      </c>
      <c r="AE25" s="581">
        <v>1760</v>
      </c>
      <c r="AF25" s="501">
        <f>(Z25+P25+J25)*(Q25/7)^0.5</f>
        <v>14.147997079782513</v>
      </c>
      <c r="AG25" s="501">
        <f>(Z25+P25+J25)*(IF(Q25=7, (Q25/7)^0.5, ((Q25+1)/7)^0.5))</f>
        <v>15.281583412650349</v>
      </c>
      <c r="AH25" s="283">
        <f>(((Y25+P25+J25)+(AB25+P25+J25)*2)/8)*(Q25/7)^0.5</f>
        <v>4.3889094519739809</v>
      </c>
      <c r="AI25" s="283">
        <f>(1.66*(AC25+J25+P25)+0.55*(AD25+J25+P25)-7.6)*(Q25/7)^0.5</f>
        <v>17.98799691205523</v>
      </c>
      <c r="AJ25" s="283">
        <f>((AD25+J25+P25)*0.7+(AC25+J25+P25)*0.3)*(Q25/7)^0.5</f>
        <v>15.103061338262165</v>
      </c>
      <c r="AK25" s="283">
        <f>(0.5*(AC25+P25+J25)+ 0.3*(AD25+P25+J25))/10</f>
        <v>1.069753657139012</v>
      </c>
      <c r="AL25" s="283">
        <f>(0.4*(Y25+P25+J25)+0.3*(AD25+P25+J25))/10</f>
        <v>1.0263719499966355</v>
      </c>
      <c r="AM25" s="278">
        <f>(AD25+P25+(LOG(I25)*4/3))*(Q25/7)^0.5</f>
        <v>17.576933273451232</v>
      </c>
      <c r="AN25" s="278">
        <f>(AD25+P25+(LOG(I25)*4/3))*(IF(Q25=7, (Q25/7)^0.5, ((Q25+1)/7)^0.5))</f>
        <v>18.985257803075783</v>
      </c>
      <c r="AO25" s="382">
        <v>3</v>
      </c>
      <c r="AP25" s="382">
        <v>2</v>
      </c>
      <c r="AQ25" s="490">
        <f>IF(AO25=4,IF(AP25=0,0.137+0.0697,0.137+0.02),IF(AO25=3,IF(AP25=0,0.0958+0.0697,0.0958+0.02),IF(AO25=2,IF(AP25=0,0.0415+0.0697,0.0415+0.02),IF(AO25=1,IF(AP25=0,0.0294+0.0697,0.0294+0.02),IF(AO25=0,IF(AP25=0,0.0063+0.0697,0.0063+0.02))))))</f>
        <v>0.1158</v>
      </c>
      <c r="AR25" s="583"/>
      <c r="AS25" s="583"/>
      <c r="AT25" s="583"/>
      <c r="AU25" s="583"/>
      <c r="AV25" s="490"/>
      <c r="AW25" s="490"/>
      <c r="AX25" s="490"/>
      <c r="AY25" s="490"/>
      <c r="AZ25" s="490"/>
      <c r="BA25" s="490"/>
      <c r="BB25" s="490"/>
      <c r="BC25" s="490"/>
      <c r="BD25" s="490"/>
      <c r="BE25" s="490"/>
      <c r="BF25" s="490"/>
      <c r="BG25" s="291">
        <v>101490</v>
      </c>
      <c r="BH25" s="586"/>
      <c r="BJ25" s="335"/>
      <c r="BK25" s="343"/>
    </row>
    <row r="26" spans="1:63" s="231" customFormat="1" x14ac:dyDescent="0.25">
      <c r="A26" s="272" t="s">
        <v>355</v>
      </c>
      <c r="B26" s="229" t="s">
        <v>66</v>
      </c>
      <c r="C26" s="331">
        <f ca="1">((34*112)-(E26*112)-(F26))/112</f>
        <v>-1.3839285714285714</v>
      </c>
      <c r="D26" s="553" t="s">
        <v>345</v>
      </c>
      <c r="E26" s="192">
        <v>35</v>
      </c>
      <c r="F26" s="193">
        <f ca="1">7-41471+$D$1-112-111-112-112-112-112-112-112-112-112-112-112-112-112-112-112-112-112-112</f>
        <v>43</v>
      </c>
      <c r="G26" s="230"/>
      <c r="H26" s="325">
        <v>0</v>
      </c>
      <c r="I26" s="195">
        <v>12</v>
      </c>
      <c r="J26" s="415">
        <f>LOG(I26+1)*4/3</f>
        <v>1.4852578030757824</v>
      </c>
      <c r="K26" s="270">
        <f>(H26)*(H26)*(I26)</f>
        <v>0</v>
      </c>
      <c r="L26" s="270">
        <f>(H26+1)*(H26+1)*I26</f>
        <v>12</v>
      </c>
      <c r="M26" s="263">
        <v>5.5</v>
      </c>
      <c r="N26" s="382">
        <f>M26*10+19</f>
        <v>74</v>
      </c>
      <c r="O26" s="382" t="s">
        <v>447</v>
      </c>
      <c r="P26" s="569">
        <v>1.5</v>
      </c>
      <c r="Q26" s="383">
        <v>5</v>
      </c>
      <c r="R26" s="429">
        <f>(Q26/7)^0.5</f>
        <v>0.84515425472851657</v>
      </c>
      <c r="S26" s="429">
        <f>IF(Q26=7,1,((Q26+0.99)/7)^0.5)</f>
        <v>0.92504826128926143</v>
      </c>
      <c r="T26" s="291">
        <v>10800</v>
      </c>
      <c r="U26" s="523">
        <f>T26-BG26</f>
        <v>-100</v>
      </c>
      <c r="V26" s="524">
        <v>8340</v>
      </c>
      <c r="W26" s="283">
        <f>T26/V26</f>
        <v>1.2949640287769784</v>
      </c>
      <c r="X26" s="414">
        <v>0</v>
      </c>
      <c r="Y26" s="415">
        <v>5.95</v>
      </c>
      <c r="Z26" s="414">
        <v>14.1</v>
      </c>
      <c r="AA26" s="415">
        <v>2.95</v>
      </c>
      <c r="AB26" s="414">
        <v>8.9499999999999993</v>
      </c>
      <c r="AC26" s="415">
        <v>5.95</v>
      </c>
      <c r="AD26" s="414">
        <v>16.95</v>
      </c>
      <c r="AE26" s="581">
        <v>1357</v>
      </c>
      <c r="AF26" s="501">
        <f>(Z26+P26+J26)*(Q26/7)^0.5</f>
        <v>14.439678325403083</v>
      </c>
      <c r="AG26" s="501">
        <f>(Z26+P26+J26)*(IF(Q26=7, (Q26/7)^0.5, ((Q26+1)/7)^0.5))</f>
        <v>15.817875083883381</v>
      </c>
      <c r="AH26" s="283">
        <f>(((Y26+P26+J26)+(AB26+P26+J26)*2)/8)*(Q26/7)^0.5</f>
        <v>3.4657423720585152</v>
      </c>
      <c r="AI26" s="283">
        <f>(1.66*(AC26+J26+P26)+0.55*(AD26+J26+P26)-7.6)*(Q26/7)^0.5</f>
        <v>15.37920414526894</v>
      </c>
      <c r="AJ26" s="283">
        <f>((AD26+J26+P26)*0.7+(AC26+J26+P26)*0.3)*(Q26/7)^0.5</f>
        <v>14.059358910775252</v>
      </c>
      <c r="AK26" s="283">
        <f>(0.5*(AC26+P26+J26)+ 0.3*(AD26+P26+J26))/10</f>
        <v>1.0448206242460625</v>
      </c>
      <c r="AL26" s="283">
        <f>(0.4*(Y26+P26+J26)+0.3*(AD26+P26+J26))/10</f>
        <v>0.95546804621530479</v>
      </c>
      <c r="AM26" s="278">
        <f>(AD26+P26+(LOG(I26)*4/3))*(Q26/7)^0.5</f>
        <v>16.809195495368293</v>
      </c>
      <c r="AN26" s="278">
        <f>(AD26+P26+(LOG(I26)*4/3))*(IF(Q26=7, (Q26/7)^0.5, ((Q26+1)/7)^0.5))</f>
        <v>18.413551092654878</v>
      </c>
      <c r="AO26" s="383">
        <v>2</v>
      </c>
      <c r="AP26" s="383">
        <v>1</v>
      </c>
      <c r="AQ26" s="490">
        <f>IF(AO26=4,IF(AP26=0,0.137+0.0697,0.137+0.02),IF(AO26=3,IF(AP26=0,0.0958+0.0697,0.0958+0.02),IF(AO26=2,IF(AP26=0,0.0415+0.0697,0.0415+0.02),IF(AO26=1,IF(AP26=0,0.0294+0.0697,0.0294+0.02),IF(AO26=0,IF(AP26=0,0.0063+0.0697,0.0063+0.02))))))</f>
        <v>6.1499999999999999E-2</v>
      </c>
      <c r="AR26" s="583"/>
      <c r="AS26" s="583"/>
      <c r="AT26" s="583"/>
      <c r="AU26" s="583"/>
      <c r="AV26" s="490"/>
      <c r="AW26" s="490"/>
      <c r="AX26" s="490"/>
      <c r="AY26" s="490"/>
      <c r="AZ26" s="490"/>
      <c r="BA26" s="490"/>
      <c r="BB26" s="490"/>
      <c r="BC26" s="490"/>
      <c r="BD26" s="490"/>
      <c r="BE26" s="490"/>
      <c r="BF26" s="490"/>
      <c r="BG26" s="291">
        <v>10900</v>
      </c>
      <c r="BH26" s="586"/>
      <c r="BJ26" s="335"/>
      <c r="BK26" s="343"/>
    </row>
    <row r="27" spans="1:63" s="225" customFormat="1" x14ac:dyDescent="0.25">
      <c r="A27" s="330" t="s">
        <v>414</v>
      </c>
      <c r="B27" s="330" t="s">
        <v>66</v>
      </c>
      <c r="C27" s="331">
        <f ca="1">((34*112)-(E27*112)-(F27))/112</f>
        <v>-0.7142857142857143</v>
      </c>
      <c r="D27" s="552" t="s">
        <v>249</v>
      </c>
      <c r="E27" s="332">
        <v>34</v>
      </c>
      <c r="F27" s="337">
        <f ca="1">74-41471+$D$1-112-112-29-112-112-112-112-112-112-112-112-112-112-112-112-112-112-112-112-112</f>
        <v>80</v>
      </c>
      <c r="G27" s="333" t="s">
        <v>252</v>
      </c>
      <c r="H27" s="325">
        <v>3</v>
      </c>
      <c r="I27" s="275">
        <v>14.3</v>
      </c>
      <c r="J27" s="415">
        <f>LOG(I27+1)*4/3</f>
        <v>1.5795885744234652</v>
      </c>
      <c r="K27" s="270">
        <f>(H27)*(H27)*(I27)</f>
        <v>128.70000000000002</v>
      </c>
      <c r="L27" s="270">
        <f>(H27+1)*(H27+1)*I27</f>
        <v>228.8</v>
      </c>
      <c r="M27" s="334">
        <v>6</v>
      </c>
      <c r="N27" s="382">
        <f>M27*10+19</f>
        <v>79</v>
      </c>
      <c r="O27" s="382" t="s">
        <v>447</v>
      </c>
      <c r="P27" s="569">
        <v>1.5</v>
      </c>
      <c r="Q27" s="382">
        <v>5</v>
      </c>
      <c r="R27" s="429">
        <f>(Q27/7)^0.5</f>
        <v>0.84515425472851657</v>
      </c>
      <c r="S27" s="429">
        <f>IF(Q27=7,1,((Q27+0.99)/7)^0.5)</f>
        <v>0.92504826128926143</v>
      </c>
      <c r="T27" s="291">
        <v>4740</v>
      </c>
      <c r="U27" s="523">
        <f>T27-BG27</f>
        <v>-80</v>
      </c>
      <c r="V27" s="291">
        <v>1200</v>
      </c>
      <c r="W27" s="283">
        <f>T27/V27</f>
        <v>3.95</v>
      </c>
      <c r="X27" s="414">
        <v>0</v>
      </c>
      <c r="Y27" s="415">
        <f>5+(5/7)+0.07+0.21+0.07+0.07+0.07+0.07+0.07+0.07+0.06+0.03+0.03+0.03+0.03+0.03+0.2*33/90+0.03+0.03+0.02+0.02+0.01+0.01+0.01+0.01</f>
        <v>6.8376190476190493</v>
      </c>
      <c r="Z27" s="414">
        <v>8.9499999999999993</v>
      </c>
      <c r="AA27" s="415">
        <f>7.9+0.165+0.165+0.21+0.13+0.03+0.03+0.03+0.02+0.02+0.02+0.01+0.01</f>
        <v>8.7399999999999967</v>
      </c>
      <c r="AB27" s="414">
        <v>9.9499999999999993</v>
      </c>
      <c r="AC27" s="415">
        <v>7.95</v>
      </c>
      <c r="AD27" s="414">
        <f>17.99+0.2+0.15+0.15+0.15+0.15+0.11+0.1</f>
        <v>18.999999999999993</v>
      </c>
      <c r="AE27" s="581">
        <v>1312</v>
      </c>
      <c r="AF27" s="501">
        <f>(Z27+P27+J27)*(Q27/7)^0.5</f>
        <v>10.166857966307541</v>
      </c>
      <c r="AG27" s="501">
        <f>(Z27+P27+J27)*(IF(Q27=7, (Q27/7)^0.5, ((Q27+1)/7)^0.5))</f>
        <v>11.137234894195476</v>
      </c>
      <c r="AH27" s="283">
        <f>(((Y27+P27+J27)+(AB27+P27+J27)*2)/8)*(Q27/7)^0.5</f>
        <v>3.8006993323584273</v>
      </c>
      <c r="AI27" s="283">
        <f>(1.66*(AC27+J27+P27)+0.55*(AD27+J27+P27)-7.6)*(Q27/7)^0.5</f>
        <v>19.314217849765477</v>
      </c>
      <c r="AJ27" s="283">
        <f>((AD27+J27+P27)*0.7+(AC27+J27+P27)*0.3)*(Q27/7)^0.5</f>
        <v>15.858971871904096</v>
      </c>
      <c r="AK27" s="283">
        <f>(0.5*(AC27+P27+J27)+ 0.3*(AD27+P27+J27))/10</f>
        <v>1.2138670859538769</v>
      </c>
      <c r="AL27" s="283">
        <f>(0.4*(Y27+P27+J27)+0.3*(AD27+P27+J27))/10</f>
        <v>1.0590759621144044</v>
      </c>
      <c r="AM27" s="278">
        <f>(AD27+P27+(LOG(I27)*4/3))*(Q27/7)^0.5</f>
        <v>18.627578445540959</v>
      </c>
      <c r="AN27" s="278">
        <f>(AD27+P27+(LOG(I27)*4/3))*(IF(Q27=7, (Q27/7)^0.5, ((Q27+1)/7)^0.5))</f>
        <v>20.405489812639601</v>
      </c>
      <c r="AO27" s="382">
        <v>4</v>
      </c>
      <c r="AP27" s="382">
        <v>2</v>
      </c>
      <c r="AQ27" s="490">
        <f>IF(AO27=4,IF(AP27=0,0.137+0.0697,0.137+0.02),IF(AO27=3,IF(AP27=0,0.0958+0.0697,0.0958+0.02),IF(AO27=2,IF(AP27=0,0.0415+0.0697,0.0415+0.02),IF(AO27=1,IF(AP27=0,0.0294+0.0697,0.0294+0.02),IF(AO27=0,IF(AP27=0,0.0063+0.0697,0.0063+0.02))))))</f>
        <v>0.157</v>
      </c>
      <c r="AR27" s="583"/>
      <c r="AS27" s="583"/>
      <c r="AT27" s="583"/>
      <c r="AU27" s="583"/>
      <c r="AV27" s="490"/>
      <c r="AW27" s="490"/>
      <c r="AX27" s="490"/>
      <c r="AY27" s="490"/>
      <c r="AZ27" s="490"/>
      <c r="BA27" s="490"/>
      <c r="BB27" s="490"/>
      <c r="BC27" s="490"/>
      <c r="BD27" s="490"/>
      <c r="BE27" s="490"/>
      <c r="BF27" s="490"/>
      <c r="BG27" s="291">
        <v>4820</v>
      </c>
      <c r="BH27" s="586"/>
      <c r="BJ27" s="335"/>
      <c r="BK27" s="343"/>
    </row>
    <row r="28" spans="1:63" s="232" customFormat="1" x14ac:dyDescent="0.25">
      <c r="A28" s="330" t="s">
        <v>441</v>
      </c>
      <c r="B28" s="330" t="s">
        <v>66</v>
      </c>
      <c r="C28" s="331">
        <f ca="1">((34*112)-(E28*112)-(F28))/112</f>
        <v>2.0089285714285716</v>
      </c>
      <c r="D28" s="553" t="s">
        <v>442</v>
      </c>
      <c r="E28" s="192">
        <v>31</v>
      </c>
      <c r="F28" s="193">
        <f ca="1">7-41471+$D$1-112-111-43-112-112-1-112-112-112-112-112-112-112-112-112-112-112-112-112-112</f>
        <v>111</v>
      </c>
      <c r="G28" s="230"/>
      <c r="H28" s="578">
        <v>5</v>
      </c>
      <c r="I28" s="195">
        <v>6.2</v>
      </c>
      <c r="J28" s="415">
        <f>LOG(I28+1)*4/3</f>
        <v>1.1431099952416914</v>
      </c>
      <c r="K28" s="270">
        <f>(H28)*(H28)*(I28)</f>
        <v>155</v>
      </c>
      <c r="L28" s="270">
        <f>(H28+1)*(H28+1)*I28</f>
        <v>223.20000000000002</v>
      </c>
      <c r="M28" s="263">
        <v>7</v>
      </c>
      <c r="N28" s="382">
        <f>M28*10+19</f>
        <v>89</v>
      </c>
      <c r="O28" s="382" t="s">
        <v>447</v>
      </c>
      <c r="P28" s="569">
        <v>1.5</v>
      </c>
      <c r="Q28" s="383">
        <v>4</v>
      </c>
      <c r="R28" s="429">
        <f>(Q28/7)^0.5</f>
        <v>0.7559289460184544</v>
      </c>
      <c r="S28" s="429">
        <f>IF(Q28=7,1,((Q28+0.99)/7)^0.5)</f>
        <v>0.84430867747355465</v>
      </c>
      <c r="T28" s="524">
        <v>14350</v>
      </c>
      <c r="U28" s="523">
        <f>T28-BG28</f>
        <v>-260</v>
      </c>
      <c r="V28" s="524">
        <v>2500</v>
      </c>
      <c r="W28" s="283">
        <f>T28/V28</f>
        <v>5.74</v>
      </c>
      <c r="X28" s="414">
        <v>0</v>
      </c>
      <c r="Y28" s="415">
        <f>4+0.01+0.01</f>
        <v>4.0199999999999996</v>
      </c>
      <c r="Z28" s="414">
        <v>5.95</v>
      </c>
      <c r="AA28" s="415">
        <f>4.9+0.25+0.05+0.05+0.05+0.04+0.03+0.03+0.03+0.02+0.02+0.02+0.02</f>
        <v>5.5099999999999989</v>
      </c>
      <c r="AB28" s="414">
        <v>10.95</v>
      </c>
      <c r="AC28" s="415">
        <v>7.95</v>
      </c>
      <c r="AD28" s="414">
        <v>14</v>
      </c>
      <c r="AE28" s="581">
        <v>938</v>
      </c>
      <c r="AF28" s="501">
        <f>(Z28+P28+J28)*(Q28/7)^0.5</f>
        <v>6.4957805817236975</v>
      </c>
      <c r="AG28" s="501">
        <f>(Z28+P28+J28)*(IF(Q28=7, (Q28/7)^0.5, ((Q28+1)/7)^0.5))</f>
        <v>7.2625034738286587</v>
      </c>
      <c r="AH28" s="283">
        <f>(((Y28+P28+J28)+(AB28+P28+J28)*2)/8)*(Q28/7)^0.5</f>
        <v>3.198461042442502</v>
      </c>
      <c r="AI28" s="283">
        <f>(1.66*(AC28+J28+P28)+0.55*(AD28+J28+P28)-7.6)*(Q28/7)^0.5</f>
        <v>14.467174605147093</v>
      </c>
      <c r="AJ28" s="283">
        <f>((AD28+J28+P28)*0.7+(AC28+J28+P28)*0.3)*(Q28/7)^0.5</f>
        <v>11.208997560148759</v>
      </c>
      <c r="AK28" s="283">
        <f>(0.5*(AC28+P28+J28)+ 0.3*(AD28+P28+J28))/10</f>
        <v>1.0289487996193352</v>
      </c>
      <c r="AL28" s="283">
        <f>(0.4*(Y28+P28+J28)+0.3*(AD28+P28+J28))/10</f>
        <v>0.76581769966691837</v>
      </c>
      <c r="AM28" s="278">
        <f>(AD28+P28+(LOG(I28)*4/3))*(Q28/7)^0.5</f>
        <v>12.515554416187639</v>
      </c>
      <c r="AN28" s="278">
        <f>(AD28+P28+(LOG(I28)*4/3))*(IF(Q28=7, (Q28/7)^0.5, ((Q28+1)/7)^0.5))</f>
        <v>13.992815225346629</v>
      </c>
      <c r="AO28" s="383">
        <v>2</v>
      </c>
      <c r="AP28" s="383">
        <v>1</v>
      </c>
      <c r="AQ28" s="490">
        <f>IF(AO28=4,IF(AP28=0,0.137+0.0697,0.137+0.02),IF(AO28=3,IF(AP28=0,0.0958+0.0697,0.0958+0.02),IF(AO28=2,IF(AP28=0,0.0415+0.0697,0.0415+0.02),IF(AO28=1,IF(AP28=0,0.0294+0.0697,0.0294+0.02),IF(AO28=0,IF(AP28=0,0.0063+0.0697,0.0063+0.02))))))</f>
        <v>6.1499999999999999E-2</v>
      </c>
      <c r="AR28" s="583"/>
      <c r="AS28" s="583"/>
      <c r="AT28" s="583"/>
      <c r="AU28" s="583"/>
      <c r="AV28" s="490"/>
      <c r="AW28" s="490"/>
      <c r="AX28" s="490"/>
      <c r="AY28" s="490"/>
      <c r="AZ28" s="490"/>
      <c r="BA28" s="490"/>
      <c r="BB28" s="490"/>
      <c r="BC28" s="490"/>
      <c r="BD28" s="490"/>
      <c r="BE28" s="490"/>
      <c r="BF28" s="490"/>
      <c r="BG28" s="524">
        <v>14610</v>
      </c>
      <c r="BH28" s="587"/>
      <c r="BJ28" s="335"/>
      <c r="BK28" s="343"/>
    </row>
    <row r="29" spans="1:63" x14ac:dyDescent="0.25">
      <c r="G29" s="4"/>
      <c r="H29"/>
      <c r="I29" s="252"/>
      <c r="J29" s="416"/>
      <c r="K29"/>
      <c r="T29" s="217">
        <f>SUM(T4:T28)</f>
        <v>396420</v>
      </c>
      <c r="U29" s="217">
        <f t="shared" ref="U29:V29" si="35">SUM(U4:U28)</f>
        <v>1310</v>
      </c>
      <c r="V29" s="217">
        <f t="shared" si="35"/>
        <v>92644</v>
      </c>
      <c r="W29" s="282">
        <f t="shared" si="3"/>
        <v>4.2789603212296532</v>
      </c>
      <c r="X29"/>
      <c r="AD29" s="279"/>
      <c r="AE29" s="217"/>
      <c r="AH29" s="217"/>
      <c r="AI29" s="217"/>
      <c r="AJ29" s="217"/>
      <c r="AK29" s="217"/>
      <c r="AL29" s="217"/>
      <c r="AM29" s="217"/>
      <c r="AN29" s="217"/>
    </row>
    <row r="30" spans="1:63" x14ac:dyDescent="0.25">
      <c r="G30" s="387"/>
      <c r="K30" s="387"/>
      <c r="M30" s="387"/>
      <c r="N30" s="387"/>
      <c r="Q30" s="387"/>
      <c r="T30" s="280"/>
      <c r="U30" s="280"/>
      <c r="V30" s="280"/>
      <c r="W30" s="260"/>
      <c r="AE30" s="260"/>
      <c r="AH30" s="260"/>
      <c r="AI30" s="260"/>
      <c r="AJ30" s="260"/>
      <c r="AK30" s="260"/>
      <c r="AL30" s="260"/>
      <c r="AM30" s="260"/>
      <c r="AN30" s="260"/>
    </row>
    <row r="31" spans="1:63" x14ac:dyDescent="0.25">
      <c r="I31" s="233"/>
      <c r="Y31" s="148"/>
    </row>
    <row r="32" spans="1:63" x14ac:dyDescent="0.25">
      <c r="D32" s="503"/>
      <c r="I32" s="233"/>
      <c r="P32" s="152"/>
      <c r="Y32" s="148"/>
      <c r="AE32" s="555"/>
    </row>
    <row r="33" spans="3:40" x14ac:dyDescent="0.25">
      <c r="D33" s="503"/>
      <c r="I33" s="233"/>
      <c r="P33" s="152"/>
      <c r="V33" s="567"/>
      <c r="Y33" s="148"/>
    </row>
    <row r="34" spans="3:40" x14ac:dyDescent="0.25">
      <c r="D34" s="504"/>
      <c r="I34" s="233"/>
      <c r="V34" s="567"/>
      <c r="Y34" s="148"/>
    </row>
    <row r="35" spans="3:40" x14ac:dyDescent="0.25">
      <c r="I35" s="233"/>
      <c r="Y35" s="148"/>
    </row>
    <row r="36" spans="3:40" x14ac:dyDescent="0.25">
      <c r="I36" s="233"/>
      <c r="V36" s="567"/>
      <c r="Y36" s="148"/>
    </row>
    <row r="37" spans="3:40" x14ac:dyDescent="0.25">
      <c r="I37" s="233"/>
      <c r="Y37" s="148"/>
    </row>
    <row r="38" spans="3:40" x14ac:dyDescent="0.25">
      <c r="I38" s="233"/>
      <c r="Y38" s="148"/>
    </row>
    <row r="39" spans="3:40" x14ac:dyDescent="0.25">
      <c r="C39"/>
      <c r="D39"/>
      <c r="G39"/>
      <c r="H39"/>
      <c r="I39" s="233"/>
      <c r="K39"/>
      <c r="M39"/>
      <c r="N39"/>
      <c r="O39"/>
      <c r="P39"/>
      <c r="Q39"/>
      <c r="R39"/>
      <c r="S39"/>
      <c r="V39"/>
      <c r="W39"/>
      <c r="X39"/>
      <c r="AE39"/>
      <c r="AH39"/>
      <c r="AI39"/>
      <c r="AK39"/>
      <c r="AL39"/>
      <c r="AM39"/>
      <c r="AN39"/>
    </row>
    <row r="40" spans="3:40" x14ac:dyDescent="0.25">
      <c r="C40"/>
      <c r="D40"/>
      <c r="G40"/>
      <c r="H40"/>
      <c r="I40" s="233"/>
      <c r="K40"/>
      <c r="M40"/>
      <c r="N40"/>
      <c r="O40"/>
      <c r="P40"/>
      <c r="Q40"/>
      <c r="R40"/>
      <c r="S40"/>
      <c r="V40"/>
      <c r="W40"/>
      <c r="X40"/>
      <c r="AE40"/>
      <c r="AH40"/>
      <c r="AI40"/>
      <c r="AK40"/>
      <c r="AL40"/>
      <c r="AM40"/>
      <c r="AN40"/>
    </row>
    <row r="41" spans="3:40" x14ac:dyDescent="0.25">
      <c r="C41"/>
      <c r="D41"/>
      <c r="G41"/>
      <c r="H41"/>
      <c r="I41" s="233"/>
      <c r="K41"/>
      <c r="M41"/>
      <c r="N41"/>
      <c r="O41"/>
      <c r="P41"/>
      <c r="Q41"/>
      <c r="R41"/>
      <c r="S41"/>
      <c r="V41"/>
      <c r="W41"/>
      <c r="X41"/>
      <c r="AE41"/>
      <c r="AH41"/>
      <c r="AI41"/>
      <c r="AK41"/>
      <c r="AL41"/>
      <c r="AM41"/>
      <c r="AN41"/>
    </row>
    <row r="42" spans="3:40" x14ac:dyDescent="0.25">
      <c r="C42"/>
      <c r="D42"/>
      <c r="G42"/>
      <c r="H42"/>
      <c r="I42" s="233"/>
      <c r="K42"/>
      <c r="M42"/>
      <c r="N42"/>
      <c r="O42"/>
      <c r="P42"/>
      <c r="Q42"/>
      <c r="R42"/>
      <c r="S42"/>
      <c r="V42"/>
      <c r="W42"/>
      <c r="X42"/>
      <c r="AE42"/>
      <c r="AH42"/>
      <c r="AI42"/>
      <c r="AK42"/>
      <c r="AL42"/>
      <c r="AM42"/>
      <c r="AN42"/>
    </row>
  </sheetData>
  <sortState ref="A5:BG32">
    <sortCondition descending="1" ref="B5:B32"/>
  </sortState>
  <mergeCells count="1">
    <mergeCell ref="E1:G1"/>
  </mergeCells>
  <conditionalFormatting sqref="N5:N28">
    <cfRule type="cellIs" dxfId="145" priority="478" operator="greaterThan">
      <formula>82</formula>
    </cfRule>
    <cfRule type="cellIs" dxfId="144" priority="479" operator="lessThan">
      <formula>79</formula>
    </cfRule>
  </conditionalFormatting>
  <conditionalFormatting sqref="Q5:Q28">
    <cfRule type="cellIs" dxfId="143" priority="452" operator="greaterThan">
      <formula>6</formula>
    </cfRule>
    <cfRule type="cellIs" dxfId="142" priority="453" operator="lessThan">
      <formula>5</formula>
    </cfRule>
  </conditionalFormatting>
  <conditionalFormatting sqref="R5:S28">
    <cfRule type="cellIs" dxfId="141" priority="446" operator="greaterThan">
      <formula>0.95</formula>
    </cfRule>
    <cfRule type="cellIs" dxfId="140" priority="447" operator="lessThan">
      <formula>0.85</formula>
    </cfRule>
  </conditionalFormatting>
  <conditionalFormatting sqref="N4">
    <cfRule type="cellIs" dxfId="139" priority="327" operator="greaterThan">
      <formula>82</formula>
    </cfRule>
    <cfRule type="cellIs" dxfId="138" priority="328" operator="lessThan">
      <formula>79</formula>
    </cfRule>
  </conditionalFormatting>
  <conditionalFormatting sqref="Q4">
    <cfRule type="cellIs" dxfId="137" priority="325" operator="greaterThan">
      <formula>6</formula>
    </cfRule>
    <cfRule type="cellIs" dxfId="136" priority="326" operator="lessThan">
      <formula>5</formula>
    </cfRule>
  </conditionalFormatting>
  <conditionalFormatting sqref="R4:S4">
    <cfRule type="cellIs" dxfId="135" priority="323" operator="greaterThan">
      <formula>0.95</formula>
    </cfRule>
    <cfRule type="cellIs" dxfId="134" priority="324" operator="lessThan">
      <formula>0.85</formula>
    </cfRule>
  </conditionalFormatting>
  <conditionalFormatting sqref="AQ4:AQ28">
    <cfRule type="cellIs" dxfId="133" priority="41" operator="lessThan">
      <formula>0.07</formula>
    </cfRule>
    <cfRule type="cellIs" dxfId="132" priority="42" operator="greaterThan">
      <formula>0.1</formula>
    </cfRule>
  </conditionalFormatting>
  <conditionalFormatting sqref="V4:V28">
    <cfRule type="dataBar" priority="3393">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8">
    <cfRule type="dataBar" priority="3395">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8">
    <cfRule type="dataBar" priority="3397">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8">
    <cfRule type="dataBar" priority="340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4:P28">
    <cfRule type="colorScale" priority="3403">
      <colorScale>
        <cfvo type="min"/>
        <cfvo type="max"/>
        <color rgb="FFFFEF9C"/>
        <color rgb="FF63BE7B"/>
      </colorScale>
    </cfRule>
  </conditionalFormatting>
  <conditionalFormatting sqref="C4:C28">
    <cfRule type="colorScale" priority="3405">
      <colorScale>
        <cfvo type="min"/>
        <cfvo type="percentile" val="50"/>
        <cfvo type="max"/>
        <color rgb="FFF8696B"/>
        <color rgb="FFFFEB84"/>
        <color rgb="FF63BE7B"/>
      </colorScale>
    </cfRule>
  </conditionalFormatting>
  <conditionalFormatting sqref="AF4:AG28">
    <cfRule type="colorScale" priority="3407">
      <colorScale>
        <cfvo type="min"/>
        <cfvo type="percentile" val="50"/>
        <cfvo type="max"/>
        <color rgb="FFF8696B"/>
        <color rgb="FFFFEB84"/>
        <color rgb="FF63BE7B"/>
      </colorScale>
    </cfRule>
  </conditionalFormatting>
  <conditionalFormatting sqref="AH4:AH28">
    <cfRule type="colorScale" priority="3409">
      <colorScale>
        <cfvo type="min"/>
        <cfvo type="percentile" val="50"/>
        <cfvo type="max"/>
        <color rgb="FFF8696B"/>
        <color rgb="FFFCFCFF"/>
        <color rgb="FF5A8AC6"/>
      </colorScale>
    </cfRule>
  </conditionalFormatting>
  <conditionalFormatting sqref="AI4:AI28">
    <cfRule type="colorScale" priority="3411">
      <colorScale>
        <cfvo type="min"/>
        <cfvo type="percentile" val="50"/>
        <cfvo type="max"/>
        <color rgb="FFF8696B"/>
        <color rgb="FFFFEB84"/>
        <color rgb="FF63BE7B"/>
      </colorScale>
    </cfRule>
  </conditionalFormatting>
  <conditionalFormatting sqref="AJ4:AJ28">
    <cfRule type="colorScale" priority="3413">
      <colorScale>
        <cfvo type="min"/>
        <cfvo type="percentile" val="50"/>
        <cfvo type="max"/>
        <color rgb="FFF8696B"/>
        <color rgb="FFFCFCFF"/>
        <color rgb="FF5A8AC6"/>
      </colorScale>
    </cfRule>
  </conditionalFormatting>
  <conditionalFormatting sqref="AK4:AL28">
    <cfRule type="colorScale" priority="3415">
      <colorScale>
        <cfvo type="min"/>
        <cfvo type="percentile" val="50"/>
        <cfvo type="max"/>
        <color rgb="FFF8696B"/>
        <color rgb="FFFFEB84"/>
        <color rgb="FF63BE7B"/>
      </colorScale>
    </cfRule>
  </conditionalFormatting>
  <conditionalFormatting sqref="AM4:AN28">
    <cfRule type="colorScale" priority="3417">
      <colorScale>
        <cfvo type="min"/>
        <cfvo type="percentile" val="50"/>
        <cfvo type="max"/>
        <color rgb="FFF8696B"/>
        <color rgb="FFFCFCFF"/>
        <color rgb="FF5A8AC6"/>
      </colorScale>
    </cfRule>
  </conditionalFormatting>
  <conditionalFormatting sqref="X4:AD28">
    <cfRule type="cellIs" dxfId="131" priority="3419" operator="greaterThan">
      <formula>10</formula>
    </cfRule>
    <cfRule type="colorScale" priority="3420">
      <colorScale>
        <cfvo type="min"/>
        <cfvo type="max"/>
        <color rgb="FFFCFCFF"/>
        <color rgb="FF63BE7B"/>
      </colorScale>
    </cfRule>
  </conditionalFormatting>
  <conditionalFormatting sqref="I4:I28">
    <cfRule type="colorScale" priority="3423">
      <colorScale>
        <cfvo type="min"/>
        <cfvo type="percentile" val="50"/>
        <cfvo type="max"/>
        <color rgb="FFF8696B"/>
        <color rgb="FFFFEB84"/>
        <color rgb="FF63BE7B"/>
      </colorScale>
    </cfRule>
  </conditionalFormatting>
  <conditionalFormatting sqref="BH4:BH28">
    <cfRule type="dataBar" priority="3425">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8">
    <cfRule type="colorScale" priority="3427">
      <colorScale>
        <cfvo type="min"/>
        <cfvo type="max"/>
        <color rgb="FFFCFCFF"/>
        <color rgb="FFF8696B"/>
      </colorScale>
    </cfRule>
  </conditionalFormatting>
  <conditionalFormatting sqref="AV4:BF28">
    <cfRule type="colorScale" priority="3429">
      <colorScale>
        <cfvo type="min"/>
        <cfvo type="percentile" val="50"/>
        <cfvo type="max"/>
        <color rgb="FFF8696B"/>
        <color rgb="FFFFEB84"/>
        <color rgb="FF63BE7B"/>
      </colorScale>
    </cfRule>
  </conditionalFormatting>
  <conditionalFormatting sqref="BH4:BH28">
    <cfRule type="dataBar" priority="3431">
      <dataBar>
        <cfvo type="min"/>
        <cfvo type="max"/>
        <color rgb="FFFFB628"/>
      </dataBar>
      <extLst>
        <ext xmlns:x14="http://schemas.microsoft.com/office/spreadsheetml/2009/9/main" uri="{B025F937-C7B1-47D3-B67F-A62EFF666E3E}">
          <x14:id>{C9496D44-6FC8-4BB5-9FE4-056827D2203E}</x14:id>
        </ext>
      </extLst>
    </cfRule>
  </conditionalFormatting>
  <conditionalFormatting sqref="BG4:BG28">
    <cfRule type="dataBar" priority="3433">
      <dataBar>
        <cfvo type="min"/>
        <cfvo type="max"/>
        <color rgb="FF638EC6"/>
      </dataBar>
      <extLst>
        <ext xmlns:x14="http://schemas.microsoft.com/office/spreadsheetml/2009/9/main" uri="{B025F937-C7B1-47D3-B67F-A62EFF666E3E}">
          <x14:id>{8AE7B8E5-1941-49C1-BD48-772C58BF63DE}</x14:id>
        </ext>
      </extLst>
    </cfRule>
  </conditionalFormatting>
  <conditionalFormatting sqref="U4:U28">
    <cfRule type="dataBar" priority="1">
      <dataBar>
        <cfvo type="min"/>
        <cfvo type="max"/>
        <color rgb="FFFFB628"/>
      </dataBar>
      <extLst>
        <ext xmlns:x14="http://schemas.microsoft.com/office/spreadsheetml/2009/9/main" uri="{B025F937-C7B1-47D3-B67F-A62EFF666E3E}">
          <x14:id>{7BB4ADAD-44ED-41C2-BB15-58651F3681AE}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V4:V28</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W4:W28</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T4:T28</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AE4:AE28</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BH4:BH28</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BH4:BH28</xm:sqref>
        </x14:conditionalFormatting>
        <x14:conditionalFormatting xmlns:xm="http://schemas.microsoft.com/office/excel/2006/main">
          <x14:cfRule type="dataBar" id="{8AE7B8E5-1941-49C1-BD48-772C58BF63DE}">
            <x14:dataBar minLength="0" maxLength="100" border="1" negativeBarBorderColorSameAsPositive="0">
              <x14:cfvo type="autoMin"/>
              <x14:cfvo type="autoMax"/>
              <x14:borderColor rgb="FF638EC6"/>
              <x14:negativeFillColor rgb="FFFF0000"/>
              <x14:negativeBorderColor rgb="FFFF0000"/>
              <x14:axisColor rgb="FF000000"/>
            </x14:dataBar>
          </x14:cfRule>
          <xm:sqref>BG4:BG28</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E34"/>
  <sheetViews>
    <sheetView workbookViewId="0">
      <selection activeCell="S21" sqref="S21"/>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7" width="4.5703125" bestFit="1" customWidth="1"/>
    <col min="8" max="9" width="3.5703125" bestFit="1" customWidth="1"/>
    <col min="10" max="11" width="4.5703125" bestFit="1" customWidth="1"/>
    <col min="12" max="12" width="7.28515625" bestFit="1" customWidth="1"/>
    <col min="13" max="13" width="7.7109375" bestFit="1" customWidth="1"/>
    <col min="14" max="14" width="11.28515625" customWidth="1"/>
    <col min="15" max="15" width="5.140625" bestFit="1" customWidth="1"/>
    <col min="16" max="16" width="6.5703125" bestFit="1" customWidth="1"/>
    <col min="17" max="17" width="12.28515625" bestFit="1" customWidth="1"/>
    <col min="18" max="20" width="4.5703125" bestFit="1" customWidth="1"/>
    <col min="21" max="22" width="3.5703125" bestFit="1" customWidth="1"/>
    <col min="23" max="24" width="4.5703125" bestFit="1" customWidth="1"/>
    <col min="25" max="25" width="7.28515625" bestFit="1" customWidth="1"/>
    <col min="26" max="26" width="7.7109375" bestFit="1" customWidth="1"/>
    <col min="27" max="27" width="11.28515625" customWidth="1"/>
    <col min="28" max="28" width="22.85546875" bestFit="1" customWidth="1"/>
    <col min="29" max="29" width="3.5703125" bestFit="1" customWidth="1"/>
    <col min="30" max="30" width="11.28515625" customWidth="1"/>
  </cols>
  <sheetData>
    <row r="2" spans="1:31" x14ac:dyDescent="0.25">
      <c r="B2" s="589"/>
      <c r="L2" s="155">
        <f>SUM(L4:L17)</f>
        <v>7960</v>
      </c>
      <c r="M2" s="155">
        <f>SUM(M4:M17)</f>
        <v>9601.2000000000007</v>
      </c>
      <c r="P2" s="589"/>
      <c r="Y2" s="155">
        <f>SUM(Y4:Y17)</f>
        <v>7960</v>
      </c>
      <c r="Z2" s="155">
        <f>SUM(Z4:Z17)</f>
        <v>9552</v>
      </c>
    </row>
    <row r="3" spans="1:31" x14ac:dyDescent="0.25">
      <c r="A3" s="268" t="s">
        <v>742</v>
      </c>
      <c r="B3" s="266" t="s">
        <v>247</v>
      </c>
      <c r="C3" s="266" t="s">
        <v>743</v>
      </c>
      <c r="D3" s="266" t="s">
        <v>536</v>
      </c>
      <c r="E3" s="266" t="s">
        <v>253</v>
      </c>
      <c r="F3" s="266" t="s">
        <v>180</v>
      </c>
      <c r="G3" s="266" t="s">
        <v>181</v>
      </c>
      <c r="H3" s="266" t="s">
        <v>182</v>
      </c>
      <c r="I3" s="266" t="s">
        <v>183</v>
      </c>
      <c r="J3" s="266" t="s">
        <v>184</v>
      </c>
      <c r="K3" s="266" t="s">
        <v>177</v>
      </c>
      <c r="L3" s="266" t="s">
        <v>103</v>
      </c>
      <c r="M3" s="355" t="s">
        <v>744</v>
      </c>
      <c r="O3" s="268" t="s">
        <v>742</v>
      </c>
      <c r="P3" s="266" t="s">
        <v>247</v>
      </c>
      <c r="Q3" s="266" t="s">
        <v>536</v>
      </c>
      <c r="R3" s="266" t="s">
        <v>253</v>
      </c>
      <c r="S3" s="266" t="s">
        <v>180</v>
      </c>
      <c r="T3" s="266" t="s">
        <v>181</v>
      </c>
      <c r="U3" s="266" t="s">
        <v>182</v>
      </c>
      <c r="V3" s="266" t="s">
        <v>183</v>
      </c>
      <c r="W3" s="266" t="s">
        <v>184</v>
      </c>
      <c r="X3" s="266" t="s">
        <v>177</v>
      </c>
      <c r="Y3" s="266" t="s">
        <v>103</v>
      </c>
      <c r="Z3" s="355" t="s">
        <v>744</v>
      </c>
      <c r="AB3" s="598" t="s">
        <v>526</v>
      </c>
      <c r="AC3">
        <v>0</v>
      </c>
      <c r="AE3" s="4" t="s">
        <v>737</v>
      </c>
    </row>
    <row r="4" spans="1:31" x14ac:dyDescent="0.25">
      <c r="A4" s="599" t="s">
        <v>347</v>
      </c>
      <c r="B4" s="600" t="s">
        <v>1</v>
      </c>
      <c r="C4" s="333"/>
      <c r="D4" s="333"/>
      <c r="E4" s="601">
        <v>2</v>
      </c>
      <c r="F4" s="334">
        <v>2</v>
      </c>
      <c r="G4" s="601">
        <v>2</v>
      </c>
      <c r="H4" s="334">
        <v>0</v>
      </c>
      <c r="I4" s="601">
        <v>0</v>
      </c>
      <c r="J4" s="334">
        <v>0</v>
      </c>
      <c r="K4" s="601">
        <v>2</v>
      </c>
      <c r="L4" s="298">
        <v>250</v>
      </c>
      <c r="M4" s="155">
        <f>L4*1.2</f>
        <v>300</v>
      </c>
      <c r="O4" s="599" t="s">
        <v>347</v>
      </c>
      <c r="P4" s="600" t="str">
        <f t="shared" ref="P4:P17" si="0">B4</f>
        <v>POR</v>
      </c>
      <c r="Q4" s="333"/>
      <c r="R4" s="601">
        <f>E4</f>
        <v>2</v>
      </c>
      <c r="S4" s="601">
        <f t="shared" ref="S4:X4" si="1">F4</f>
        <v>2</v>
      </c>
      <c r="T4" s="601">
        <f t="shared" si="1"/>
        <v>2</v>
      </c>
      <c r="U4" s="601">
        <f t="shared" si="1"/>
        <v>0</v>
      </c>
      <c r="V4" s="601">
        <f t="shared" si="1"/>
        <v>0</v>
      </c>
      <c r="W4" s="601">
        <f t="shared" si="1"/>
        <v>0</v>
      </c>
      <c r="X4" s="601">
        <f t="shared" si="1"/>
        <v>2</v>
      </c>
      <c r="Y4" s="298">
        <f>L4</f>
        <v>250</v>
      </c>
      <c r="Z4" s="155">
        <f>Y4*1.2</f>
        <v>300</v>
      </c>
      <c r="AB4" s="598" t="s">
        <v>525</v>
      </c>
      <c r="AC4">
        <v>36</v>
      </c>
      <c r="AE4" t="s">
        <v>738</v>
      </c>
    </row>
    <row r="5" spans="1:31" x14ac:dyDescent="0.25">
      <c r="A5" s="599" t="s">
        <v>412</v>
      </c>
      <c r="B5" s="600" t="s">
        <v>2</v>
      </c>
      <c r="C5" s="230"/>
      <c r="D5" s="230" t="s">
        <v>745</v>
      </c>
      <c r="E5" s="274">
        <v>0</v>
      </c>
      <c r="F5" s="263">
        <v>2</v>
      </c>
      <c r="G5" s="263">
        <v>2</v>
      </c>
      <c r="H5" s="334">
        <v>2</v>
      </c>
      <c r="I5" s="274">
        <v>2</v>
      </c>
      <c r="J5" s="263">
        <v>2</v>
      </c>
      <c r="K5" s="274">
        <v>2</v>
      </c>
      <c r="L5" s="298">
        <v>250</v>
      </c>
      <c r="M5" s="155">
        <f t="shared" ref="M5:M17" si="2">L5*1.2</f>
        <v>300</v>
      </c>
      <c r="O5" s="599" t="s">
        <v>412</v>
      </c>
      <c r="P5" s="600" t="str">
        <f t="shared" si="0"/>
        <v>DEF</v>
      </c>
      <c r="Q5" s="333" t="str">
        <f t="shared" ref="Q5:Q17" si="3">D5</f>
        <v>IMP/CAB</v>
      </c>
      <c r="R5" s="601">
        <f t="shared" ref="R5:R17" si="4">E5</f>
        <v>0</v>
      </c>
      <c r="S5" s="601">
        <f t="shared" ref="S5:S17" si="5">F5</f>
        <v>2</v>
      </c>
      <c r="T5" s="601">
        <f t="shared" ref="T5:T17" si="6">G5</f>
        <v>2</v>
      </c>
      <c r="U5" s="601">
        <f t="shared" ref="U5:U17" si="7">H5</f>
        <v>2</v>
      </c>
      <c r="V5" s="601">
        <f t="shared" ref="V5:V17" si="8">I5</f>
        <v>2</v>
      </c>
      <c r="W5" s="601">
        <f t="shared" ref="W5:W17" si="9">J5</f>
        <v>2</v>
      </c>
      <c r="X5" s="601">
        <f t="shared" ref="X5:X17" si="10">K5</f>
        <v>2</v>
      </c>
      <c r="Y5" s="298">
        <f t="shared" ref="Y5:Y17" si="11">L5</f>
        <v>250</v>
      </c>
      <c r="Z5" s="155">
        <f t="shared" ref="Z5:Z17" si="12">Y5*1.2</f>
        <v>300</v>
      </c>
      <c r="AB5" s="598" t="s">
        <v>0</v>
      </c>
      <c r="AC5">
        <v>0</v>
      </c>
      <c r="AE5" t="s">
        <v>739</v>
      </c>
    </row>
    <row r="6" spans="1:31" x14ac:dyDescent="0.25">
      <c r="A6" s="599" t="s">
        <v>349</v>
      </c>
      <c r="B6" s="600" t="s">
        <v>2</v>
      </c>
      <c r="C6" s="230"/>
      <c r="D6" s="230" t="s">
        <v>745</v>
      </c>
      <c r="E6" s="274">
        <v>0</v>
      </c>
      <c r="F6" s="263">
        <v>2</v>
      </c>
      <c r="G6" s="263">
        <v>2</v>
      </c>
      <c r="H6" s="334">
        <v>2</v>
      </c>
      <c r="I6" s="274">
        <v>2</v>
      </c>
      <c r="J6" s="263">
        <v>2</v>
      </c>
      <c r="K6" s="274">
        <v>2</v>
      </c>
      <c r="L6" s="298">
        <v>250</v>
      </c>
      <c r="M6" s="155">
        <f t="shared" si="2"/>
        <v>300</v>
      </c>
      <c r="O6" s="599" t="s">
        <v>349</v>
      </c>
      <c r="P6" s="600" t="str">
        <f t="shared" si="0"/>
        <v>DEF</v>
      </c>
      <c r="Q6" s="333" t="str">
        <f t="shared" si="3"/>
        <v>IMP/CAB</v>
      </c>
      <c r="R6" s="601">
        <f t="shared" si="4"/>
        <v>0</v>
      </c>
      <c r="S6" s="601">
        <f t="shared" si="5"/>
        <v>2</v>
      </c>
      <c r="T6" s="601">
        <f t="shared" si="6"/>
        <v>2</v>
      </c>
      <c r="U6" s="601">
        <f t="shared" si="7"/>
        <v>2</v>
      </c>
      <c r="V6" s="601">
        <f t="shared" si="8"/>
        <v>2</v>
      </c>
      <c r="W6" s="601">
        <f t="shared" si="9"/>
        <v>2</v>
      </c>
      <c r="X6" s="601">
        <f t="shared" si="10"/>
        <v>2</v>
      </c>
      <c r="Y6" s="298">
        <f t="shared" si="11"/>
        <v>250</v>
      </c>
      <c r="Z6" s="155">
        <f t="shared" si="12"/>
        <v>300</v>
      </c>
      <c r="AB6" s="598" t="s">
        <v>544</v>
      </c>
      <c r="AC6">
        <v>14</v>
      </c>
      <c r="AE6" t="s">
        <v>740</v>
      </c>
    </row>
    <row r="7" spans="1:31" x14ac:dyDescent="0.25">
      <c r="A7" s="599" t="s">
        <v>351</v>
      </c>
      <c r="B7" s="600" t="s">
        <v>2</v>
      </c>
      <c r="C7" s="230"/>
      <c r="D7" s="230" t="s">
        <v>745</v>
      </c>
      <c r="E7" s="274">
        <v>0</v>
      </c>
      <c r="F7" s="263">
        <v>2</v>
      </c>
      <c r="G7" s="263">
        <v>2</v>
      </c>
      <c r="H7" s="334">
        <v>2</v>
      </c>
      <c r="I7" s="274">
        <v>2</v>
      </c>
      <c r="J7" s="263">
        <v>2</v>
      </c>
      <c r="K7" s="274">
        <v>2</v>
      </c>
      <c r="L7" s="298">
        <v>250</v>
      </c>
      <c r="M7" s="155">
        <f t="shared" si="2"/>
        <v>300</v>
      </c>
      <c r="O7" s="599" t="s">
        <v>351</v>
      </c>
      <c r="P7" s="600" t="str">
        <f t="shared" si="0"/>
        <v>DEF</v>
      </c>
      <c r="Q7" s="333" t="str">
        <f t="shared" si="3"/>
        <v>IMP/CAB</v>
      </c>
      <c r="R7" s="601">
        <f t="shared" si="4"/>
        <v>0</v>
      </c>
      <c r="S7" s="601">
        <f t="shared" si="5"/>
        <v>2</v>
      </c>
      <c r="T7" s="601">
        <f t="shared" si="6"/>
        <v>2</v>
      </c>
      <c r="U7" s="601">
        <f t="shared" si="7"/>
        <v>2</v>
      </c>
      <c r="V7" s="601">
        <f t="shared" si="8"/>
        <v>2</v>
      </c>
      <c r="W7" s="601">
        <f t="shared" si="9"/>
        <v>2</v>
      </c>
      <c r="X7" s="601">
        <f t="shared" si="10"/>
        <v>2</v>
      </c>
      <c r="Y7" s="298">
        <f t="shared" si="11"/>
        <v>250</v>
      </c>
      <c r="Z7" s="155">
        <f t="shared" si="12"/>
        <v>300</v>
      </c>
      <c r="AB7" s="598" t="s">
        <v>436</v>
      </c>
      <c r="AC7">
        <f>AC5+AC4+AC3+AC6</f>
        <v>50</v>
      </c>
      <c r="AE7" t="s">
        <v>741</v>
      </c>
    </row>
    <row r="8" spans="1:31" x14ac:dyDescent="0.25">
      <c r="A8" s="599" t="s">
        <v>355</v>
      </c>
      <c r="B8" s="600" t="s">
        <v>2</v>
      </c>
      <c r="C8" s="230"/>
      <c r="D8" s="230" t="s">
        <v>745</v>
      </c>
      <c r="E8" s="274">
        <v>0</v>
      </c>
      <c r="F8" s="263">
        <v>2</v>
      </c>
      <c r="G8" s="263">
        <v>2</v>
      </c>
      <c r="H8" s="334">
        <v>2</v>
      </c>
      <c r="I8" s="274">
        <v>2</v>
      </c>
      <c r="J8" s="263">
        <v>2</v>
      </c>
      <c r="K8" s="274">
        <v>2</v>
      </c>
      <c r="L8" s="298">
        <v>250</v>
      </c>
      <c r="M8" s="155">
        <f t="shared" si="2"/>
        <v>300</v>
      </c>
      <c r="O8" s="599" t="s">
        <v>355</v>
      </c>
      <c r="P8" s="600" t="str">
        <f t="shared" si="0"/>
        <v>DEF</v>
      </c>
      <c r="Q8" s="333" t="str">
        <f t="shared" si="3"/>
        <v>IMP/CAB</v>
      </c>
      <c r="R8" s="601">
        <f t="shared" si="4"/>
        <v>0</v>
      </c>
      <c r="S8" s="601">
        <f t="shared" si="5"/>
        <v>2</v>
      </c>
      <c r="T8" s="601">
        <f t="shared" si="6"/>
        <v>2</v>
      </c>
      <c r="U8" s="601">
        <f t="shared" si="7"/>
        <v>2</v>
      </c>
      <c r="V8" s="601">
        <f t="shared" si="8"/>
        <v>2</v>
      </c>
      <c r="W8" s="601">
        <f t="shared" si="9"/>
        <v>2</v>
      </c>
      <c r="X8" s="601">
        <f t="shared" si="10"/>
        <v>2</v>
      </c>
      <c r="Y8" s="298">
        <f t="shared" si="11"/>
        <v>250</v>
      </c>
      <c r="Z8" s="155">
        <f t="shared" si="12"/>
        <v>300</v>
      </c>
      <c r="AB8" s="598" t="s">
        <v>60</v>
      </c>
      <c r="AC8" s="233">
        <f>AC7/16</f>
        <v>3.125</v>
      </c>
    </row>
    <row r="9" spans="1:31" x14ac:dyDescent="0.25">
      <c r="A9" s="599" t="s">
        <v>350</v>
      </c>
      <c r="B9" s="600" t="s">
        <v>2</v>
      </c>
      <c r="C9" s="230"/>
      <c r="D9" s="230" t="s">
        <v>745</v>
      </c>
      <c r="E9" s="274">
        <v>0</v>
      </c>
      <c r="F9" s="263">
        <v>2</v>
      </c>
      <c r="G9" s="263">
        <v>2</v>
      </c>
      <c r="H9" s="334">
        <v>2</v>
      </c>
      <c r="I9" s="274">
        <v>2</v>
      </c>
      <c r="J9" s="263">
        <v>2</v>
      </c>
      <c r="K9" s="274">
        <v>2</v>
      </c>
      <c r="L9" s="298">
        <v>250</v>
      </c>
      <c r="M9" s="155">
        <f t="shared" si="2"/>
        <v>300</v>
      </c>
      <c r="O9" s="599" t="s">
        <v>350</v>
      </c>
      <c r="P9" s="600" t="str">
        <f t="shared" si="0"/>
        <v>DEF</v>
      </c>
      <c r="Q9" s="333" t="str">
        <f t="shared" si="3"/>
        <v>IMP/CAB</v>
      </c>
      <c r="R9" s="601">
        <f t="shared" si="4"/>
        <v>0</v>
      </c>
      <c r="S9" s="601">
        <f t="shared" si="5"/>
        <v>2</v>
      </c>
      <c r="T9" s="601">
        <f t="shared" si="6"/>
        <v>2</v>
      </c>
      <c r="U9" s="601">
        <f t="shared" si="7"/>
        <v>2</v>
      </c>
      <c r="V9" s="601">
        <f t="shared" si="8"/>
        <v>2</v>
      </c>
      <c r="W9" s="601">
        <f t="shared" si="9"/>
        <v>2</v>
      </c>
      <c r="X9" s="601">
        <f t="shared" si="10"/>
        <v>2</v>
      </c>
      <c r="Y9" s="298">
        <f t="shared" si="11"/>
        <v>250</v>
      </c>
      <c r="Z9" s="155">
        <f t="shared" si="12"/>
        <v>300</v>
      </c>
    </row>
    <row r="10" spans="1:31" x14ac:dyDescent="0.25">
      <c r="A10" s="599" t="s">
        <v>352</v>
      </c>
      <c r="B10" s="600" t="s">
        <v>746</v>
      </c>
      <c r="C10" s="552" t="str">
        <f>PLANTILLA!D14</f>
        <v>I. Vanags</v>
      </c>
      <c r="D10" s="230" t="str">
        <f>PLANTILLA!G14</f>
        <v>CAB</v>
      </c>
      <c r="E10" s="274">
        <f>PLANTILLA!X14</f>
        <v>0</v>
      </c>
      <c r="F10" s="274">
        <f>PLANTILLA!Y14</f>
        <v>4</v>
      </c>
      <c r="G10" s="274">
        <f>PLANTILLA!Z14</f>
        <v>7.2</v>
      </c>
      <c r="H10" s="274">
        <f>PLANTILLA!AA14</f>
        <v>3</v>
      </c>
      <c r="I10" s="274">
        <f>PLANTILLA!AB14</f>
        <v>4</v>
      </c>
      <c r="J10" s="274">
        <f>PLANTILLA!AC14</f>
        <v>7</v>
      </c>
      <c r="K10" s="274">
        <f>PLANTILLA!AD14</f>
        <v>6</v>
      </c>
      <c r="L10" s="298">
        <f>PLANTILLA!V14</f>
        <v>684</v>
      </c>
      <c r="M10" s="155">
        <v>870</v>
      </c>
      <c r="O10" s="599" t="s">
        <v>352</v>
      </c>
      <c r="P10" s="600" t="str">
        <f t="shared" si="0"/>
        <v>Inners</v>
      </c>
      <c r="Q10" s="333" t="str">
        <f t="shared" si="3"/>
        <v>CAB</v>
      </c>
      <c r="R10" s="601">
        <f t="shared" si="4"/>
        <v>0</v>
      </c>
      <c r="S10" s="601">
        <f t="shared" si="5"/>
        <v>4</v>
      </c>
      <c r="T10" s="601">
        <f>12+7/8</f>
        <v>12.875</v>
      </c>
      <c r="U10" s="601">
        <f t="shared" si="7"/>
        <v>3</v>
      </c>
      <c r="V10" s="601">
        <f t="shared" si="8"/>
        <v>4</v>
      </c>
      <c r="W10" s="601">
        <f>9+4/6</f>
        <v>9.6666666666666661</v>
      </c>
      <c r="X10" s="601">
        <f t="shared" si="10"/>
        <v>6</v>
      </c>
      <c r="Y10" s="298">
        <f t="shared" si="11"/>
        <v>684</v>
      </c>
      <c r="Z10" s="155">
        <f t="shared" si="12"/>
        <v>820.8</v>
      </c>
    </row>
    <row r="11" spans="1:31" x14ac:dyDescent="0.25">
      <c r="A11" s="599" t="s">
        <v>356</v>
      </c>
      <c r="B11" s="600" t="s">
        <v>746</v>
      </c>
      <c r="C11" s="552" t="str">
        <f>PLANTILLA!D15</f>
        <v>I. Stone</v>
      </c>
      <c r="D11" s="230" t="str">
        <f>PLANTILLA!G15</f>
        <v>RAP</v>
      </c>
      <c r="E11" s="274">
        <f>PLANTILLA!X15</f>
        <v>0</v>
      </c>
      <c r="F11" s="274">
        <f>PLANTILLA!Y15</f>
        <v>3</v>
      </c>
      <c r="G11" s="274">
        <f>PLANTILLA!Z15</f>
        <v>5</v>
      </c>
      <c r="H11" s="274">
        <f>PLANTILLA!AA15</f>
        <v>2</v>
      </c>
      <c r="I11" s="274">
        <f>PLANTILLA!AB15</f>
        <v>6</v>
      </c>
      <c r="J11" s="274">
        <f>PLANTILLA!AC15</f>
        <v>9</v>
      </c>
      <c r="K11" s="274">
        <f>PLANTILLA!AD15</f>
        <v>2</v>
      </c>
      <c r="L11" s="298">
        <f>PLANTILLA!V15</f>
        <v>1490</v>
      </c>
      <c r="M11" s="155">
        <f t="shared" si="2"/>
        <v>1788</v>
      </c>
      <c r="O11" s="599" t="s">
        <v>356</v>
      </c>
      <c r="P11" s="600" t="str">
        <f t="shared" si="0"/>
        <v>Inners</v>
      </c>
      <c r="Q11" s="333" t="str">
        <f t="shared" si="3"/>
        <v>RAP</v>
      </c>
      <c r="R11" s="601">
        <f t="shared" si="4"/>
        <v>0</v>
      </c>
      <c r="S11" s="601">
        <f t="shared" si="5"/>
        <v>3</v>
      </c>
      <c r="T11" s="601">
        <v>12</v>
      </c>
      <c r="U11" s="601">
        <f t="shared" si="7"/>
        <v>2</v>
      </c>
      <c r="V11" s="601">
        <f t="shared" si="8"/>
        <v>6</v>
      </c>
      <c r="W11" s="601">
        <f>11+1/7</f>
        <v>11.142857142857142</v>
      </c>
      <c r="X11" s="601">
        <f t="shared" si="10"/>
        <v>2</v>
      </c>
      <c r="Y11" s="298">
        <f t="shared" si="11"/>
        <v>1490</v>
      </c>
      <c r="Z11" s="155">
        <f t="shared" si="12"/>
        <v>1788</v>
      </c>
    </row>
    <row r="12" spans="1:31" x14ac:dyDescent="0.25">
      <c r="A12" s="599" t="s">
        <v>414</v>
      </c>
      <c r="B12" s="600" t="s">
        <v>746</v>
      </c>
      <c r="C12" s="552" t="str">
        <f>PLANTILLA!D16</f>
        <v>G. Piscaer</v>
      </c>
      <c r="D12" s="230" t="str">
        <f>PLANTILLA!G16</f>
        <v>IMP</v>
      </c>
      <c r="E12" s="274">
        <f>PLANTILLA!X16</f>
        <v>0</v>
      </c>
      <c r="F12" s="274">
        <f>PLANTILLA!Y16</f>
        <v>4</v>
      </c>
      <c r="G12" s="274">
        <f>PLANTILLA!Z16</f>
        <v>8</v>
      </c>
      <c r="H12" s="274">
        <f>PLANTILLA!AA16</f>
        <v>3</v>
      </c>
      <c r="I12" s="274">
        <f>PLANTILLA!AB16</f>
        <v>2</v>
      </c>
      <c r="J12" s="274">
        <f>PLANTILLA!AC16</f>
        <v>8</v>
      </c>
      <c r="K12" s="274">
        <f>PLANTILLA!AD16</f>
        <v>0</v>
      </c>
      <c r="L12" s="298">
        <f>PLANTILLA!V16</f>
        <v>1044</v>
      </c>
      <c r="M12" s="155">
        <f t="shared" si="2"/>
        <v>1252.8</v>
      </c>
      <c r="O12" s="599" t="s">
        <v>414</v>
      </c>
      <c r="P12" s="600" t="str">
        <f t="shared" si="0"/>
        <v>Inners</v>
      </c>
      <c r="Q12" s="333" t="str">
        <f t="shared" si="3"/>
        <v>IMP</v>
      </c>
      <c r="R12" s="601">
        <f t="shared" si="4"/>
        <v>0</v>
      </c>
      <c r="S12" s="601">
        <f t="shared" si="5"/>
        <v>4</v>
      </c>
      <c r="T12" s="601">
        <f>13+3/10</f>
        <v>13.3</v>
      </c>
      <c r="U12" s="601">
        <f t="shared" si="7"/>
        <v>3</v>
      </c>
      <c r="V12" s="601">
        <f t="shared" si="8"/>
        <v>2</v>
      </c>
      <c r="W12" s="601">
        <f>10+3/6</f>
        <v>10.5</v>
      </c>
      <c r="X12" s="601">
        <f t="shared" si="10"/>
        <v>0</v>
      </c>
      <c r="Y12" s="298">
        <f t="shared" si="11"/>
        <v>1044</v>
      </c>
      <c r="Z12" s="155">
        <f t="shared" si="12"/>
        <v>1252.8</v>
      </c>
    </row>
    <row r="13" spans="1:31" x14ac:dyDescent="0.25">
      <c r="A13" s="599" t="s">
        <v>353</v>
      </c>
      <c r="B13" s="600" t="s">
        <v>746</v>
      </c>
      <c r="C13" s="552" t="str">
        <f>PLANTILLA!D17</f>
        <v>M. Bondarewski</v>
      </c>
      <c r="D13" s="230" t="str">
        <f>PLANTILLA!G17</f>
        <v>RAP</v>
      </c>
      <c r="E13" s="274">
        <f>PLANTILLA!X17</f>
        <v>0</v>
      </c>
      <c r="F13" s="274">
        <f>PLANTILLA!Y17</f>
        <v>2</v>
      </c>
      <c r="G13" s="274">
        <f>PLANTILLA!Z17</f>
        <v>8.1999999999999993</v>
      </c>
      <c r="H13" s="274">
        <f>PLANTILLA!AA17</f>
        <v>5</v>
      </c>
      <c r="I13" s="274">
        <f>PLANTILLA!AB17</f>
        <v>4</v>
      </c>
      <c r="J13" s="274">
        <f>PLANTILLA!AC17</f>
        <v>8</v>
      </c>
      <c r="K13" s="274">
        <f>PLANTILLA!AD17</f>
        <v>6</v>
      </c>
      <c r="L13" s="298">
        <f>PLANTILLA!V17</f>
        <v>924</v>
      </c>
      <c r="M13" s="155">
        <f t="shared" si="2"/>
        <v>1108.8</v>
      </c>
      <c r="O13" s="599" t="s">
        <v>353</v>
      </c>
      <c r="P13" s="600" t="str">
        <f t="shared" si="0"/>
        <v>Inners</v>
      </c>
      <c r="Q13" s="333" t="str">
        <f t="shared" si="3"/>
        <v>RAP</v>
      </c>
      <c r="R13" s="601">
        <f t="shared" si="4"/>
        <v>0</v>
      </c>
      <c r="S13" s="601">
        <f t="shared" si="5"/>
        <v>2</v>
      </c>
      <c r="T13" s="601">
        <f>13+3/10</f>
        <v>13.3</v>
      </c>
      <c r="U13" s="601">
        <f t="shared" si="7"/>
        <v>5</v>
      </c>
      <c r="V13" s="601">
        <f t="shared" si="8"/>
        <v>4</v>
      </c>
      <c r="W13" s="601">
        <f>10</f>
        <v>10</v>
      </c>
      <c r="X13" s="601">
        <f t="shared" si="10"/>
        <v>6</v>
      </c>
      <c r="Y13" s="298">
        <f t="shared" si="11"/>
        <v>924</v>
      </c>
      <c r="Z13" s="155">
        <f t="shared" si="12"/>
        <v>1108.8</v>
      </c>
    </row>
    <row r="14" spans="1:31" x14ac:dyDescent="0.25">
      <c r="A14" s="599" t="s">
        <v>354</v>
      </c>
      <c r="B14" s="600" t="s">
        <v>746</v>
      </c>
      <c r="C14" s="552" t="str">
        <f>PLANTILLA!D18</f>
        <v>J. Vartiainen</v>
      </c>
      <c r="D14" s="230" t="str">
        <f>PLANTILLA!G18</f>
        <v>CAB</v>
      </c>
      <c r="E14" s="274">
        <f>PLANTILLA!X18</f>
        <v>0</v>
      </c>
      <c r="F14" s="274">
        <f>PLANTILLA!Y18</f>
        <v>7</v>
      </c>
      <c r="G14" s="274">
        <f>PLANTILLA!Z18</f>
        <v>7.1111111111111107</v>
      </c>
      <c r="H14" s="274">
        <f>PLANTILLA!AA18</f>
        <v>1</v>
      </c>
      <c r="I14" s="274">
        <f>PLANTILLA!AB18</f>
        <v>1</v>
      </c>
      <c r="J14" s="274">
        <f>PLANTILLA!AC18</f>
        <v>6</v>
      </c>
      <c r="K14" s="274">
        <f>PLANTILLA!AD18</f>
        <v>1</v>
      </c>
      <c r="L14" s="298">
        <f>PLANTILLA!V18</f>
        <v>948</v>
      </c>
      <c r="M14" s="155">
        <f t="shared" si="2"/>
        <v>1137.5999999999999</v>
      </c>
      <c r="O14" s="599" t="s">
        <v>354</v>
      </c>
      <c r="P14" s="600" t="str">
        <f t="shared" si="0"/>
        <v>Inners</v>
      </c>
      <c r="Q14" s="333" t="str">
        <f t="shared" si="3"/>
        <v>CAB</v>
      </c>
      <c r="R14" s="601">
        <f t="shared" si="4"/>
        <v>0</v>
      </c>
      <c r="S14" s="601">
        <f t="shared" si="5"/>
        <v>7</v>
      </c>
      <c r="T14" s="601">
        <f>12+7/9</f>
        <v>12.777777777777779</v>
      </c>
      <c r="U14" s="601">
        <f t="shared" si="7"/>
        <v>1</v>
      </c>
      <c r="V14" s="601">
        <f t="shared" si="8"/>
        <v>1</v>
      </c>
      <c r="W14" s="601">
        <f>10+3/6</f>
        <v>10.5</v>
      </c>
      <c r="X14" s="601">
        <f t="shared" si="10"/>
        <v>1</v>
      </c>
      <c r="Y14" s="298">
        <f t="shared" si="11"/>
        <v>948</v>
      </c>
      <c r="Z14" s="155">
        <f t="shared" si="12"/>
        <v>1137.5999999999999</v>
      </c>
    </row>
    <row r="15" spans="1:31" x14ac:dyDescent="0.25">
      <c r="A15" s="599" t="s">
        <v>348</v>
      </c>
      <c r="B15" s="600" t="s">
        <v>746</v>
      </c>
      <c r="C15" s="552" t="str">
        <f>PLANTILLA!D19</f>
        <v>R. Forsyth</v>
      </c>
      <c r="D15" s="230" t="str">
        <f>PLANTILLA!G19</f>
        <v>POT</v>
      </c>
      <c r="E15" s="274">
        <f>PLANTILLA!X19</f>
        <v>0</v>
      </c>
      <c r="F15" s="274">
        <f>PLANTILLA!Y19</f>
        <v>7</v>
      </c>
      <c r="G15" s="274">
        <f>PLANTILLA!Z19</f>
        <v>7.2</v>
      </c>
      <c r="H15" s="274">
        <f>PLANTILLA!AA19</f>
        <v>2</v>
      </c>
      <c r="I15" s="274">
        <f>PLANTILLA!AB19</f>
        <v>4</v>
      </c>
      <c r="J15" s="274">
        <f>PLANTILLA!AC19</f>
        <v>6</v>
      </c>
      <c r="K15" s="274">
        <f>PLANTILLA!AD19</f>
        <v>2</v>
      </c>
      <c r="L15" s="298">
        <f>PLANTILLA!V19</f>
        <v>870</v>
      </c>
      <c r="M15" s="155">
        <f t="shared" si="2"/>
        <v>1044</v>
      </c>
      <c r="O15" s="599" t="s">
        <v>348</v>
      </c>
      <c r="P15" s="600" t="str">
        <f t="shared" si="0"/>
        <v>Inners</v>
      </c>
      <c r="Q15" s="333" t="str">
        <f t="shared" si="3"/>
        <v>POT</v>
      </c>
      <c r="R15" s="601">
        <f t="shared" si="4"/>
        <v>0</v>
      </c>
      <c r="S15" s="601">
        <f t="shared" si="5"/>
        <v>7</v>
      </c>
      <c r="T15" s="601">
        <f>12+7/9</f>
        <v>12.777777777777779</v>
      </c>
      <c r="U15" s="601">
        <f t="shared" si="7"/>
        <v>2</v>
      </c>
      <c r="V15" s="601">
        <f t="shared" si="8"/>
        <v>4</v>
      </c>
      <c r="W15" s="601">
        <v>9</v>
      </c>
      <c r="X15" s="601">
        <f t="shared" si="10"/>
        <v>2</v>
      </c>
      <c r="Y15" s="298">
        <f t="shared" si="11"/>
        <v>870</v>
      </c>
      <c r="Z15" s="155">
        <f t="shared" si="12"/>
        <v>1044</v>
      </c>
    </row>
    <row r="16" spans="1:31" x14ac:dyDescent="0.25">
      <c r="A16" s="599" t="s">
        <v>406</v>
      </c>
      <c r="B16" s="600" t="s">
        <v>468</v>
      </c>
      <c r="C16" s="230"/>
      <c r="D16" s="230" t="s">
        <v>747</v>
      </c>
      <c r="E16" s="274">
        <v>0</v>
      </c>
      <c r="F16" s="263">
        <v>2</v>
      </c>
      <c r="G16" s="263">
        <v>2</v>
      </c>
      <c r="H16" s="334">
        <v>2</v>
      </c>
      <c r="I16" s="274">
        <v>2</v>
      </c>
      <c r="J16" s="263">
        <v>2</v>
      </c>
      <c r="K16" s="274">
        <v>2</v>
      </c>
      <c r="L16" s="298">
        <v>250</v>
      </c>
      <c r="M16" s="155">
        <f t="shared" si="2"/>
        <v>300</v>
      </c>
      <c r="O16" s="599" t="s">
        <v>406</v>
      </c>
      <c r="P16" s="600" t="str">
        <f t="shared" si="0"/>
        <v>DD</v>
      </c>
      <c r="Q16" s="333" t="str">
        <f t="shared" si="3"/>
        <v>RAP/IMP/CAB</v>
      </c>
      <c r="R16" s="601">
        <f t="shared" si="4"/>
        <v>0</v>
      </c>
      <c r="S16" s="601">
        <f t="shared" si="5"/>
        <v>2</v>
      </c>
      <c r="T16" s="601">
        <f t="shared" si="6"/>
        <v>2</v>
      </c>
      <c r="U16" s="601">
        <f t="shared" si="7"/>
        <v>2</v>
      </c>
      <c r="V16" s="601">
        <f t="shared" si="8"/>
        <v>2</v>
      </c>
      <c r="W16" s="601">
        <f t="shared" si="9"/>
        <v>2</v>
      </c>
      <c r="X16" s="601">
        <f t="shared" si="10"/>
        <v>2</v>
      </c>
      <c r="Y16" s="298">
        <f t="shared" si="11"/>
        <v>250</v>
      </c>
      <c r="Z16" s="155">
        <f t="shared" si="12"/>
        <v>300</v>
      </c>
    </row>
    <row r="17" spans="1:29" x14ac:dyDescent="0.25">
      <c r="A17" s="599" t="s">
        <v>413</v>
      </c>
      <c r="B17" s="600" t="s">
        <v>468</v>
      </c>
      <c r="C17" s="230"/>
      <c r="D17" s="230" t="s">
        <v>747</v>
      </c>
      <c r="E17" s="274">
        <v>0</v>
      </c>
      <c r="F17" s="263">
        <v>2</v>
      </c>
      <c r="G17" s="263">
        <v>2</v>
      </c>
      <c r="H17" s="334">
        <v>2</v>
      </c>
      <c r="I17" s="274">
        <v>2</v>
      </c>
      <c r="J17" s="263">
        <v>2</v>
      </c>
      <c r="K17" s="274">
        <v>2</v>
      </c>
      <c r="L17" s="298">
        <v>250</v>
      </c>
      <c r="M17" s="155">
        <f t="shared" si="2"/>
        <v>300</v>
      </c>
      <c r="O17" s="599" t="s">
        <v>413</v>
      </c>
      <c r="P17" s="600" t="str">
        <f t="shared" si="0"/>
        <v>DD</v>
      </c>
      <c r="Q17" s="333" t="str">
        <f t="shared" si="3"/>
        <v>RAP/IMP/CAB</v>
      </c>
      <c r="R17" s="601">
        <f t="shared" si="4"/>
        <v>0</v>
      </c>
      <c r="S17" s="601">
        <f t="shared" si="5"/>
        <v>2</v>
      </c>
      <c r="T17" s="601">
        <f t="shared" si="6"/>
        <v>2</v>
      </c>
      <c r="U17" s="601">
        <f t="shared" si="7"/>
        <v>2</v>
      </c>
      <c r="V17" s="601">
        <f t="shared" si="8"/>
        <v>2</v>
      </c>
      <c r="W17" s="601">
        <f t="shared" si="9"/>
        <v>2</v>
      </c>
      <c r="X17" s="601">
        <f t="shared" si="10"/>
        <v>2</v>
      </c>
      <c r="Y17" s="298">
        <f t="shared" si="11"/>
        <v>250</v>
      </c>
      <c r="Z17" s="155">
        <f t="shared" si="12"/>
        <v>300</v>
      </c>
    </row>
    <row r="19" spans="1:29" x14ac:dyDescent="0.25">
      <c r="B19" s="589"/>
      <c r="L19" s="155">
        <f>SUM(L21:L34)</f>
        <v>7960</v>
      </c>
      <c r="M19" s="155">
        <f>SUM(M21:M34)</f>
        <v>9552</v>
      </c>
      <c r="P19" s="589"/>
      <c r="Y19" s="155">
        <f>SUM(Y21:Y34)</f>
        <v>7960</v>
      </c>
      <c r="Z19" s="155">
        <f>SUM(Z21:Z34)</f>
        <v>9552</v>
      </c>
    </row>
    <row r="20" spans="1:29" x14ac:dyDescent="0.25">
      <c r="A20" s="268" t="s">
        <v>742</v>
      </c>
      <c r="B20" s="266" t="s">
        <v>247</v>
      </c>
      <c r="C20" s="266" t="s">
        <v>743</v>
      </c>
      <c r="D20" s="266" t="s">
        <v>536</v>
      </c>
      <c r="E20" s="266" t="s">
        <v>253</v>
      </c>
      <c r="F20" s="266" t="s">
        <v>180</v>
      </c>
      <c r="G20" s="266" t="s">
        <v>181</v>
      </c>
      <c r="H20" s="266" t="s">
        <v>182</v>
      </c>
      <c r="I20" s="266" t="s">
        <v>183</v>
      </c>
      <c r="J20" s="266" t="s">
        <v>184</v>
      </c>
      <c r="K20" s="266" t="s">
        <v>177</v>
      </c>
      <c r="L20" s="266" t="s">
        <v>103</v>
      </c>
      <c r="M20" s="355" t="s">
        <v>744</v>
      </c>
      <c r="O20" s="268" t="s">
        <v>742</v>
      </c>
      <c r="P20" s="266" t="s">
        <v>247</v>
      </c>
      <c r="Q20" s="266" t="s">
        <v>536</v>
      </c>
      <c r="R20" s="266" t="s">
        <v>253</v>
      </c>
      <c r="S20" s="266" t="s">
        <v>180</v>
      </c>
      <c r="T20" s="266" t="s">
        <v>181</v>
      </c>
      <c r="U20" s="266" t="s">
        <v>182</v>
      </c>
      <c r="V20" s="266" t="s">
        <v>183</v>
      </c>
      <c r="W20" s="266" t="s">
        <v>184</v>
      </c>
      <c r="X20" s="266" t="s">
        <v>177</v>
      </c>
      <c r="Y20" s="266" t="s">
        <v>103</v>
      </c>
      <c r="Z20" s="355" t="s">
        <v>744</v>
      </c>
      <c r="AB20" s="598" t="s">
        <v>526</v>
      </c>
      <c r="AC20">
        <v>0</v>
      </c>
    </row>
    <row r="21" spans="1:29" x14ac:dyDescent="0.25">
      <c r="A21" s="599" t="str">
        <f>A4</f>
        <v>#1</v>
      </c>
      <c r="B21" s="600" t="str">
        <f>B4</f>
        <v>POR</v>
      </c>
      <c r="C21" s="333" t="s">
        <v>528</v>
      </c>
      <c r="D21" s="333">
        <f>D4</f>
        <v>0</v>
      </c>
      <c r="E21" s="601">
        <v>15</v>
      </c>
      <c r="F21" s="601">
        <v>4</v>
      </c>
      <c r="G21" s="601">
        <f t="shared" ref="G21:J21" si="13">T4</f>
        <v>2</v>
      </c>
      <c r="H21" s="601">
        <f t="shared" si="13"/>
        <v>0</v>
      </c>
      <c r="I21" s="601">
        <f t="shared" si="13"/>
        <v>0</v>
      </c>
      <c r="J21" s="601">
        <f t="shared" si="13"/>
        <v>0</v>
      </c>
      <c r="K21" s="601">
        <v>4</v>
      </c>
      <c r="L21" s="298">
        <f>Y4</f>
        <v>250</v>
      </c>
      <c r="M21" s="298">
        <f>Z4</f>
        <v>300</v>
      </c>
      <c r="O21" s="599" t="s">
        <v>347</v>
      </c>
      <c r="P21" s="600" t="str">
        <f t="shared" ref="P21:P34" si="14">B21</f>
        <v>POR</v>
      </c>
      <c r="Q21" s="333"/>
      <c r="R21" s="601">
        <f>E21</f>
        <v>15</v>
      </c>
      <c r="S21" s="601">
        <f t="shared" ref="S21:S34" si="15">F21</f>
        <v>4</v>
      </c>
      <c r="T21" s="601">
        <f t="shared" ref="T21:T26" si="16">G21</f>
        <v>2</v>
      </c>
      <c r="U21" s="601">
        <f t="shared" ref="U21:U34" si="17">H21</f>
        <v>0</v>
      </c>
      <c r="V21" s="601">
        <f t="shared" ref="V21:V34" si="18">I21</f>
        <v>0</v>
      </c>
      <c r="W21" s="601">
        <f t="shared" ref="W21:W26" si="19">J21</f>
        <v>0</v>
      </c>
      <c r="X21" s="601">
        <v>17</v>
      </c>
      <c r="Y21" s="298">
        <f>L21</f>
        <v>250</v>
      </c>
      <c r="Z21" s="155">
        <f>Y21*1.2</f>
        <v>300</v>
      </c>
      <c r="AB21" s="598" t="s">
        <v>525</v>
      </c>
      <c r="AC21">
        <v>0</v>
      </c>
    </row>
    <row r="22" spans="1:29" x14ac:dyDescent="0.25">
      <c r="A22" s="599" t="str">
        <f t="shared" ref="A22:B22" si="20">A5</f>
        <v>#2</v>
      </c>
      <c r="B22" s="600" t="str">
        <f t="shared" si="20"/>
        <v>DEF</v>
      </c>
      <c r="C22" s="333" t="s">
        <v>130</v>
      </c>
      <c r="D22" s="333" t="s">
        <v>410</v>
      </c>
      <c r="E22" s="601">
        <f t="shared" ref="E22:E33" si="21">R5</f>
        <v>0</v>
      </c>
      <c r="F22" s="601">
        <v>12</v>
      </c>
      <c r="G22" s="601">
        <v>5</v>
      </c>
      <c r="H22" s="601">
        <f t="shared" ref="H22:H33" si="22">U5</f>
        <v>2</v>
      </c>
      <c r="I22" s="601">
        <f t="shared" ref="I22:I33" si="23">V5</f>
        <v>2</v>
      </c>
      <c r="J22" s="601">
        <v>7</v>
      </c>
      <c r="K22" s="601">
        <v>3</v>
      </c>
      <c r="L22" s="298">
        <f t="shared" ref="L22:M22" si="24">Y5</f>
        <v>250</v>
      </c>
      <c r="M22" s="298">
        <f t="shared" si="24"/>
        <v>300</v>
      </c>
      <c r="O22" s="599" t="s">
        <v>412</v>
      </c>
      <c r="P22" s="600" t="str">
        <f t="shared" si="14"/>
        <v>DEF</v>
      </c>
      <c r="Q22" s="333" t="str">
        <f t="shared" ref="Q22:Q34" si="25">D22</f>
        <v>CAB</v>
      </c>
      <c r="R22" s="601">
        <f t="shared" ref="R22:R34" si="26">E22</f>
        <v>0</v>
      </c>
      <c r="S22" s="601">
        <f t="shared" si="15"/>
        <v>12</v>
      </c>
      <c r="T22" s="601">
        <f t="shared" si="16"/>
        <v>5</v>
      </c>
      <c r="U22" s="601">
        <f t="shared" si="17"/>
        <v>2</v>
      </c>
      <c r="V22" s="601">
        <f t="shared" si="18"/>
        <v>2</v>
      </c>
      <c r="W22" s="601">
        <f t="shared" si="19"/>
        <v>7</v>
      </c>
      <c r="X22" s="601">
        <v>14</v>
      </c>
      <c r="Y22" s="298">
        <f t="shared" ref="Y22:Y34" si="27">L22</f>
        <v>250</v>
      </c>
      <c r="Z22" s="155">
        <f t="shared" ref="Z22:Z34" si="28">Y22*1.2</f>
        <v>300</v>
      </c>
      <c r="AB22" s="598" t="s">
        <v>0</v>
      </c>
      <c r="AC22">
        <v>16</v>
      </c>
    </row>
    <row r="23" spans="1:29" x14ac:dyDescent="0.25">
      <c r="A23" s="599" t="str">
        <f t="shared" ref="A23:B23" si="29">A6</f>
        <v>#3</v>
      </c>
      <c r="B23" s="600" t="str">
        <f t="shared" si="29"/>
        <v>DEF</v>
      </c>
      <c r="C23" s="333" t="s">
        <v>130</v>
      </c>
      <c r="D23" s="333" t="s">
        <v>410</v>
      </c>
      <c r="E23" s="601">
        <f t="shared" ref="E23:E26" si="30">R6</f>
        <v>0</v>
      </c>
      <c r="F23" s="601">
        <v>12</v>
      </c>
      <c r="G23" s="601">
        <v>5</v>
      </c>
      <c r="H23" s="601">
        <f t="shared" ref="H23:H26" si="31">U6</f>
        <v>2</v>
      </c>
      <c r="I23" s="601">
        <f t="shared" ref="I23:I26" si="32">V6</f>
        <v>2</v>
      </c>
      <c r="J23" s="601">
        <v>7</v>
      </c>
      <c r="K23" s="601">
        <v>3</v>
      </c>
      <c r="L23" s="298">
        <f t="shared" ref="L23:M23" si="33">Y6</f>
        <v>250</v>
      </c>
      <c r="M23" s="298">
        <f t="shared" si="33"/>
        <v>300</v>
      </c>
      <c r="O23" s="599" t="s">
        <v>349</v>
      </c>
      <c r="P23" s="600" t="str">
        <f t="shared" si="14"/>
        <v>DEF</v>
      </c>
      <c r="Q23" s="333" t="str">
        <f t="shared" si="25"/>
        <v>CAB</v>
      </c>
      <c r="R23" s="601">
        <f t="shared" si="26"/>
        <v>0</v>
      </c>
      <c r="S23" s="601">
        <f t="shared" si="15"/>
        <v>12</v>
      </c>
      <c r="T23" s="601">
        <f t="shared" si="16"/>
        <v>5</v>
      </c>
      <c r="U23" s="601">
        <f t="shared" si="17"/>
        <v>2</v>
      </c>
      <c r="V23" s="601">
        <f t="shared" si="18"/>
        <v>2</v>
      </c>
      <c r="W23" s="601">
        <f t="shared" si="19"/>
        <v>7</v>
      </c>
      <c r="X23" s="601">
        <v>14</v>
      </c>
      <c r="Y23" s="298">
        <f t="shared" si="27"/>
        <v>250</v>
      </c>
      <c r="Z23" s="155">
        <f t="shared" si="28"/>
        <v>300</v>
      </c>
      <c r="AB23" s="598" t="s">
        <v>544</v>
      </c>
      <c r="AC23">
        <v>0</v>
      </c>
    </row>
    <row r="24" spans="1:29" x14ac:dyDescent="0.25">
      <c r="A24" s="599" t="str">
        <f t="shared" ref="A24:B24" si="34">A7</f>
        <v>#4</v>
      </c>
      <c r="B24" s="600" t="str">
        <f t="shared" si="34"/>
        <v>DEF</v>
      </c>
      <c r="C24" s="333" t="s">
        <v>130</v>
      </c>
      <c r="D24" s="333" t="s">
        <v>410</v>
      </c>
      <c r="E24" s="601">
        <f t="shared" si="30"/>
        <v>0</v>
      </c>
      <c r="F24" s="601">
        <v>12</v>
      </c>
      <c r="G24" s="601">
        <v>5</v>
      </c>
      <c r="H24" s="601">
        <f t="shared" si="31"/>
        <v>2</v>
      </c>
      <c r="I24" s="601">
        <f t="shared" si="32"/>
        <v>2</v>
      </c>
      <c r="J24" s="601">
        <v>7</v>
      </c>
      <c r="K24" s="601">
        <v>3</v>
      </c>
      <c r="L24" s="298">
        <f t="shared" ref="L24:M24" si="35">Y7</f>
        <v>250</v>
      </c>
      <c r="M24" s="298">
        <f t="shared" si="35"/>
        <v>300</v>
      </c>
      <c r="O24" s="599" t="s">
        <v>351</v>
      </c>
      <c r="P24" s="600" t="str">
        <f t="shared" si="14"/>
        <v>DEF</v>
      </c>
      <c r="Q24" s="333" t="str">
        <f t="shared" si="25"/>
        <v>CAB</v>
      </c>
      <c r="R24" s="601">
        <f t="shared" si="26"/>
        <v>0</v>
      </c>
      <c r="S24" s="601">
        <f t="shared" si="15"/>
        <v>12</v>
      </c>
      <c r="T24" s="601">
        <f t="shared" si="16"/>
        <v>5</v>
      </c>
      <c r="U24" s="601">
        <f t="shared" si="17"/>
        <v>2</v>
      </c>
      <c r="V24" s="601">
        <f t="shared" si="18"/>
        <v>2</v>
      </c>
      <c r="W24" s="601">
        <f t="shared" si="19"/>
        <v>7</v>
      </c>
      <c r="X24" s="601">
        <v>14</v>
      </c>
      <c r="Y24" s="298">
        <f t="shared" si="27"/>
        <v>250</v>
      </c>
      <c r="Z24" s="155">
        <f t="shared" si="28"/>
        <v>300</v>
      </c>
      <c r="AB24" s="598" t="s">
        <v>436</v>
      </c>
      <c r="AC24">
        <f>AC22+AC21+AC20+AC23</f>
        <v>16</v>
      </c>
    </row>
    <row r="25" spans="1:29" x14ac:dyDescent="0.25">
      <c r="A25" s="599" t="str">
        <f t="shared" ref="A25:B25" si="36">A8</f>
        <v>#5</v>
      </c>
      <c r="B25" s="600" t="str">
        <f t="shared" si="36"/>
        <v>DEF</v>
      </c>
      <c r="C25" s="333" t="s">
        <v>130</v>
      </c>
      <c r="D25" s="333" t="s">
        <v>410</v>
      </c>
      <c r="E25" s="601">
        <f t="shared" si="30"/>
        <v>0</v>
      </c>
      <c r="F25" s="601">
        <v>12</v>
      </c>
      <c r="G25" s="601">
        <v>5</v>
      </c>
      <c r="H25" s="601">
        <f t="shared" si="31"/>
        <v>2</v>
      </c>
      <c r="I25" s="601">
        <f t="shared" si="32"/>
        <v>2</v>
      </c>
      <c r="J25" s="601">
        <v>7</v>
      </c>
      <c r="K25" s="601">
        <v>3</v>
      </c>
      <c r="L25" s="298">
        <f t="shared" ref="L25:M25" si="37">Y8</f>
        <v>250</v>
      </c>
      <c r="M25" s="298">
        <f t="shared" si="37"/>
        <v>300</v>
      </c>
      <c r="O25" s="599" t="s">
        <v>355</v>
      </c>
      <c r="P25" s="600" t="str">
        <f t="shared" si="14"/>
        <v>DEF</v>
      </c>
      <c r="Q25" s="333" t="str">
        <f t="shared" si="25"/>
        <v>CAB</v>
      </c>
      <c r="R25" s="601">
        <f t="shared" si="26"/>
        <v>0</v>
      </c>
      <c r="S25" s="601">
        <f t="shared" si="15"/>
        <v>12</v>
      </c>
      <c r="T25" s="601">
        <f t="shared" si="16"/>
        <v>5</v>
      </c>
      <c r="U25" s="601">
        <f t="shared" si="17"/>
        <v>2</v>
      </c>
      <c r="V25" s="601">
        <f t="shared" si="18"/>
        <v>2</v>
      </c>
      <c r="W25" s="601">
        <f t="shared" si="19"/>
        <v>7</v>
      </c>
      <c r="X25" s="601">
        <v>14</v>
      </c>
      <c r="Y25" s="298">
        <f t="shared" si="27"/>
        <v>250</v>
      </c>
      <c r="Z25" s="155">
        <f t="shared" si="28"/>
        <v>300</v>
      </c>
      <c r="AB25" s="598" t="s">
        <v>60</v>
      </c>
      <c r="AC25" s="233">
        <f>AC24/16</f>
        <v>1</v>
      </c>
    </row>
    <row r="26" spans="1:29" x14ac:dyDescent="0.25">
      <c r="A26" s="599" t="str">
        <f t="shared" ref="A26:B26" si="38">A9</f>
        <v>#6</v>
      </c>
      <c r="B26" s="600" t="str">
        <f t="shared" si="38"/>
        <v>DEF</v>
      </c>
      <c r="C26" s="333" t="s">
        <v>130</v>
      </c>
      <c r="D26" s="333" t="s">
        <v>410</v>
      </c>
      <c r="E26" s="601">
        <f t="shared" si="30"/>
        <v>0</v>
      </c>
      <c r="F26" s="601">
        <v>12</v>
      </c>
      <c r="G26" s="601">
        <v>5</v>
      </c>
      <c r="H26" s="601">
        <f t="shared" si="31"/>
        <v>2</v>
      </c>
      <c r="I26" s="601">
        <f t="shared" si="32"/>
        <v>2</v>
      </c>
      <c r="J26" s="601">
        <v>7</v>
      </c>
      <c r="K26" s="601">
        <v>3</v>
      </c>
      <c r="L26" s="298">
        <f t="shared" ref="L26:M26" si="39">Y9</f>
        <v>250</v>
      </c>
      <c r="M26" s="298">
        <f t="shared" si="39"/>
        <v>300</v>
      </c>
      <c r="O26" s="599" t="s">
        <v>350</v>
      </c>
      <c r="P26" s="600" t="str">
        <f t="shared" si="14"/>
        <v>DEF</v>
      </c>
      <c r="Q26" s="333" t="str">
        <f t="shared" si="25"/>
        <v>CAB</v>
      </c>
      <c r="R26" s="601">
        <f t="shared" si="26"/>
        <v>0</v>
      </c>
      <c r="S26" s="601">
        <f t="shared" si="15"/>
        <v>12</v>
      </c>
      <c r="T26" s="601">
        <f t="shared" si="16"/>
        <v>5</v>
      </c>
      <c r="U26" s="601">
        <f t="shared" si="17"/>
        <v>2</v>
      </c>
      <c r="V26" s="601">
        <f t="shared" si="18"/>
        <v>2</v>
      </c>
      <c r="W26" s="601">
        <f t="shared" si="19"/>
        <v>7</v>
      </c>
      <c r="X26" s="601">
        <v>14</v>
      </c>
      <c r="Y26" s="298">
        <f t="shared" si="27"/>
        <v>250</v>
      </c>
      <c r="Z26" s="155">
        <f t="shared" si="28"/>
        <v>300</v>
      </c>
    </row>
    <row r="27" spans="1:29" x14ac:dyDescent="0.25">
      <c r="A27" s="599" t="str">
        <f t="shared" ref="A27:D27" si="40">A10</f>
        <v>#7</v>
      </c>
      <c r="B27" s="600" t="str">
        <f t="shared" si="40"/>
        <v>Inners</v>
      </c>
      <c r="C27" s="333" t="str">
        <f t="shared" si="40"/>
        <v>I. Vanags</v>
      </c>
      <c r="D27" s="333" t="str">
        <f t="shared" si="40"/>
        <v>CAB</v>
      </c>
      <c r="E27" s="601">
        <f t="shared" si="21"/>
        <v>0</v>
      </c>
      <c r="F27" s="601">
        <f t="shared" ref="F27:F33" si="41">S10</f>
        <v>4</v>
      </c>
      <c r="G27" s="601">
        <f t="shared" ref="G27:G32" si="42">T10</f>
        <v>12.875</v>
      </c>
      <c r="H27" s="601">
        <f t="shared" si="22"/>
        <v>3</v>
      </c>
      <c r="I27" s="601">
        <f t="shared" si="23"/>
        <v>4</v>
      </c>
      <c r="J27" s="601">
        <f t="shared" ref="J27:J32" si="43">W10</f>
        <v>9.6666666666666661</v>
      </c>
      <c r="K27" s="601">
        <f t="shared" ref="K27:K32" si="44">X10</f>
        <v>6</v>
      </c>
      <c r="L27" s="298">
        <f t="shared" ref="L27:M27" si="45">Y10</f>
        <v>684</v>
      </c>
      <c r="M27" s="298">
        <f t="shared" si="45"/>
        <v>820.8</v>
      </c>
      <c r="O27" s="599" t="s">
        <v>352</v>
      </c>
      <c r="P27" s="600" t="str">
        <f t="shared" si="14"/>
        <v>Inners</v>
      </c>
      <c r="Q27" s="333" t="str">
        <f t="shared" si="25"/>
        <v>CAB</v>
      </c>
      <c r="R27" s="601">
        <f t="shared" si="26"/>
        <v>0</v>
      </c>
      <c r="S27" s="601">
        <f t="shared" si="15"/>
        <v>4</v>
      </c>
      <c r="T27" s="601">
        <f>12+7/8</f>
        <v>12.875</v>
      </c>
      <c r="U27" s="601">
        <f t="shared" si="17"/>
        <v>3</v>
      </c>
      <c r="V27" s="601">
        <f t="shared" si="18"/>
        <v>4</v>
      </c>
      <c r="W27" s="601">
        <f>9+4/6</f>
        <v>9.6666666666666661</v>
      </c>
      <c r="X27" s="601">
        <v>15</v>
      </c>
      <c r="Y27" s="298">
        <f t="shared" si="27"/>
        <v>684</v>
      </c>
      <c r="Z27" s="155">
        <f t="shared" si="28"/>
        <v>820.8</v>
      </c>
    </row>
    <row r="28" spans="1:29" x14ac:dyDescent="0.25">
      <c r="A28" s="599" t="str">
        <f t="shared" ref="A28:D28" si="46">A11</f>
        <v>#8</v>
      </c>
      <c r="B28" s="600" t="str">
        <f t="shared" si="46"/>
        <v>Inners</v>
      </c>
      <c r="C28" s="333" t="str">
        <f t="shared" si="46"/>
        <v>I. Stone</v>
      </c>
      <c r="D28" s="333" t="str">
        <f t="shared" si="46"/>
        <v>RAP</v>
      </c>
      <c r="E28" s="601">
        <f t="shared" si="21"/>
        <v>0</v>
      </c>
      <c r="F28" s="601">
        <f t="shared" si="41"/>
        <v>3</v>
      </c>
      <c r="G28" s="601">
        <f t="shared" si="42"/>
        <v>12</v>
      </c>
      <c r="H28" s="601">
        <f t="shared" si="22"/>
        <v>2</v>
      </c>
      <c r="I28" s="601">
        <f t="shared" si="23"/>
        <v>6</v>
      </c>
      <c r="J28" s="601">
        <f t="shared" si="43"/>
        <v>11.142857142857142</v>
      </c>
      <c r="K28" s="601">
        <f t="shared" si="44"/>
        <v>2</v>
      </c>
      <c r="L28" s="298">
        <f t="shared" ref="L28:M28" si="47">Y11</f>
        <v>1490</v>
      </c>
      <c r="M28" s="298">
        <f t="shared" si="47"/>
        <v>1788</v>
      </c>
      <c r="O28" s="599" t="s">
        <v>356</v>
      </c>
      <c r="P28" s="600" t="str">
        <f t="shared" si="14"/>
        <v>Inners</v>
      </c>
      <c r="Q28" s="333" t="str">
        <f t="shared" si="25"/>
        <v>RAP</v>
      </c>
      <c r="R28" s="601">
        <f t="shared" si="26"/>
        <v>0</v>
      </c>
      <c r="S28" s="601">
        <f t="shared" si="15"/>
        <v>3</v>
      </c>
      <c r="T28" s="601">
        <v>12</v>
      </c>
      <c r="U28" s="601">
        <f t="shared" si="17"/>
        <v>2</v>
      </c>
      <c r="V28" s="601">
        <f t="shared" si="18"/>
        <v>6</v>
      </c>
      <c r="W28" s="601">
        <f>11+1/7</f>
        <v>11.142857142857142</v>
      </c>
      <c r="X28" s="601">
        <v>13.5</v>
      </c>
      <c r="Y28" s="298">
        <f t="shared" si="27"/>
        <v>1490</v>
      </c>
      <c r="Z28" s="155">
        <f t="shared" si="28"/>
        <v>1788</v>
      </c>
    </row>
    <row r="29" spans="1:29" x14ac:dyDescent="0.25">
      <c r="A29" s="599" t="str">
        <f t="shared" ref="A29:D29" si="48">A12</f>
        <v>#9</v>
      </c>
      <c r="B29" s="600" t="str">
        <f t="shared" si="48"/>
        <v>Inners</v>
      </c>
      <c r="C29" s="333" t="str">
        <f t="shared" si="48"/>
        <v>G. Piscaer</v>
      </c>
      <c r="D29" s="333" t="str">
        <f t="shared" si="48"/>
        <v>IMP</v>
      </c>
      <c r="E29" s="601">
        <f t="shared" si="21"/>
        <v>0</v>
      </c>
      <c r="F29" s="601">
        <f t="shared" si="41"/>
        <v>4</v>
      </c>
      <c r="G29" s="601">
        <f t="shared" si="42"/>
        <v>13.3</v>
      </c>
      <c r="H29" s="601">
        <f t="shared" si="22"/>
        <v>3</v>
      </c>
      <c r="I29" s="601">
        <f t="shared" si="23"/>
        <v>2</v>
      </c>
      <c r="J29" s="601">
        <f t="shared" si="43"/>
        <v>10.5</v>
      </c>
      <c r="K29" s="601">
        <f t="shared" si="44"/>
        <v>0</v>
      </c>
      <c r="L29" s="298">
        <f t="shared" ref="L29:M29" si="49">Y12</f>
        <v>1044</v>
      </c>
      <c r="M29" s="298">
        <f t="shared" si="49"/>
        <v>1252.8</v>
      </c>
      <c r="O29" s="599" t="s">
        <v>414</v>
      </c>
      <c r="P29" s="600" t="str">
        <f t="shared" si="14"/>
        <v>Inners</v>
      </c>
      <c r="Q29" s="333" t="str">
        <f t="shared" si="25"/>
        <v>IMP</v>
      </c>
      <c r="R29" s="601">
        <f t="shared" si="26"/>
        <v>0</v>
      </c>
      <c r="S29" s="601">
        <f t="shared" si="15"/>
        <v>4</v>
      </c>
      <c r="T29" s="601">
        <f>13+3/10</f>
        <v>13.3</v>
      </c>
      <c r="U29" s="601">
        <f t="shared" si="17"/>
        <v>3</v>
      </c>
      <c r="V29" s="601">
        <f t="shared" si="18"/>
        <v>2</v>
      </c>
      <c r="W29" s="601">
        <f>10+3/6</f>
        <v>10.5</v>
      </c>
      <c r="X29" s="601">
        <v>12.5</v>
      </c>
      <c r="Y29" s="298">
        <f t="shared" si="27"/>
        <v>1044</v>
      </c>
      <c r="Z29" s="155">
        <f t="shared" si="28"/>
        <v>1252.8</v>
      </c>
    </row>
    <row r="30" spans="1:29" x14ac:dyDescent="0.25">
      <c r="A30" s="599" t="str">
        <f t="shared" ref="A30:D30" si="50">A13</f>
        <v>#10</v>
      </c>
      <c r="B30" s="600" t="str">
        <f t="shared" si="50"/>
        <v>Inners</v>
      </c>
      <c r="C30" s="333" t="str">
        <f t="shared" si="50"/>
        <v>M. Bondarewski</v>
      </c>
      <c r="D30" s="333" t="str">
        <f t="shared" si="50"/>
        <v>RAP</v>
      </c>
      <c r="E30" s="601">
        <f t="shared" si="21"/>
        <v>0</v>
      </c>
      <c r="F30" s="601">
        <f t="shared" si="41"/>
        <v>2</v>
      </c>
      <c r="G30" s="601">
        <f t="shared" si="42"/>
        <v>13.3</v>
      </c>
      <c r="H30" s="601">
        <f t="shared" si="22"/>
        <v>5</v>
      </c>
      <c r="I30" s="601">
        <f t="shared" si="23"/>
        <v>4</v>
      </c>
      <c r="J30" s="601">
        <f t="shared" si="43"/>
        <v>10</v>
      </c>
      <c r="K30" s="601">
        <f t="shared" si="44"/>
        <v>6</v>
      </c>
      <c r="L30" s="298">
        <f t="shared" ref="L30:M30" si="51">Y13</f>
        <v>924</v>
      </c>
      <c r="M30" s="298">
        <f t="shared" si="51"/>
        <v>1108.8</v>
      </c>
      <c r="O30" s="599" t="s">
        <v>353</v>
      </c>
      <c r="P30" s="600" t="str">
        <f t="shared" si="14"/>
        <v>Inners</v>
      </c>
      <c r="Q30" s="333" t="str">
        <f t="shared" si="25"/>
        <v>RAP</v>
      </c>
      <c r="R30" s="601">
        <f t="shared" si="26"/>
        <v>0</v>
      </c>
      <c r="S30" s="601">
        <f t="shared" si="15"/>
        <v>2</v>
      </c>
      <c r="T30" s="601">
        <f>13+3/10</f>
        <v>13.3</v>
      </c>
      <c r="U30" s="601">
        <f t="shared" si="17"/>
        <v>5</v>
      </c>
      <c r="V30" s="601">
        <f t="shared" si="18"/>
        <v>4</v>
      </c>
      <c r="W30" s="601">
        <f>10</f>
        <v>10</v>
      </c>
      <c r="X30" s="601">
        <v>15</v>
      </c>
      <c r="Y30" s="298">
        <f t="shared" si="27"/>
        <v>924</v>
      </c>
      <c r="Z30" s="155">
        <f t="shared" si="28"/>
        <v>1108.8</v>
      </c>
    </row>
    <row r="31" spans="1:29" x14ac:dyDescent="0.25">
      <c r="A31" s="599" t="str">
        <f t="shared" ref="A31:D31" si="52">A14</f>
        <v>#11</v>
      </c>
      <c r="B31" s="600" t="str">
        <f t="shared" si="52"/>
        <v>Inners</v>
      </c>
      <c r="C31" s="333" t="str">
        <f t="shared" si="52"/>
        <v>J. Vartiainen</v>
      </c>
      <c r="D31" s="333" t="str">
        <f t="shared" si="52"/>
        <v>CAB</v>
      </c>
      <c r="E31" s="601">
        <f t="shared" si="21"/>
        <v>0</v>
      </c>
      <c r="F31" s="601">
        <f t="shared" si="41"/>
        <v>7</v>
      </c>
      <c r="G31" s="601">
        <f t="shared" si="42"/>
        <v>12.777777777777779</v>
      </c>
      <c r="H31" s="601">
        <f t="shared" si="22"/>
        <v>1</v>
      </c>
      <c r="I31" s="601">
        <f t="shared" si="23"/>
        <v>1</v>
      </c>
      <c r="J31" s="601">
        <f t="shared" si="43"/>
        <v>10.5</v>
      </c>
      <c r="K31" s="601">
        <f t="shared" si="44"/>
        <v>1</v>
      </c>
      <c r="L31" s="298">
        <f t="shared" ref="L31:M31" si="53">Y14</f>
        <v>948</v>
      </c>
      <c r="M31" s="298">
        <f t="shared" si="53"/>
        <v>1137.5999999999999</v>
      </c>
      <c r="O31" s="599" t="s">
        <v>354</v>
      </c>
      <c r="P31" s="600" t="str">
        <f t="shared" si="14"/>
        <v>Inners</v>
      </c>
      <c r="Q31" s="333" t="str">
        <f t="shared" si="25"/>
        <v>CAB</v>
      </c>
      <c r="R31" s="601">
        <f t="shared" si="26"/>
        <v>0</v>
      </c>
      <c r="S31" s="601">
        <f t="shared" si="15"/>
        <v>7</v>
      </c>
      <c r="T31" s="601">
        <f>12+7/9</f>
        <v>12.777777777777779</v>
      </c>
      <c r="U31" s="601">
        <f t="shared" si="17"/>
        <v>1</v>
      </c>
      <c r="V31" s="601">
        <f t="shared" si="18"/>
        <v>1</v>
      </c>
      <c r="W31" s="601">
        <f>10+3/6</f>
        <v>10.5</v>
      </c>
      <c r="X31" s="601">
        <v>13</v>
      </c>
      <c r="Y31" s="298">
        <f t="shared" si="27"/>
        <v>948</v>
      </c>
      <c r="Z31" s="155">
        <f t="shared" si="28"/>
        <v>1137.5999999999999</v>
      </c>
    </row>
    <row r="32" spans="1:29" x14ac:dyDescent="0.25">
      <c r="A32" s="599" t="str">
        <f t="shared" ref="A32:D32" si="54">A15</f>
        <v>#12</v>
      </c>
      <c r="B32" s="600" t="str">
        <f t="shared" si="54"/>
        <v>Inners</v>
      </c>
      <c r="C32" s="333" t="str">
        <f t="shared" si="54"/>
        <v>R. Forsyth</v>
      </c>
      <c r="D32" s="333" t="str">
        <f t="shared" si="54"/>
        <v>POT</v>
      </c>
      <c r="E32" s="601">
        <f t="shared" si="21"/>
        <v>0</v>
      </c>
      <c r="F32" s="601">
        <f t="shared" si="41"/>
        <v>7</v>
      </c>
      <c r="G32" s="601">
        <f t="shared" si="42"/>
        <v>12.777777777777779</v>
      </c>
      <c r="H32" s="601">
        <f t="shared" si="22"/>
        <v>2</v>
      </c>
      <c r="I32" s="601">
        <f t="shared" si="23"/>
        <v>4</v>
      </c>
      <c r="J32" s="601">
        <f t="shared" si="43"/>
        <v>9</v>
      </c>
      <c r="K32" s="601">
        <f t="shared" si="44"/>
        <v>2</v>
      </c>
      <c r="L32" s="298">
        <f t="shared" ref="L32:M32" si="55">Y15</f>
        <v>870</v>
      </c>
      <c r="M32" s="298">
        <f t="shared" si="55"/>
        <v>1044</v>
      </c>
      <c r="O32" s="599" t="s">
        <v>348</v>
      </c>
      <c r="P32" s="600" t="str">
        <f t="shared" si="14"/>
        <v>Inners</v>
      </c>
      <c r="Q32" s="333" t="str">
        <f t="shared" si="25"/>
        <v>POT</v>
      </c>
      <c r="R32" s="601">
        <f t="shared" si="26"/>
        <v>0</v>
      </c>
      <c r="S32" s="601">
        <f t="shared" si="15"/>
        <v>7</v>
      </c>
      <c r="T32" s="601">
        <f>12+7/9</f>
        <v>12.777777777777779</v>
      </c>
      <c r="U32" s="601">
        <f t="shared" si="17"/>
        <v>2</v>
      </c>
      <c r="V32" s="601">
        <f t="shared" si="18"/>
        <v>4</v>
      </c>
      <c r="W32" s="601">
        <v>9</v>
      </c>
      <c r="X32" s="601">
        <v>13.5</v>
      </c>
      <c r="Y32" s="298">
        <f t="shared" si="27"/>
        <v>870</v>
      </c>
      <c r="Z32" s="155">
        <f t="shared" si="28"/>
        <v>1044</v>
      </c>
    </row>
    <row r="33" spans="1:26" x14ac:dyDescent="0.25">
      <c r="A33" s="599" t="str">
        <f t="shared" ref="A33:D33" si="56">A16</f>
        <v>#13</v>
      </c>
      <c r="B33" s="600" t="str">
        <f t="shared" si="56"/>
        <v>DD</v>
      </c>
      <c r="C33" s="333" t="s">
        <v>748</v>
      </c>
      <c r="D33" s="333" t="str">
        <f t="shared" si="56"/>
        <v>RAP/IMP/CAB</v>
      </c>
      <c r="E33" s="601">
        <f t="shared" si="21"/>
        <v>0</v>
      </c>
      <c r="F33" s="601">
        <f t="shared" si="41"/>
        <v>2</v>
      </c>
      <c r="G33" s="601">
        <v>12</v>
      </c>
      <c r="H33" s="601">
        <f t="shared" si="22"/>
        <v>2</v>
      </c>
      <c r="I33" s="601">
        <f t="shared" si="23"/>
        <v>2</v>
      </c>
      <c r="J33" s="601">
        <v>10</v>
      </c>
      <c r="K33" s="601">
        <v>10</v>
      </c>
      <c r="L33" s="298">
        <f t="shared" ref="L33:M33" si="57">Y16</f>
        <v>250</v>
      </c>
      <c r="M33" s="298">
        <f t="shared" si="57"/>
        <v>300</v>
      </c>
      <c r="O33" s="599" t="s">
        <v>406</v>
      </c>
      <c r="P33" s="600" t="str">
        <f t="shared" si="14"/>
        <v>DD</v>
      </c>
      <c r="Q33" s="333" t="str">
        <f t="shared" si="25"/>
        <v>RAP/IMP/CAB</v>
      </c>
      <c r="R33" s="601">
        <f t="shared" si="26"/>
        <v>0</v>
      </c>
      <c r="S33" s="601">
        <f t="shared" si="15"/>
        <v>2</v>
      </c>
      <c r="T33" s="601">
        <f t="shared" ref="T33:T34" si="58">G33</f>
        <v>12</v>
      </c>
      <c r="U33" s="601">
        <f t="shared" si="17"/>
        <v>2</v>
      </c>
      <c r="V33" s="601">
        <f t="shared" si="18"/>
        <v>2</v>
      </c>
      <c r="W33" s="601">
        <f t="shared" ref="W33:W34" si="59">J33</f>
        <v>10</v>
      </c>
      <c r="X33" s="601">
        <v>18</v>
      </c>
      <c r="Y33" s="298">
        <f t="shared" si="27"/>
        <v>250</v>
      </c>
      <c r="Z33" s="155">
        <f t="shared" si="28"/>
        <v>300</v>
      </c>
    </row>
    <row r="34" spans="1:26" x14ac:dyDescent="0.25">
      <c r="A34" s="599" t="str">
        <f t="shared" ref="A34:D34" si="60">A17</f>
        <v>#14</v>
      </c>
      <c r="B34" s="600" t="str">
        <f t="shared" si="60"/>
        <v>DD</v>
      </c>
      <c r="C34" s="333" t="s">
        <v>748</v>
      </c>
      <c r="D34" s="333" t="str">
        <f t="shared" si="60"/>
        <v>RAP/IMP/CAB</v>
      </c>
      <c r="E34" s="601">
        <f t="shared" ref="E34" si="61">R17</f>
        <v>0</v>
      </c>
      <c r="F34" s="601">
        <f t="shared" ref="F34" si="62">S17</f>
        <v>2</v>
      </c>
      <c r="G34" s="601">
        <v>12</v>
      </c>
      <c r="H34" s="601">
        <f t="shared" ref="H34" si="63">U17</f>
        <v>2</v>
      </c>
      <c r="I34" s="601">
        <f t="shared" ref="I34" si="64">V17</f>
        <v>2</v>
      </c>
      <c r="J34" s="601">
        <v>10</v>
      </c>
      <c r="K34" s="601">
        <v>10</v>
      </c>
      <c r="L34" s="298">
        <f t="shared" ref="L34:M34" si="65">Y17</f>
        <v>250</v>
      </c>
      <c r="M34" s="298">
        <f t="shared" si="65"/>
        <v>300</v>
      </c>
      <c r="O34" s="599" t="s">
        <v>413</v>
      </c>
      <c r="P34" s="600" t="str">
        <f t="shared" si="14"/>
        <v>DD</v>
      </c>
      <c r="Q34" s="333" t="str">
        <f t="shared" si="25"/>
        <v>RAP/IMP/CAB</v>
      </c>
      <c r="R34" s="601">
        <f t="shared" si="26"/>
        <v>0</v>
      </c>
      <c r="S34" s="601">
        <f t="shared" si="15"/>
        <v>2</v>
      </c>
      <c r="T34" s="601">
        <f t="shared" si="58"/>
        <v>12</v>
      </c>
      <c r="U34" s="601">
        <f t="shared" si="17"/>
        <v>2</v>
      </c>
      <c r="V34" s="601">
        <f t="shared" si="18"/>
        <v>2</v>
      </c>
      <c r="W34" s="601">
        <f t="shared" si="59"/>
        <v>10</v>
      </c>
      <c r="X34" s="601">
        <v>18</v>
      </c>
      <c r="Y34" s="298">
        <f t="shared" si="27"/>
        <v>250</v>
      </c>
      <c r="Z34" s="155">
        <f t="shared" si="28"/>
        <v>300</v>
      </c>
    </row>
  </sheetData>
  <conditionalFormatting sqref="R4:X17">
    <cfRule type="colorScale" priority="5">
      <colorScale>
        <cfvo type="min"/>
        <cfvo type="max"/>
        <color rgb="FFFFEF9C"/>
        <color rgb="FF63BE7B"/>
      </colorScale>
    </cfRule>
  </conditionalFormatting>
  <conditionalFormatting sqref="E4:K17">
    <cfRule type="colorScale" priority="3">
      <colorScale>
        <cfvo type="min"/>
        <cfvo type="max"/>
        <color rgb="FFFFEF9C"/>
        <color rgb="FF63BE7B"/>
      </colorScale>
    </cfRule>
  </conditionalFormatting>
  <conditionalFormatting sqref="R21:X34">
    <cfRule type="colorScale" priority="2">
      <colorScale>
        <cfvo type="min"/>
        <cfvo type="max"/>
        <color rgb="FFFFEF9C"/>
        <color rgb="FF63BE7B"/>
      </colorScale>
    </cfRule>
  </conditionalFormatting>
  <conditionalFormatting sqref="E21:K34">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K34"/>
  <sheetViews>
    <sheetView workbookViewId="0">
      <pane xSplit="17" ySplit="2" topLeftCell="R3" activePane="bottomRight" state="frozen"/>
      <selection pane="topRight" activeCell="R1" sqref="R1"/>
      <selection pane="bottomLeft" activeCell="A3" sqref="A3"/>
      <selection pane="bottomRight" activeCell="E14" sqref="E13:E14"/>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16"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58"/>
      <c r="D1" s="416"/>
      <c r="X1" t="s">
        <v>528</v>
      </c>
      <c r="AA1" t="s">
        <v>529</v>
      </c>
      <c r="AE1" t="s">
        <v>530</v>
      </c>
      <c r="AI1" t="s">
        <v>531</v>
      </c>
      <c r="AM1" t="s">
        <v>532</v>
      </c>
      <c r="AQ1" t="s">
        <v>527</v>
      </c>
      <c r="AX1" t="s">
        <v>533</v>
      </c>
      <c r="BE1" t="s">
        <v>411</v>
      </c>
      <c r="BJ1" t="s">
        <v>534</v>
      </c>
      <c r="BO1" t="s">
        <v>488</v>
      </c>
      <c r="BT1" t="s">
        <v>640</v>
      </c>
      <c r="BY1" t="s">
        <v>485</v>
      </c>
      <c r="CD1" t="s">
        <v>468</v>
      </c>
      <c r="CH1" t="s">
        <v>66</v>
      </c>
    </row>
    <row r="2" spans="1:89" x14ac:dyDescent="0.25">
      <c r="A2" s="417" t="s">
        <v>174</v>
      </c>
      <c r="B2" s="417" t="s">
        <v>535</v>
      </c>
      <c r="C2" s="417" t="s">
        <v>62</v>
      </c>
      <c r="D2" s="418" t="s">
        <v>536</v>
      </c>
      <c r="E2" s="417" t="s">
        <v>537</v>
      </c>
      <c r="F2" s="419" t="s">
        <v>538</v>
      </c>
      <c r="G2" s="419" t="s">
        <v>539</v>
      </c>
      <c r="H2" s="419" t="s">
        <v>540</v>
      </c>
      <c r="I2" s="420" t="s">
        <v>541</v>
      </c>
      <c r="J2" s="421" t="s">
        <v>542</v>
      </c>
      <c r="K2" s="421" t="s">
        <v>1</v>
      </c>
      <c r="L2" s="421" t="s">
        <v>2</v>
      </c>
      <c r="M2" s="421" t="s">
        <v>543</v>
      </c>
      <c r="N2" s="421" t="s">
        <v>65</v>
      </c>
      <c r="O2" s="421" t="s">
        <v>453</v>
      </c>
      <c r="P2" s="421" t="s">
        <v>544</v>
      </c>
      <c r="Q2" s="421" t="s">
        <v>0</v>
      </c>
      <c r="R2" s="422" t="s">
        <v>448</v>
      </c>
      <c r="S2" s="422" t="s">
        <v>659</v>
      </c>
      <c r="T2" s="422" t="s">
        <v>545</v>
      </c>
      <c r="U2" s="422" t="s">
        <v>546</v>
      </c>
      <c r="V2" s="422" t="s">
        <v>456</v>
      </c>
      <c r="W2" s="422" t="s">
        <v>457</v>
      </c>
      <c r="X2" s="423" t="s">
        <v>547</v>
      </c>
      <c r="Y2" s="423" t="s">
        <v>548</v>
      </c>
      <c r="Z2" s="423" t="s">
        <v>547</v>
      </c>
      <c r="AA2" s="424" t="s">
        <v>547</v>
      </c>
      <c r="AB2" s="424" t="s">
        <v>548</v>
      </c>
      <c r="AC2" s="424" t="s">
        <v>547</v>
      </c>
      <c r="AD2" s="424" t="s">
        <v>64</v>
      </c>
      <c r="AE2" s="424" t="s">
        <v>547</v>
      </c>
      <c r="AF2" s="424" t="s">
        <v>548</v>
      </c>
      <c r="AG2" s="424" t="s">
        <v>547</v>
      </c>
      <c r="AH2" s="424" t="s">
        <v>64</v>
      </c>
      <c r="AI2" s="423" t="s">
        <v>547</v>
      </c>
      <c r="AJ2" s="423" t="s">
        <v>548</v>
      </c>
      <c r="AK2" s="423" t="s">
        <v>64</v>
      </c>
      <c r="AL2" s="423" t="s">
        <v>549</v>
      </c>
      <c r="AM2" s="423" t="s">
        <v>547</v>
      </c>
      <c r="AN2" s="423" t="s">
        <v>548</v>
      </c>
      <c r="AO2" s="423" t="s">
        <v>64</v>
      </c>
      <c r="AP2" s="423" t="s">
        <v>549</v>
      </c>
      <c r="AQ2" s="423" t="s">
        <v>547</v>
      </c>
      <c r="AR2" s="423" t="s">
        <v>548</v>
      </c>
      <c r="AS2" s="423" t="s">
        <v>547</v>
      </c>
      <c r="AT2" s="423" t="s">
        <v>64</v>
      </c>
      <c r="AU2" s="423" t="s">
        <v>549</v>
      </c>
      <c r="AV2" s="423" t="s">
        <v>550</v>
      </c>
      <c r="AW2" s="423" t="s">
        <v>549</v>
      </c>
      <c r="AX2" s="423" t="s">
        <v>547</v>
      </c>
      <c r="AY2" s="423" t="s">
        <v>548</v>
      </c>
      <c r="AZ2" s="423" t="s">
        <v>547</v>
      </c>
      <c r="BA2" s="423" t="s">
        <v>64</v>
      </c>
      <c r="BB2" s="423" t="s">
        <v>549</v>
      </c>
      <c r="BC2" s="423" t="s">
        <v>550</v>
      </c>
      <c r="BD2" s="423" t="s">
        <v>549</v>
      </c>
      <c r="BE2" s="424" t="s">
        <v>547</v>
      </c>
      <c r="BF2" s="424" t="s">
        <v>548</v>
      </c>
      <c r="BG2" s="424" t="s">
        <v>64</v>
      </c>
      <c r="BH2" s="424" t="s">
        <v>549</v>
      </c>
      <c r="BI2" s="424" t="s">
        <v>550</v>
      </c>
      <c r="BJ2" s="424" t="s">
        <v>547</v>
      </c>
      <c r="BK2" s="424" t="s">
        <v>548</v>
      </c>
      <c r="BL2" s="424" t="s">
        <v>64</v>
      </c>
      <c r="BM2" s="424" t="s">
        <v>549</v>
      </c>
      <c r="BN2" s="424" t="s">
        <v>550</v>
      </c>
      <c r="BO2" s="423" t="s">
        <v>547</v>
      </c>
      <c r="BP2" s="423" t="s">
        <v>548</v>
      </c>
      <c r="BQ2" s="423" t="s">
        <v>64</v>
      </c>
      <c r="BR2" s="423" t="s">
        <v>549</v>
      </c>
      <c r="BS2" s="423" t="s">
        <v>550</v>
      </c>
      <c r="BT2" s="423" t="s">
        <v>547</v>
      </c>
      <c r="BU2" s="423" t="s">
        <v>548</v>
      </c>
      <c r="BV2" s="423" t="s">
        <v>64</v>
      </c>
      <c r="BW2" s="423" t="s">
        <v>549</v>
      </c>
      <c r="BX2" s="423" t="s">
        <v>550</v>
      </c>
      <c r="BY2" s="423" t="s">
        <v>547</v>
      </c>
      <c r="BZ2" s="423" t="s">
        <v>548</v>
      </c>
      <c r="CA2" s="423" t="s">
        <v>64</v>
      </c>
      <c r="CB2" s="423" t="s">
        <v>549</v>
      </c>
      <c r="CC2" s="423" t="s">
        <v>550</v>
      </c>
      <c r="CD2" s="424" t="s">
        <v>64</v>
      </c>
      <c r="CE2" s="424" t="s">
        <v>549</v>
      </c>
      <c r="CF2" s="424" t="s">
        <v>550</v>
      </c>
      <c r="CG2" s="424" t="s">
        <v>549</v>
      </c>
      <c r="CH2" s="423" t="s">
        <v>549</v>
      </c>
      <c r="CI2" s="423" t="s">
        <v>550</v>
      </c>
      <c r="CJ2" s="423" t="s">
        <v>549</v>
      </c>
      <c r="CK2" s="423" t="s">
        <v>64</v>
      </c>
    </row>
    <row r="3" spans="1:89" x14ac:dyDescent="0.25">
      <c r="A3" t="str">
        <f>PLANTILLA!D4</f>
        <v>D. Gehmacher</v>
      </c>
      <c r="B3" s="416">
        <f>PLANTILLA!E4</f>
        <v>34</v>
      </c>
      <c r="C3" s="298">
        <f ca="1">PLANTILLA!F4</f>
        <v>108</v>
      </c>
      <c r="D3" s="416">
        <f>PLANTILLA!G4</f>
        <v>0</v>
      </c>
      <c r="E3" s="518">
        <f>PLANTILLA!O4</f>
        <v>42468</v>
      </c>
      <c r="F3" s="298">
        <f>PLANTILLA!Q4</f>
        <v>5</v>
      </c>
      <c r="G3" s="346">
        <f>(F3/7)^0.5</f>
        <v>0.84515425472851657</v>
      </c>
      <c r="H3" s="346">
        <f>IF(F3=7,1,((F3+0.99)/7)^0.5)</f>
        <v>0.92504826128926143</v>
      </c>
      <c r="I3" s="425">
        <f ca="1">PLANTILLA!P4</f>
        <v>1</v>
      </c>
      <c r="J3" s="426">
        <f>PLANTILLA!I4</f>
        <v>23.7</v>
      </c>
      <c r="K3" s="152">
        <f>PLANTILLA!X4</f>
        <v>16.666666666666668</v>
      </c>
      <c r="L3" s="152">
        <f>PLANTILLA!Y4</f>
        <v>11.95</v>
      </c>
      <c r="M3" s="152">
        <f>PLANTILLA!Z4</f>
        <v>2.0699999999999985</v>
      </c>
      <c r="N3" s="152">
        <f>PLANTILLA!AA4</f>
        <v>2.149999999999999</v>
      </c>
      <c r="O3" s="152">
        <f>PLANTILLA!AB4</f>
        <v>0.95</v>
      </c>
      <c r="P3" s="152">
        <f>PLANTILLA!AC4</f>
        <v>0</v>
      </c>
      <c r="Q3" s="152">
        <f>PLANTILLA!AD4</f>
        <v>18.2</v>
      </c>
      <c r="R3" s="426">
        <f>((2*(O3+1))+(L3+1))/8</f>
        <v>2.1062499999999997</v>
      </c>
      <c r="S3" s="426">
        <f ca="1">1.66*(P3+(LOG(J3)*4/3)+I3)+0.55*(Q3+(LOG(J3)*4/3)+I3)-7.6</f>
        <v>8.6709251262431071</v>
      </c>
      <c r="T3" s="152">
        <f>(0.5*P3+ 0.3*Q3)/10</f>
        <v>0.54600000000000004</v>
      </c>
      <c r="U3" s="152">
        <f>(0.4*L3+0.3*Q3)/10</f>
        <v>1.024</v>
      </c>
      <c r="V3" s="426">
        <f ca="1">IF(TODAY()-E3&gt;335,(Q3+1+(LOG(J3)*4/3))*(F3/7)^0.5,(Q3+((TODAY()-E3)^0.5)/(336^0.5)+(LOG(J3)*4/3))*(F3/7)^0.5)</f>
        <v>17.776127575869424</v>
      </c>
      <c r="W3" s="426">
        <f ca="1">IF(F3=7,V3,IF(TODAY()-E3&gt;335,(Q3+1+(LOG(J3)*4/3))*((F3+0.99)/7)^0.5,(Q3+((TODAY()-E3)^0.5)/(336^0.5)+(LOG(J3)*4/3))*((F3+0.99)/7)^0.5))</f>
        <v>19.456538039669731</v>
      </c>
      <c r="X3" s="233">
        <f ca="1">((K3+I3+(LOG(J3)*4/3))*0.597)+((L3+I3+(LOG(J3)*4/3))*0.276)</f>
        <v>15.721407074755762</v>
      </c>
      <c r="Y3" s="233">
        <f ca="1">((K3+I3+(LOG(J3)*4/3))*0.866)+((L3+I3+(LOG(J3)*4/3))*0.425)</f>
        <v>23.169483486265392</v>
      </c>
      <c r="Z3" s="233">
        <f ca="1">X3</f>
        <v>15.721407074755762</v>
      </c>
      <c r="AA3" s="233">
        <f ca="1">((L3+I3+(LOG(J3)*4/3))*0.516)</f>
        <v>7.6280268620549521</v>
      </c>
      <c r="AB3" s="233">
        <f ca="1">(L3+I3+(LOG(J3)*4/3))*1</f>
        <v>14.782997794680139</v>
      </c>
      <c r="AC3" s="233">
        <f ca="1">AA3/2</f>
        <v>3.814013431027476</v>
      </c>
      <c r="AD3" s="233">
        <f ca="1">(M3+I3+(LOG(J3)*4/3))*0.238</f>
        <v>1.1669134751338726</v>
      </c>
      <c r="AE3" s="233">
        <f ca="1">((L3+I3+(LOG(J3)*4/3))*0.378)</f>
        <v>5.5879731663890926</v>
      </c>
      <c r="AF3" s="233">
        <f ca="1">(L3+I3+(LOG(J3)*4/3))*0.723</f>
        <v>10.68810740555374</v>
      </c>
      <c r="AG3" s="233">
        <f ca="1">AE3/2</f>
        <v>2.7939865831945463</v>
      </c>
      <c r="AH3" s="233">
        <f ca="1">(M3+I3+(LOG(J3)*4/3))*0.385</f>
        <v>1.8876541509518527</v>
      </c>
      <c r="AI3" s="233">
        <f ca="1">((L3+I3+(LOG(J3)*4/3))*0.92)</f>
        <v>13.600357971105728</v>
      </c>
      <c r="AJ3" s="233">
        <f ca="1">(L3+I3+(LOG(J3)*4/3))*0.414</f>
        <v>6.1201610869975767</v>
      </c>
      <c r="AK3" s="233">
        <f ca="1">((M3+I3+(LOG(J3)*4/3))*0.167)</f>
        <v>0.8188006317115829</v>
      </c>
      <c r="AL3" s="233">
        <f ca="1">(N3+I3+(LOG(J3)*4/3))*0.588</f>
        <v>2.9300027032719207</v>
      </c>
      <c r="AM3" s="233">
        <f ca="1">((L3+I3+(LOG(J3)*4/3))*0.754)</f>
        <v>11.146380337188825</v>
      </c>
      <c r="AN3" s="233">
        <f ca="1">((L3+I3+(LOG(J3)*4/3))*0.708)</f>
        <v>10.466362438633537</v>
      </c>
      <c r="AO3" s="233">
        <f ca="1">((Q3+I3+(LOG(J3)*4/3))*0.167)</f>
        <v>3.5125106317115833</v>
      </c>
      <c r="AP3" s="233">
        <f ca="1">((R3+I3+(LOG(J3)*4/3))*0.288)</f>
        <v>1.4225033648678798</v>
      </c>
      <c r="AQ3" s="233">
        <f ca="1">((L3+I3+(LOG(J3)*4/3))*0.27)</f>
        <v>3.9914094045636377</v>
      </c>
      <c r="AR3" s="233">
        <f ca="1">((L3+I3+(LOG(J3)*4/3))*0.594)</f>
        <v>8.7811006900400024</v>
      </c>
      <c r="AS3" s="233">
        <f ca="1">AQ3/2</f>
        <v>1.9957047022818188</v>
      </c>
      <c r="AT3" s="233">
        <f ca="1">((M3+I3+(LOG(J3)*4/3))*0.944)</f>
        <v>4.6284299181780488</v>
      </c>
      <c r="AU3" s="233">
        <f ca="1">((O3+I3+(LOG(J3)*4/3))*0.13)</f>
        <v>0.49178971330841803</v>
      </c>
      <c r="AV3" s="233">
        <f ca="1">((P3+I3+(LOG(J3)*4/3))*0.173)+((O3+I3+(LOG(J3)*4/3))*0.12)</f>
        <v>0.94406835384128052</v>
      </c>
      <c r="AW3" s="233">
        <f ca="1">AU3/2</f>
        <v>0.24589485665420902</v>
      </c>
      <c r="AX3" s="233">
        <f ca="1">((L3+I3+(LOG(J3)*4/3))*0.189)</f>
        <v>2.7939865831945463</v>
      </c>
      <c r="AY3" s="233">
        <f ca="1">((L3+I3+(LOG(J3)*4/3))*0.4)</f>
        <v>5.9131991178720558</v>
      </c>
      <c r="AZ3" s="233">
        <f ca="1">AX3/2</f>
        <v>1.3969932915972731</v>
      </c>
      <c r="BA3" s="233">
        <f ca="1">((M3+I3+(LOG(J3)*4/3))*1)</f>
        <v>4.9029977946801369</v>
      </c>
      <c r="BB3" s="233">
        <f ca="1">((O3+I3+(LOG(J3)*4/3))*0.253)</f>
        <v>0.95709844205407502</v>
      </c>
      <c r="BC3" s="233">
        <f ca="1">((P3+I3+(LOG(J3)*4/3))*0.21)+((O3+I3+(LOG(J3)*4/3))*0.341)</f>
        <v>1.8849317848687566</v>
      </c>
      <c r="BD3" s="233">
        <f ca="1">BB3/2</f>
        <v>0.47854922102703751</v>
      </c>
      <c r="BE3" s="233">
        <f ca="1">((L3+I3+(LOG(J3)*4/3))*0.291)</f>
        <v>4.3018523582519199</v>
      </c>
      <c r="BF3" s="233">
        <f ca="1">((L3+I3+(LOG(J3)*4/3))*0.348)</f>
        <v>5.144483232548688</v>
      </c>
      <c r="BG3" s="233">
        <f ca="1">((M3+I3+(LOG(J3)*4/3))*0.881)</f>
        <v>4.3195410571132005</v>
      </c>
      <c r="BH3" s="233">
        <f ca="1">((N3+I3+(LOG(J3)*4/3))*0.574)+((O3+I3+(LOG(J3)*4/3))*0.315)</f>
        <v>4.0518850394706423</v>
      </c>
      <c r="BI3" s="233">
        <f ca="1">((O3+I3+(LOG(J3)*4/3))*0.241)</f>
        <v>0.91170246851791337</v>
      </c>
      <c r="BJ3" s="233">
        <f ca="1">((L3+I3+(LOG(J3)*4/3))*0.485)</f>
        <v>7.1697539304198674</v>
      </c>
      <c r="BK3" s="233">
        <f ca="1">((L3+I3+(LOG(J3)*4/3))*0.264)</f>
        <v>3.9027114177955569</v>
      </c>
      <c r="BL3" s="233">
        <f ca="1">((M3+I3+(LOG(J3)*4/3))*0.381)</f>
        <v>1.8680421597731323</v>
      </c>
      <c r="BM3" s="233">
        <f ca="1">((N3+I3+(LOG(J3)*4/3))*0.673)+((O3+I3+(LOG(J3)*4/3))*0.201)</f>
        <v>4.1139400725504407</v>
      </c>
      <c r="BN3" s="233">
        <f ca="1">((O3+I3+(LOG(J3)*4/3))*0.052)</f>
        <v>0.1967158853233672</v>
      </c>
      <c r="BO3" s="233">
        <f ca="1">((L3+I3+(LOG(J3)*4/3))*0.18)</f>
        <v>2.6609396030424248</v>
      </c>
      <c r="BP3" s="233">
        <f ca="1">(L3+I3+(LOG(J3)*4/3))*0.068</f>
        <v>1.0052438500382495</v>
      </c>
      <c r="BQ3" s="233">
        <f ca="1">((M3+I3+(LOG(J3)*4/3))*0.305)</f>
        <v>1.4954143273774416</v>
      </c>
      <c r="BR3" s="233">
        <f ca="1">((N3+I3+(LOG(J3)*4/3))*1)+((O3+I3+(LOG(J3)*4/3))*0.286)</f>
        <v>6.0649351639586575</v>
      </c>
      <c r="BS3" s="233">
        <f ca="1">((O3+I3+(LOG(J3)*4/3))*0.135)</f>
        <v>0.51070470228181875</v>
      </c>
      <c r="BT3" s="233">
        <f ca="1">((L3+I3+(LOG(J3)*4/3))*0.284)</f>
        <v>4.1983713736891586</v>
      </c>
      <c r="BU3" s="233">
        <f ca="1">(L3+I3+(LOG(J3)*4/3))*0.244</f>
        <v>3.6070514619019538</v>
      </c>
      <c r="BV3" s="233">
        <f ca="1">((M3+I3+(LOG(J3)*4/3))*0.455)</f>
        <v>2.2308639965794623</v>
      </c>
      <c r="BW3" s="233">
        <f ca="1">((N3+I3+(LOG(J3)*4/3))*0.864)+((O3+I3+(LOG(J3)*4/3))*0.244)</f>
        <v>5.2283615565055932</v>
      </c>
      <c r="BX3" s="233">
        <f ca="1">((O3+I3+(LOG(J3)*4/3))*0.121)</f>
        <v>0.45774273315629677</v>
      </c>
      <c r="BY3" s="233">
        <f ca="1">((L3+I3+(LOG(J3)*4/3))*0.284)</f>
        <v>4.1983713736891586</v>
      </c>
      <c r="BZ3" s="233">
        <f ca="1">((L3+I3+(LOG(J3)*4/3))*0.244)</f>
        <v>3.6070514619019538</v>
      </c>
      <c r="CA3" s="233">
        <f ca="1">((M3+I3+(LOG(J3)*4/3))*0.631)</f>
        <v>3.0937916084431665</v>
      </c>
      <c r="CB3" s="233">
        <f ca="1">((N3+I3+(LOG(J3)*4/3))*0.702)+((O3+I3+(LOG(J3)*4/3))*0.193)</f>
        <v>4.2281830262387228</v>
      </c>
      <c r="CC3" s="233">
        <f ca="1">((O3+I3+(LOG(J3)*4/3))*0.148)</f>
        <v>0.55988367361266045</v>
      </c>
      <c r="CD3" s="233">
        <f ca="1">((M3+I3+(LOG(J3)*4/3))*0.406)</f>
        <v>1.9906171046401357</v>
      </c>
      <c r="CE3" s="233">
        <f ca="1">IF(D3="TEC",((N3+I3+(LOG(J3)*4/3))*0.15)+((O3+I3+(LOG(J3)*4/3))*0.324)+((P3+I3+(LOG(J3)*4/3))*0.127),(((N3+I3+(LOG(J3)*4/3))*0.144)+((O3+I3+(LOG(J3)*4/3))*0.25)+((P3+I3+(LOG(J3)*4/3))*0.127)))</f>
        <v>2.0230918510283522</v>
      </c>
      <c r="CF3" s="233">
        <f ca="1">((O3+I3+(LOG(J3)*4/3))*0.543)+((P3+I3+(LOG(J3)*4/3))*0.583)</f>
        <v>3.7058055168098356</v>
      </c>
      <c r="CG3" s="233">
        <f ca="1">CE3</f>
        <v>2.0230918510283522</v>
      </c>
      <c r="CH3" s="233">
        <f ca="1">((P3+1+(LOG(J3)*4/3))*0.26)+((N3+I3+(LOG(J3)*4/3))*0.221)+((O3+I3+(LOG(J3)*4/3))*0.142)</f>
        <v>2.375007626085726</v>
      </c>
      <c r="CI3" s="233">
        <f ca="1">((P3+I3+(LOG(J3)*4/3))*1)+((O3+I3+(LOG(J3)*4/3))*0.369)</f>
        <v>4.2289239809171093</v>
      </c>
      <c r="CJ3" s="233">
        <f ca="1">CH3</f>
        <v>2.375007626085726</v>
      </c>
      <c r="CK3" s="233">
        <f ca="1">((M3+I3+(LOG(J3)*4/3))*0.25)</f>
        <v>1.2257494486700342</v>
      </c>
    </row>
    <row r="4" spans="1:89" x14ac:dyDescent="0.25">
      <c r="A4" t="str">
        <f>PLANTILLA!D5</f>
        <v>T. Hammond</v>
      </c>
      <c r="B4" s="589">
        <f>PLANTILLA!E5</f>
        <v>39</v>
      </c>
      <c r="C4" s="298">
        <f ca="1">PLANTILLA!F5</f>
        <v>5</v>
      </c>
      <c r="D4" s="589" t="str">
        <f>PLANTILLA!G5</f>
        <v>CAB</v>
      </c>
      <c r="E4" s="518">
        <v>36526</v>
      </c>
      <c r="F4" s="298">
        <f>PLANTILLA!Q5</f>
        <v>4</v>
      </c>
      <c r="G4" s="346">
        <f t="shared" ref="G4:G27" si="0">(F4/7)^0.5</f>
        <v>0.7559289460184544</v>
      </c>
      <c r="H4" s="346">
        <f t="shared" ref="H4:H27" si="1">IF(F4=7,1,((F4+0.99)/7)^0.5)</f>
        <v>0.84430867747355465</v>
      </c>
      <c r="I4" s="425">
        <f>PLANTILLA!P5</f>
        <v>1.5</v>
      </c>
      <c r="J4" s="426">
        <f>PLANTILLA!I5</f>
        <v>8.4</v>
      </c>
      <c r="K4" s="152">
        <f>PLANTILLA!X5</f>
        <v>7.95</v>
      </c>
      <c r="L4" s="152">
        <f>PLANTILLA!Y5</f>
        <v>7.95</v>
      </c>
      <c r="M4" s="152">
        <f>PLANTILLA!Z5</f>
        <v>0.95</v>
      </c>
      <c r="N4" s="152">
        <f>PLANTILLA!AA5</f>
        <v>0.95</v>
      </c>
      <c r="O4" s="152">
        <f>PLANTILLA!AB5</f>
        <v>1.95</v>
      </c>
      <c r="P4" s="152">
        <f>PLANTILLA!AC5</f>
        <v>0</v>
      </c>
      <c r="Q4" s="152">
        <f>PLANTILLA!AD5</f>
        <v>14.95</v>
      </c>
      <c r="R4" s="426">
        <f t="shared" ref="R4:R27" si="2">((2*(O4+1))+(L4+1))/8</f>
        <v>1.85625</v>
      </c>
      <c r="S4" s="426">
        <f t="shared" ref="S4:S27" si="3">1.66*(P4+(LOG(J4)*4/3)+I4)+0.55*(Q4+(LOG(J4)*4/3)+I4)-7.6</f>
        <v>6.6610429629290131</v>
      </c>
      <c r="T4" s="152">
        <f t="shared" ref="T4:T27" si="4">(0.5*P4+ 0.3*Q4)/10</f>
        <v>0.44849999999999995</v>
      </c>
      <c r="U4" s="152">
        <f t="shared" ref="U4:U27" si="5">(0.4*L4+0.3*Q4)/10</f>
        <v>0.76649999999999996</v>
      </c>
      <c r="V4" s="426">
        <f t="shared" ref="V4:V27" ca="1" si="6">IF(TODAY()-E4&gt;335,(Q4+1+(LOG(J4)*4/3))*(F4/7)^0.5,(Q4+((TODAY()-E4)^0.5)/(336^0.5)+(LOG(J4)*4/3))*(F4/7)^0.5)</f>
        <v>12.988652644380277</v>
      </c>
      <c r="W4" s="426">
        <f t="shared" ref="W4:W27" ca="1" si="7">IF(F4=7,V4,IF(TODAY()-E4&gt;335,(Q4+1+(LOG(J4)*4/3))*((F4+0.99)/7)^0.5,(Q4+((TODAY()-E4)^0.5)/(336^0.5)+(LOG(J4)*4/3))*((F4+0.99)/7)^0.5))</f>
        <v>14.507226101211341</v>
      </c>
      <c r="X4" s="233">
        <f t="shared" ref="X4:X27" si="8">((K4+I4+(LOG(J4)*4/3))*0.597)+((L4+I4+(LOG(J4)*4/3))*0.276)</f>
        <v>9.3257110889760302</v>
      </c>
      <c r="Y4" s="233">
        <f t="shared" ref="Y4:Y27" si="9">((K4+I4+(LOG(J4)*4/3))*0.866)+((L4+I4+(LOG(J4)*4/3))*0.425)</f>
        <v>13.790942744407852</v>
      </c>
      <c r="Z4" s="233">
        <f t="shared" ref="Z4:Z27" si="10">X4</f>
        <v>9.3257110889760302</v>
      </c>
      <c r="AA4" s="233">
        <f t="shared" ref="AA4:AA27" si="11">((L4+I4+(LOG(J4)*4/3))*0.516)</f>
        <v>5.5121041488105744</v>
      </c>
      <c r="AB4" s="233">
        <f t="shared" ref="AB4:AB27" si="12">(L4+I4+(LOG(J4)*4/3))*1</f>
        <v>10.682372381415842</v>
      </c>
      <c r="AC4" s="233">
        <f t="shared" ref="AC4:AC27" si="13">AA4/2</f>
        <v>2.7560520744052872</v>
      </c>
      <c r="AD4" s="233">
        <f t="shared" ref="AD4:AD27" si="14">(M4+I4+(LOG(J4)*4/3))*0.238</f>
        <v>0.87640462677697051</v>
      </c>
      <c r="AE4" s="233">
        <f t="shared" ref="AE4:AE27" si="15">((L4+I4+(LOG(J4)*4/3))*0.378)</f>
        <v>4.0379367601751879</v>
      </c>
      <c r="AF4" s="233">
        <f t="shared" ref="AF4:AF27" si="16">(L4+I4+(LOG(J4)*4/3))*0.723</f>
        <v>7.7233552317636534</v>
      </c>
      <c r="AG4" s="233">
        <f t="shared" ref="AG4:AG27" si="17">AE4/2</f>
        <v>2.0189683800875939</v>
      </c>
      <c r="AH4" s="233">
        <f t="shared" ref="AH4:AH27" si="18">(M4+I4+(LOG(J4)*4/3))*0.385</f>
        <v>1.4177133668450994</v>
      </c>
      <c r="AI4" s="233">
        <f t="shared" ref="AI4:AI27" si="19">((L4+I4+(LOG(J4)*4/3))*0.92)</f>
        <v>9.8277825909025758</v>
      </c>
      <c r="AJ4" s="233">
        <f t="shared" ref="AJ4:AJ27" si="20">(L4+I4+(LOG(J4)*4/3))*0.414</f>
        <v>4.4225021659061587</v>
      </c>
      <c r="AK4" s="233">
        <f t="shared" ref="AK4:AK27" si="21">((M4+I4+(LOG(J4)*4/3))*0.167)</f>
        <v>0.61495618769644578</v>
      </c>
      <c r="AL4" s="233">
        <f t="shared" ref="AL4:AL27" si="22">(N4+I4+(LOG(J4)*4/3))*0.588</f>
        <v>2.1652349602725152</v>
      </c>
      <c r="AM4" s="233">
        <f t="shared" ref="AM4:AM27" si="23">((L4+I4+(LOG(J4)*4/3))*0.754)</f>
        <v>8.0545087755875446</v>
      </c>
      <c r="AN4" s="233">
        <f t="shared" ref="AN4:AN27" si="24">((L4+I4+(LOG(J4)*4/3))*0.708)</f>
        <v>7.5631196460424155</v>
      </c>
      <c r="AO4" s="233">
        <f t="shared" ref="AO4:AO27" si="25">((Q4+I4+(LOG(J4)*4/3))*0.167)</f>
        <v>2.9529561876964459</v>
      </c>
      <c r="AP4" s="233">
        <f t="shared" ref="AP4:AP27" si="26">((R4+I4+(LOG(J4)*4/3))*0.288)</f>
        <v>1.3215232458477624</v>
      </c>
      <c r="AQ4" s="233">
        <f t="shared" ref="AQ4:AQ27" si="27">((L4+I4+(LOG(J4)*4/3))*0.27)</f>
        <v>2.8842405429822775</v>
      </c>
      <c r="AR4" s="233">
        <f t="shared" ref="AR4:AR27" si="28">((L4+I4+(LOG(J4)*4/3))*0.594)</f>
        <v>6.3453291945610095</v>
      </c>
      <c r="AS4" s="233">
        <f t="shared" ref="AS4:AS27" si="29">AQ4/2</f>
        <v>1.4421202714911387</v>
      </c>
      <c r="AT4" s="233">
        <f t="shared" ref="AT4:AT27" si="30">((M4+I4+(LOG(J4)*4/3))*0.944)</f>
        <v>3.4761595280565549</v>
      </c>
      <c r="AU4" s="233">
        <f t="shared" ref="AU4:AU27" si="31">((O4+I4+(LOG(J4)*4/3))*0.13)</f>
        <v>0.60870840958405947</v>
      </c>
      <c r="AV4" s="233">
        <f t="shared" ref="AV4:AV27" si="32">((P4+I4+(LOG(J4)*4/3))*0.173)+((O4+I4+(LOG(J4)*4/3))*0.12)</f>
        <v>1.0345851077548418</v>
      </c>
      <c r="AW4" s="233">
        <f t="shared" ref="AW4:AW27" si="33">AU4/2</f>
        <v>0.30435420479202974</v>
      </c>
      <c r="AX4" s="233">
        <f t="shared" ref="AX4:AX27" si="34">((L4+I4+(LOG(J4)*4/3))*0.189)</f>
        <v>2.0189683800875939</v>
      </c>
      <c r="AY4" s="233">
        <f t="shared" ref="AY4:AY27" si="35">((L4+I4+(LOG(J4)*4/3))*0.4)</f>
        <v>4.2729489525663373</v>
      </c>
      <c r="AZ4" s="233">
        <f t="shared" ref="AZ4:AZ27" si="36">AX4/2</f>
        <v>1.009484190043797</v>
      </c>
      <c r="BA4" s="233">
        <f t="shared" ref="BA4:BA27" si="37">((M4+I4+(LOG(J4)*4/3))*1)</f>
        <v>3.6823723814158424</v>
      </c>
      <c r="BB4" s="233">
        <f t="shared" ref="BB4:BB27" si="38">((O4+I4+(LOG(J4)*4/3))*0.253)</f>
        <v>1.1846402124982081</v>
      </c>
      <c r="BC4" s="233">
        <f t="shared" ref="BC4:BC27" si="39">((P4+I4+(LOG(J4)*4/3))*0.21)+((O4+I4+(LOG(J4)*4/3))*0.341)</f>
        <v>2.1704871821601293</v>
      </c>
      <c r="BD4" s="233">
        <f t="shared" ref="BD4:BD27" si="40">BB4/2</f>
        <v>0.59232010624910403</v>
      </c>
      <c r="BE4" s="233">
        <f t="shared" ref="BE4:BE27" si="41">((L4+I4+(LOG(J4)*4/3))*0.291)</f>
        <v>3.1085703629920096</v>
      </c>
      <c r="BF4" s="233">
        <f t="shared" ref="BF4:BF27" si="42">((L4+I4+(LOG(J4)*4/3))*0.348)</f>
        <v>3.7174655887327126</v>
      </c>
      <c r="BG4" s="233">
        <f t="shared" ref="BG4:BG27" si="43">((M4+I4+(LOG(J4)*4/3))*0.881)</f>
        <v>3.2441700680273571</v>
      </c>
      <c r="BH4" s="233">
        <f t="shared" ref="BH4:BH27" si="44">((N4+I4+(LOG(J4)*4/3))*0.574)+((O4+I4+(LOG(J4)*4/3))*0.315)</f>
        <v>3.5886290470786841</v>
      </c>
      <c r="BI4" s="233">
        <f t="shared" ref="BI4:BI27" si="45">((O4+I4+(LOG(J4)*4/3))*0.241)</f>
        <v>1.1284517439212178</v>
      </c>
      <c r="BJ4" s="233">
        <f t="shared" ref="BJ4:BJ27" si="46">((L4+I4+(LOG(J4)*4/3))*0.485)</f>
        <v>5.1809506049866831</v>
      </c>
      <c r="BK4" s="233">
        <f t="shared" ref="BK4:BK27" si="47">((L4+I4+(LOG(J4)*4/3))*0.264)</f>
        <v>2.8201463086937824</v>
      </c>
      <c r="BL4" s="233">
        <f t="shared" ref="BL4:BL27" si="48">((M4+I4+(LOG(J4)*4/3))*0.381)</f>
        <v>1.4029838773194361</v>
      </c>
      <c r="BM4" s="233">
        <f t="shared" ref="BM4:BM27" si="49">((N4+I4+(LOG(J4)*4/3))*0.673)+((O4+I4+(LOG(J4)*4/3))*0.201)</f>
        <v>3.4193934613574464</v>
      </c>
      <c r="BN4" s="233">
        <f t="shared" ref="BN4:BN27" si="50">((O4+I4+(LOG(J4)*4/3))*0.052)</f>
        <v>0.24348336383362376</v>
      </c>
      <c r="BO4" s="233">
        <f t="shared" ref="BO4:BO27" si="51">((L4+I4+(LOG(J4)*4/3))*0.18)</f>
        <v>1.9228270286548514</v>
      </c>
      <c r="BP4" s="233">
        <f t="shared" ref="BP4:BP27" si="52">(L4+I4+(LOG(J4)*4/3))*0.068</f>
        <v>0.72640132193627727</v>
      </c>
      <c r="BQ4" s="233">
        <f t="shared" ref="BQ4:BQ27" si="53">((M4+I4+(LOG(J4)*4/3))*0.305)</f>
        <v>1.1231235763318319</v>
      </c>
      <c r="BR4" s="233">
        <f t="shared" ref="BR4:BR27" si="54">((N4+I4+(LOG(J4)*4/3))*1)+((O4+I4+(LOG(J4)*4/3))*0.286)</f>
        <v>5.0215308825007732</v>
      </c>
      <c r="BS4" s="233">
        <f t="shared" ref="BS4:BS27" si="55">((O4+I4+(LOG(J4)*4/3))*0.135)</f>
        <v>0.6321202714911387</v>
      </c>
      <c r="BT4" s="233">
        <f t="shared" ref="BT4:BT27" si="56">((L4+I4+(LOG(J4)*4/3))*0.284)</f>
        <v>3.0337937563220989</v>
      </c>
      <c r="BU4" s="233">
        <f t="shared" ref="BU4:BU27" si="57">(L4+I4+(LOG(J4)*4/3))*0.244</f>
        <v>2.6064988610654654</v>
      </c>
      <c r="BV4" s="233">
        <f t="shared" ref="BV4:BV27" si="58">((M4+I4+(LOG(J4)*4/3))*0.455)</f>
        <v>1.6754794335442085</v>
      </c>
      <c r="BW4" s="233">
        <f t="shared" ref="BW4:BW27" si="59">((N4+I4+(LOG(J4)*4/3))*0.864)+((O4+I4+(LOG(J4)*4/3))*0.244)</f>
        <v>4.3240685986087533</v>
      </c>
      <c r="BX4" s="233">
        <f t="shared" ref="BX4:BX27" si="60">((O4+I4+(LOG(J4)*4/3))*0.121)</f>
        <v>0.56656705815131692</v>
      </c>
      <c r="BY4" s="233">
        <f t="shared" ref="BY4:BY27" si="61">((L4+I4+(LOG(J4)*4/3))*0.284)</f>
        <v>3.0337937563220989</v>
      </c>
      <c r="BZ4" s="233">
        <f t="shared" ref="BZ4:BZ27" si="62">((L4+I4+(LOG(J4)*4/3))*0.244)</f>
        <v>2.6064988610654654</v>
      </c>
      <c r="CA4" s="233">
        <f t="shared" ref="CA4:CA27" si="63">((M4+I4+(LOG(J4)*4/3))*0.631)</f>
        <v>2.3235769726733966</v>
      </c>
      <c r="CB4" s="233">
        <f t="shared" ref="CB4:CB27" si="64">((N4+I4+(LOG(J4)*4/3))*0.702)+((O4+I4+(LOG(J4)*4/3))*0.193)</f>
        <v>3.4887232813671787</v>
      </c>
      <c r="CC4" s="233">
        <f t="shared" ref="CC4:CC27" si="65">((O4+I4+(LOG(J4)*4/3))*0.148)</f>
        <v>0.69299111244954459</v>
      </c>
      <c r="CD4" s="233">
        <f t="shared" ref="CD4:CD27" si="66">((M4+I4+(LOG(J4)*4/3))*0.406)</f>
        <v>1.4950431868548322</v>
      </c>
      <c r="CE4" s="233">
        <f t="shared" ref="CE4:CE27" si="67">IF(D4="TEC",((N4+I4+(LOG(J4)*4/3))*0.15)+((O4+I4+(LOG(J4)*4/3))*0.324)+((P4+I4+(LOG(J4)*4/3))*0.127),(((N4+I4+(LOG(J4)*4/3))*0.144)+((O4+I4+(LOG(J4)*4/3))*0.25)+((P4+I4+(LOG(J4)*4/3))*0.127)))</f>
        <v>2.0478660107176538</v>
      </c>
      <c r="CF4" s="233">
        <f t="shared" ref="CF4:CF27" si="68">((O4+I4+(LOG(J4)*4/3))*0.543)+((P4+I4+(LOG(J4)*4/3))*0.583)</f>
        <v>4.135501301474239</v>
      </c>
      <c r="CG4" s="233">
        <f t="shared" ref="CG4:CG27" si="69">CE4</f>
        <v>2.0478660107176538</v>
      </c>
      <c r="CH4" s="233">
        <f t="shared" ref="CH4:CH27" si="70">((P4+1+(LOG(J4)*4/3))*0.26)+((N4+I4+(LOG(J4)*4/3))*0.221)+((O4+I4+(LOG(J4)*4/3))*0.142)</f>
        <v>2.0591179936220696</v>
      </c>
      <c r="CI4" s="233">
        <f t="shared" ref="CI4:CI27" si="71">((P4+I4+(LOG(J4)*4/3))*1)+((O4+I4+(LOG(J4)*4/3))*0.369)</f>
        <v>4.4601677901582875</v>
      </c>
      <c r="CJ4" s="233">
        <f t="shared" ref="CJ4:CJ27" si="72">CH4</f>
        <v>2.0591179936220696</v>
      </c>
      <c r="CK4" s="233">
        <f t="shared" ref="CK4:CK27" si="73">((M4+I4+(LOG(J4)*4/3))*0.25)</f>
        <v>0.92059309535396061</v>
      </c>
    </row>
    <row r="5" spans="1:89" x14ac:dyDescent="0.25">
      <c r="A5" t="str">
        <f>PLANTILLA!D6</f>
        <v>E. Toney</v>
      </c>
      <c r="B5" s="589">
        <f>PLANTILLA!E6</f>
        <v>36</v>
      </c>
      <c r="C5" s="298">
        <f ca="1">PLANTILLA!F6</f>
        <v>7</v>
      </c>
      <c r="D5" s="589">
        <f>PLANTILLA!G6</f>
        <v>0</v>
      </c>
      <c r="E5" s="518">
        <v>36526</v>
      </c>
      <c r="F5" s="298">
        <f>PLANTILLA!Q6</f>
        <v>5</v>
      </c>
      <c r="G5" s="346">
        <f t="shared" si="0"/>
        <v>0.84515425472851657</v>
      </c>
      <c r="H5" s="346">
        <f t="shared" si="1"/>
        <v>0.92504826128926143</v>
      </c>
      <c r="I5" s="425">
        <f>PLANTILLA!P6</f>
        <v>1.5</v>
      </c>
      <c r="J5" s="426">
        <f>PLANTILLA!I6</f>
        <v>18</v>
      </c>
      <c r="K5" s="152">
        <f>PLANTILLA!X6</f>
        <v>0</v>
      </c>
      <c r="L5" s="152">
        <f>PLANTILLA!Y6</f>
        <v>11.95</v>
      </c>
      <c r="M5" s="152">
        <f>PLANTILLA!Z6</f>
        <v>12.95</v>
      </c>
      <c r="N5" s="152">
        <f>PLANTILLA!AA6</f>
        <v>8.9499999999999993</v>
      </c>
      <c r="O5" s="152">
        <f>PLANTILLA!AB6</f>
        <v>8.9499999999999993</v>
      </c>
      <c r="P5" s="152">
        <f>PLANTILLA!AC6</f>
        <v>1.95</v>
      </c>
      <c r="Q5" s="152">
        <f>PLANTILLA!AD6</f>
        <v>17.177777777777774</v>
      </c>
      <c r="R5" s="426">
        <f t="shared" si="2"/>
        <v>4.1062499999999993</v>
      </c>
      <c r="S5" s="426">
        <f t="shared" si="3"/>
        <v>12.098647426148853</v>
      </c>
      <c r="T5" s="152">
        <f t="shared" si="4"/>
        <v>0.61283333333333312</v>
      </c>
      <c r="U5" s="152">
        <f t="shared" si="5"/>
        <v>0.99333333333333318</v>
      </c>
      <c r="V5" s="426">
        <f t="shared" ca="1" si="6"/>
        <v>16.777558095107409</v>
      </c>
      <c r="W5" s="426">
        <f t="shared" ca="1" si="7"/>
        <v>18.363571925155941</v>
      </c>
      <c r="X5" s="233">
        <f t="shared" si="8"/>
        <v>6.0688371959402483</v>
      </c>
      <c r="Y5" s="233">
        <f t="shared" si="9"/>
        <v>9.1759924054511579</v>
      </c>
      <c r="Z5" s="233">
        <f t="shared" si="10"/>
        <v>6.0688371959402483</v>
      </c>
      <c r="AA5" s="233">
        <f t="shared" si="11"/>
        <v>7.8038274835110739</v>
      </c>
      <c r="AB5" s="233">
        <f t="shared" si="12"/>
        <v>15.123696673471073</v>
      </c>
      <c r="AC5" s="233">
        <f t="shared" si="13"/>
        <v>3.901913741755537</v>
      </c>
      <c r="AD5" s="233">
        <f t="shared" si="14"/>
        <v>3.8374398082861152</v>
      </c>
      <c r="AE5" s="233">
        <f t="shared" si="15"/>
        <v>5.7167573425720661</v>
      </c>
      <c r="AF5" s="233">
        <f t="shared" si="16"/>
        <v>10.934432694919586</v>
      </c>
      <c r="AG5" s="233">
        <f t="shared" si="17"/>
        <v>2.8583786712860331</v>
      </c>
      <c r="AH5" s="233">
        <f t="shared" si="18"/>
        <v>6.2076232192863632</v>
      </c>
      <c r="AI5" s="233">
        <f t="shared" si="19"/>
        <v>13.913800939593388</v>
      </c>
      <c r="AJ5" s="233">
        <f t="shared" si="20"/>
        <v>6.2612104228170242</v>
      </c>
      <c r="AK5" s="233">
        <f t="shared" si="21"/>
        <v>2.6926573444696693</v>
      </c>
      <c r="AL5" s="233">
        <f t="shared" si="22"/>
        <v>7.1287336440009907</v>
      </c>
      <c r="AM5" s="233">
        <f t="shared" si="23"/>
        <v>11.403267291797189</v>
      </c>
      <c r="AN5" s="233">
        <f t="shared" si="24"/>
        <v>10.70757724481752</v>
      </c>
      <c r="AO5" s="233">
        <f t="shared" si="25"/>
        <v>3.398696233358558</v>
      </c>
      <c r="AP5" s="233">
        <f t="shared" si="26"/>
        <v>2.0966246419596692</v>
      </c>
      <c r="AQ5" s="233">
        <f t="shared" si="27"/>
        <v>4.0833981018371901</v>
      </c>
      <c r="AR5" s="233">
        <f t="shared" si="28"/>
        <v>8.9834758240418164</v>
      </c>
      <c r="AS5" s="233">
        <f t="shared" si="29"/>
        <v>2.041699050918595</v>
      </c>
      <c r="AT5" s="233">
        <f t="shared" si="30"/>
        <v>15.220769659756693</v>
      </c>
      <c r="AU5" s="233">
        <f t="shared" si="31"/>
        <v>1.5760805675512395</v>
      </c>
      <c r="AV5" s="233">
        <f t="shared" si="32"/>
        <v>2.3412431253270247</v>
      </c>
      <c r="AW5" s="233">
        <f t="shared" si="33"/>
        <v>0.78804028377561974</v>
      </c>
      <c r="AX5" s="233">
        <f t="shared" si="34"/>
        <v>2.8583786712860331</v>
      </c>
      <c r="AY5" s="233">
        <f t="shared" si="35"/>
        <v>6.0494786693884297</v>
      </c>
      <c r="AZ5" s="233">
        <f t="shared" si="36"/>
        <v>1.4291893356430165</v>
      </c>
      <c r="BA5" s="233">
        <f t="shared" si="37"/>
        <v>16.123696673471073</v>
      </c>
      <c r="BB5" s="233">
        <f t="shared" si="38"/>
        <v>3.0672952583881816</v>
      </c>
      <c r="BC5" s="233">
        <f t="shared" si="39"/>
        <v>5.2101568670825618</v>
      </c>
      <c r="BD5" s="233">
        <f t="shared" si="40"/>
        <v>1.5336476291940908</v>
      </c>
      <c r="BE5" s="233">
        <f t="shared" si="41"/>
        <v>4.4009957319800819</v>
      </c>
      <c r="BF5" s="233">
        <f t="shared" si="42"/>
        <v>5.2630464423679335</v>
      </c>
      <c r="BG5" s="233">
        <f t="shared" si="43"/>
        <v>14.204976769328015</v>
      </c>
      <c r="BH5" s="233">
        <f t="shared" si="44"/>
        <v>10.777966342715784</v>
      </c>
      <c r="BI5" s="233">
        <f t="shared" si="45"/>
        <v>2.9218108983065285</v>
      </c>
      <c r="BJ5" s="233">
        <f t="shared" si="46"/>
        <v>7.3349928866334704</v>
      </c>
      <c r="BK5" s="233">
        <f t="shared" si="47"/>
        <v>3.9926559217963637</v>
      </c>
      <c r="BL5" s="233">
        <f t="shared" si="48"/>
        <v>6.1431284325924791</v>
      </c>
      <c r="BM5" s="233">
        <f t="shared" si="49"/>
        <v>10.596110892613719</v>
      </c>
      <c r="BN5" s="233">
        <f t="shared" si="50"/>
        <v>0.63043222702049584</v>
      </c>
      <c r="BO5" s="233">
        <f t="shared" si="51"/>
        <v>2.7222654012247931</v>
      </c>
      <c r="BP5" s="233">
        <f t="shared" si="52"/>
        <v>1.028411373796033</v>
      </c>
      <c r="BQ5" s="233">
        <f t="shared" si="53"/>
        <v>4.917727485408677</v>
      </c>
      <c r="BR5" s="233">
        <f t="shared" si="54"/>
        <v>15.591073922083801</v>
      </c>
      <c r="BS5" s="233">
        <f t="shared" si="55"/>
        <v>1.636699050918595</v>
      </c>
      <c r="BT5" s="233">
        <f t="shared" si="56"/>
        <v>4.2951298552657846</v>
      </c>
      <c r="BU5" s="233">
        <f t="shared" si="57"/>
        <v>3.690181988326942</v>
      </c>
      <c r="BV5" s="233">
        <f t="shared" si="58"/>
        <v>7.3362819864293387</v>
      </c>
      <c r="BW5" s="233">
        <f t="shared" si="59"/>
        <v>13.43305591420595</v>
      </c>
      <c r="BX5" s="233">
        <f t="shared" si="60"/>
        <v>1.4669672974899999</v>
      </c>
      <c r="BY5" s="233">
        <f t="shared" si="61"/>
        <v>4.2951298552657846</v>
      </c>
      <c r="BZ5" s="233">
        <f t="shared" si="62"/>
        <v>3.690181988326942</v>
      </c>
      <c r="CA5" s="233">
        <f t="shared" si="63"/>
        <v>10.174052600960247</v>
      </c>
      <c r="CB5" s="233">
        <f t="shared" si="64"/>
        <v>10.85070852275661</v>
      </c>
      <c r="CC5" s="233">
        <f t="shared" si="65"/>
        <v>1.7943071076737187</v>
      </c>
      <c r="CD5" s="233">
        <f t="shared" si="66"/>
        <v>6.5462208494292566</v>
      </c>
      <c r="CE5" s="233">
        <f t="shared" si="67"/>
        <v>5.4274459668784294</v>
      </c>
      <c r="CF5" s="233">
        <f t="shared" si="68"/>
        <v>9.5702824543284297</v>
      </c>
      <c r="CG5" s="233">
        <f t="shared" si="69"/>
        <v>5.4274459668784294</v>
      </c>
      <c r="CH5" s="233">
        <f t="shared" si="70"/>
        <v>5.6030630275724791</v>
      </c>
      <c r="CI5" s="233">
        <f t="shared" si="71"/>
        <v>9.5973407459819011</v>
      </c>
      <c r="CJ5" s="233">
        <f t="shared" si="72"/>
        <v>5.6030630275724791</v>
      </c>
      <c r="CK5" s="233">
        <f t="shared" si="73"/>
        <v>4.0309241683677683</v>
      </c>
    </row>
    <row r="6" spans="1:89" x14ac:dyDescent="0.25">
      <c r="A6" t="str">
        <f>PLANTILLA!D7</f>
        <v>B. Bartolache</v>
      </c>
      <c r="B6" s="589">
        <f>PLANTILLA!E7</f>
        <v>35</v>
      </c>
      <c r="C6" s="298">
        <f ca="1">PLANTILLA!F7</f>
        <v>104</v>
      </c>
      <c r="D6" s="589">
        <f>PLANTILLA!G7</f>
        <v>0</v>
      </c>
      <c r="E6" s="518">
        <v>36526</v>
      </c>
      <c r="F6" s="298">
        <f>PLANTILLA!Q7</f>
        <v>6</v>
      </c>
      <c r="G6" s="346">
        <f t="shared" si="0"/>
        <v>0.92582009977255142</v>
      </c>
      <c r="H6" s="346">
        <f t="shared" si="1"/>
        <v>0.99928545900129484</v>
      </c>
      <c r="I6" s="425">
        <f>PLANTILLA!P7</f>
        <v>1.5</v>
      </c>
      <c r="J6" s="426">
        <f>PLANTILLA!I7</f>
        <v>11.8</v>
      </c>
      <c r="K6" s="152">
        <f>PLANTILLA!X7</f>
        <v>0</v>
      </c>
      <c r="L6" s="152">
        <f>PLANTILLA!Y7</f>
        <v>11.95</v>
      </c>
      <c r="M6" s="152">
        <f>PLANTILLA!Z7</f>
        <v>5.95</v>
      </c>
      <c r="N6" s="152">
        <f>PLANTILLA!AA7</f>
        <v>6.95</v>
      </c>
      <c r="O6" s="152">
        <f>PLANTILLA!AB7</f>
        <v>7.95</v>
      </c>
      <c r="P6" s="152">
        <f>PLANTILLA!AC7</f>
        <v>2.95</v>
      </c>
      <c r="Q6" s="152">
        <f>PLANTILLA!AD7</f>
        <v>16</v>
      </c>
      <c r="R6" s="426">
        <f t="shared" si="2"/>
        <v>3.8562499999999997</v>
      </c>
      <c r="S6" s="426">
        <f t="shared" si="3"/>
        <v>12.570478981528717</v>
      </c>
      <c r="T6" s="152">
        <f t="shared" si="4"/>
        <v>0.62750000000000006</v>
      </c>
      <c r="U6" s="152">
        <f t="shared" si="5"/>
        <v>0.95799999999999996</v>
      </c>
      <c r="V6" s="426">
        <f t="shared" ca="1" si="6"/>
        <v>17.062101572064787</v>
      </c>
      <c r="W6" s="426">
        <f t="shared" ca="1" si="7"/>
        <v>18.416007607910185</v>
      </c>
      <c r="X6" s="233">
        <f t="shared" si="8"/>
        <v>5.8553706565043298</v>
      </c>
      <c r="Y6" s="233">
        <f t="shared" si="9"/>
        <v>8.8603162285762771</v>
      </c>
      <c r="Z6" s="233">
        <f t="shared" si="10"/>
        <v>5.8553706565043298</v>
      </c>
      <c r="AA6" s="233">
        <f t="shared" si="11"/>
        <v>7.6776548210266142</v>
      </c>
      <c r="AB6" s="233">
        <f t="shared" si="12"/>
        <v>14.879176009741499</v>
      </c>
      <c r="AC6" s="233">
        <f t="shared" si="13"/>
        <v>3.8388274105133071</v>
      </c>
      <c r="AD6" s="233">
        <f t="shared" si="14"/>
        <v>2.1132438903184774</v>
      </c>
      <c r="AE6" s="233">
        <f t="shared" si="15"/>
        <v>5.6243285316822869</v>
      </c>
      <c r="AF6" s="233">
        <f t="shared" si="16"/>
        <v>10.757644255043104</v>
      </c>
      <c r="AG6" s="233">
        <f t="shared" si="17"/>
        <v>2.8121642658411434</v>
      </c>
      <c r="AH6" s="233">
        <f t="shared" si="18"/>
        <v>3.418482763750478</v>
      </c>
      <c r="AI6" s="233">
        <f t="shared" si="19"/>
        <v>13.68884192896218</v>
      </c>
      <c r="AJ6" s="233">
        <f t="shared" si="20"/>
        <v>6.1599788680329803</v>
      </c>
      <c r="AK6" s="233">
        <f t="shared" si="21"/>
        <v>1.4828223936268308</v>
      </c>
      <c r="AL6" s="233">
        <f t="shared" si="22"/>
        <v>5.8089554937280017</v>
      </c>
      <c r="AM6" s="233">
        <f t="shared" si="23"/>
        <v>11.218898711345091</v>
      </c>
      <c r="AN6" s="233">
        <f t="shared" si="24"/>
        <v>10.534456614896982</v>
      </c>
      <c r="AO6" s="233">
        <f t="shared" si="25"/>
        <v>3.1611723936268308</v>
      </c>
      <c r="AP6" s="233">
        <f t="shared" si="26"/>
        <v>1.9542026908055519</v>
      </c>
      <c r="AQ6" s="233">
        <f t="shared" si="27"/>
        <v>4.0173775226302046</v>
      </c>
      <c r="AR6" s="233">
        <f t="shared" si="28"/>
        <v>8.8382305497864504</v>
      </c>
      <c r="AS6" s="233">
        <f t="shared" si="29"/>
        <v>2.0086887613151023</v>
      </c>
      <c r="AT6" s="233">
        <f t="shared" si="30"/>
        <v>8.3819421531959772</v>
      </c>
      <c r="AU6" s="233">
        <f t="shared" si="31"/>
        <v>1.4142928812663949</v>
      </c>
      <c r="AV6" s="233">
        <f t="shared" si="32"/>
        <v>2.3225985708542596</v>
      </c>
      <c r="AW6" s="233">
        <f t="shared" si="33"/>
        <v>0.70714644063319743</v>
      </c>
      <c r="AX6" s="233">
        <f t="shared" si="34"/>
        <v>2.8121642658411434</v>
      </c>
      <c r="AY6" s="233">
        <f t="shared" si="35"/>
        <v>5.9516704038965997</v>
      </c>
      <c r="AZ6" s="233">
        <f t="shared" si="36"/>
        <v>1.4060821329205717</v>
      </c>
      <c r="BA6" s="233">
        <f t="shared" si="37"/>
        <v>8.8791760097415011</v>
      </c>
      <c r="BB6" s="233">
        <f t="shared" si="38"/>
        <v>2.7524315304645994</v>
      </c>
      <c r="BC6" s="233">
        <f t="shared" si="39"/>
        <v>4.9444259813675666</v>
      </c>
      <c r="BD6" s="233">
        <f t="shared" si="40"/>
        <v>1.3762157652322997</v>
      </c>
      <c r="BE6" s="233">
        <f t="shared" si="41"/>
        <v>4.329840218834776</v>
      </c>
      <c r="BF6" s="233">
        <f t="shared" si="42"/>
        <v>5.1779532513900417</v>
      </c>
      <c r="BG6" s="233">
        <f t="shared" si="43"/>
        <v>7.8225540645822624</v>
      </c>
      <c r="BH6" s="233">
        <f t="shared" si="44"/>
        <v>9.0975874726601926</v>
      </c>
      <c r="BI6" s="233">
        <f t="shared" si="45"/>
        <v>2.6218814183477011</v>
      </c>
      <c r="BJ6" s="233">
        <f t="shared" si="46"/>
        <v>7.2164003647246266</v>
      </c>
      <c r="BK6" s="233">
        <f t="shared" si="47"/>
        <v>3.9281024665717559</v>
      </c>
      <c r="BL6" s="233">
        <f t="shared" si="48"/>
        <v>3.3829660597115119</v>
      </c>
      <c r="BM6" s="233">
        <f t="shared" si="49"/>
        <v>8.8353998325140708</v>
      </c>
      <c r="BN6" s="233">
        <f t="shared" si="50"/>
        <v>0.56571715250655796</v>
      </c>
      <c r="BO6" s="233">
        <f t="shared" si="51"/>
        <v>2.6782516817534696</v>
      </c>
      <c r="BP6" s="233">
        <f t="shared" si="52"/>
        <v>1.0117839686624219</v>
      </c>
      <c r="BQ6" s="233">
        <f t="shared" si="53"/>
        <v>2.7081486829711579</v>
      </c>
      <c r="BR6" s="233">
        <f t="shared" si="54"/>
        <v>12.990620348527568</v>
      </c>
      <c r="BS6" s="233">
        <f t="shared" si="55"/>
        <v>1.4686887613151025</v>
      </c>
      <c r="BT6" s="233">
        <f t="shared" si="56"/>
        <v>4.2256859867665852</v>
      </c>
      <c r="BU6" s="233">
        <f t="shared" si="57"/>
        <v>3.6305189463769256</v>
      </c>
      <c r="BV6" s="233">
        <f t="shared" si="58"/>
        <v>4.0400250844323828</v>
      </c>
      <c r="BW6" s="233">
        <f t="shared" si="59"/>
        <v>11.190127018793582</v>
      </c>
      <c r="BX6" s="233">
        <f t="shared" si="60"/>
        <v>1.3163802971787213</v>
      </c>
      <c r="BY6" s="233">
        <f t="shared" si="61"/>
        <v>4.2256859867665852</v>
      </c>
      <c r="BZ6" s="233">
        <f t="shared" si="62"/>
        <v>3.6305189463769256</v>
      </c>
      <c r="CA6" s="233">
        <f t="shared" si="63"/>
        <v>5.6027600621468876</v>
      </c>
      <c r="CB6" s="233">
        <f t="shared" si="64"/>
        <v>9.0348625287186408</v>
      </c>
      <c r="CC6" s="233">
        <f t="shared" si="65"/>
        <v>1.6101180494417417</v>
      </c>
      <c r="CD6" s="233">
        <f t="shared" si="66"/>
        <v>3.6049454599550499</v>
      </c>
      <c r="CE6" s="233">
        <f t="shared" si="67"/>
        <v>4.8890507010753215</v>
      </c>
      <c r="CF6" s="233">
        <f t="shared" si="68"/>
        <v>9.3349521869689287</v>
      </c>
      <c r="CG6" s="233">
        <f t="shared" si="69"/>
        <v>4.8890507010753215</v>
      </c>
      <c r="CH6" s="233">
        <f t="shared" si="70"/>
        <v>5.1267266540689542</v>
      </c>
      <c r="CI6" s="233">
        <f t="shared" si="71"/>
        <v>9.8935919573361133</v>
      </c>
      <c r="CJ6" s="233">
        <f t="shared" si="72"/>
        <v>5.1267266540689542</v>
      </c>
      <c r="CK6" s="233">
        <f t="shared" si="73"/>
        <v>2.2197940024353753</v>
      </c>
    </row>
    <row r="7" spans="1:89" x14ac:dyDescent="0.25">
      <c r="A7" t="str">
        <f>PLANTILLA!D8</f>
        <v>F. Lasprilla</v>
      </c>
      <c r="B7" s="589">
        <f>PLANTILLA!E8</f>
        <v>32</v>
      </c>
      <c r="C7" s="298">
        <f ca="1">PLANTILLA!F8</f>
        <v>15</v>
      </c>
      <c r="D7" s="589">
        <f>PLANTILLA!G8</f>
        <v>0</v>
      </c>
      <c r="E7" s="518">
        <v>36526</v>
      </c>
      <c r="F7" s="298">
        <f>PLANTILLA!Q8</f>
        <v>5</v>
      </c>
      <c r="G7" s="346">
        <f t="shared" si="0"/>
        <v>0.84515425472851657</v>
      </c>
      <c r="H7" s="346">
        <f t="shared" si="1"/>
        <v>0.92504826128926143</v>
      </c>
      <c r="I7" s="425">
        <f>PLANTILLA!P8</f>
        <v>1.5</v>
      </c>
      <c r="J7" s="426">
        <f>PLANTILLA!I8</f>
        <v>6.3</v>
      </c>
      <c r="K7" s="152">
        <f>PLANTILLA!X8</f>
        <v>0</v>
      </c>
      <c r="L7" s="152">
        <f>PLANTILLA!Y8</f>
        <v>9.6046666666666667</v>
      </c>
      <c r="M7" s="152">
        <f>PLANTILLA!Z8</f>
        <v>7.7607222222222223</v>
      </c>
      <c r="N7" s="152">
        <f>PLANTILLA!AA8</f>
        <v>6.1599999999999984</v>
      </c>
      <c r="O7" s="152">
        <f>PLANTILLA!AB8</f>
        <v>8.8633333333333315</v>
      </c>
      <c r="P7" s="152">
        <f>PLANTILLA!AC8</f>
        <v>2.95</v>
      </c>
      <c r="Q7" s="152">
        <f>PLANTILLA!AD8</f>
        <v>13.33611111111111</v>
      </c>
      <c r="R7" s="426">
        <f t="shared" si="2"/>
        <v>3.7914166666666662</v>
      </c>
      <c r="S7" s="426">
        <f t="shared" si="3"/>
        <v>10.302251263501001</v>
      </c>
      <c r="T7" s="152">
        <f t="shared" si="4"/>
        <v>0.5475833333333332</v>
      </c>
      <c r="U7" s="152">
        <f t="shared" si="5"/>
        <v>0.78426999999999991</v>
      </c>
      <c r="V7" s="426">
        <f t="shared" ca="1" si="6"/>
        <v>13.016980056946617</v>
      </c>
      <c r="W7" s="426">
        <f t="shared" ca="1" si="7"/>
        <v>14.247499437583047</v>
      </c>
      <c r="X7" s="233">
        <f t="shared" si="8"/>
        <v>4.8908203995639692</v>
      </c>
      <c r="Y7" s="233">
        <f t="shared" si="9"/>
        <v>7.3944148657927649</v>
      </c>
      <c r="Z7" s="233">
        <f t="shared" si="10"/>
        <v>4.8908203995639692</v>
      </c>
      <c r="AA7" s="233">
        <f t="shared" si="11"/>
        <v>6.279954298024065</v>
      </c>
      <c r="AB7" s="233">
        <f t="shared" si="12"/>
        <v>12.17045406593811</v>
      </c>
      <c r="AC7" s="233">
        <f t="shared" si="13"/>
        <v>3.1399771490120325</v>
      </c>
      <c r="AD7" s="233">
        <f t="shared" si="14"/>
        <v>2.457709289915492</v>
      </c>
      <c r="AE7" s="233">
        <f t="shared" si="15"/>
        <v>4.600431636924605</v>
      </c>
      <c r="AF7" s="233">
        <f t="shared" si="16"/>
        <v>8.7992382896732533</v>
      </c>
      <c r="AG7" s="233">
        <f t="shared" si="17"/>
        <v>2.3002158184623025</v>
      </c>
      <c r="AH7" s="233">
        <f t="shared" si="18"/>
        <v>3.9757062042750611</v>
      </c>
      <c r="AI7" s="233">
        <f t="shared" si="19"/>
        <v>11.196817740663061</v>
      </c>
      <c r="AJ7" s="233">
        <f t="shared" si="20"/>
        <v>5.0385679832983774</v>
      </c>
      <c r="AK7" s="233">
        <f t="shared" si="21"/>
        <v>1.7245271067894421</v>
      </c>
      <c r="AL7" s="233">
        <f t="shared" si="22"/>
        <v>5.1307629907716068</v>
      </c>
      <c r="AM7" s="233">
        <f t="shared" si="23"/>
        <v>9.176522365717334</v>
      </c>
      <c r="AN7" s="233">
        <f t="shared" si="24"/>
        <v>8.6166814786841819</v>
      </c>
      <c r="AO7" s="233">
        <f t="shared" si="25"/>
        <v>2.6556170512338864</v>
      </c>
      <c r="AP7" s="233">
        <f t="shared" si="26"/>
        <v>1.8308747709901751</v>
      </c>
      <c r="AQ7" s="233">
        <f t="shared" si="27"/>
        <v>3.28602259780329</v>
      </c>
      <c r="AR7" s="233">
        <f t="shared" si="28"/>
        <v>7.2292497151672368</v>
      </c>
      <c r="AS7" s="233">
        <f t="shared" si="29"/>
        <v>1.643011298901645</v>
      </c>
      <c r="AT7" s="233">
        <f t="shared" si="30"/>
        <v>9.7482250826900199</v>
      </c>
      <c r="AU7" s="233">
        <f t="shared" si="31"/>
        <v>1.4857856952386208</v>
      </c>
      <c r="AV7" s="233">
        <f t="shared" si="32"/>
        <v>2.3257257079865323</v>
      </c>
      <c r="AW7" s="233">
        <f t="shared" si="33"/>
        <v>0.7428928476193104</v>
      </c>
      <c r="AX7" s="233">
        <f t="shared" si="34"/>
        <v>2.3002158184623025</v>
      </c>
      <c r="AY7" s="233">
        <f t="shared" si="35"/>
        <v>4.868181626375244</v>
      </c>
      <c r="AZ7" s="233">
        <f t="shared" si="36"/>
        <v>1.1501079092311512</v>
      </c>
      <c r="BA7" s="233">
        <f t="shared" si="37"/>
        <v>10.326509621493665</v>
      </c>
      <c r="BB7" s="233">
        <f t="shared" si="38"/>
        <v>2.891567545349008</v>
      </c>
      <c r="BC7" s="233">
        <f t="shared" si="39"/>
        <v>5.0556455236652313</v>
      </c>
      <c r="BD7" s="233">
        <f t="shared" si="40"/>
        <v>1.445783772674504</v>
      </c>
      <c r="BE7" s="233">
        <f t="shared" si="41"/>
        <v>3.5416021331879897</v>
      </c>
      <c r="BF7" s="233">
        <f t="shared" si="42"/>
        <v>4.2353180149464622</v>
      </c>
      <c r="BG7" s="233">
        <f t="shared" si="43"/>
        <v>9.0976549765359191</v>
      </c>
      <c r="BH7" s="233">
        <f t="shared" si="44"/>
        <v>8.6087749979523114</v>
      </c>
      <c r="BI7" s="233">
        <f t="shared" si="45"/>
        <v>2.7544180965577505</v>
      </c>
      <c r="BJ7" s="233">
        <f t="shared" si="46"/>
        <v>5.9026702219799834</v>
      </c>
      <c r="BK7" s="233">
        <f t="shared" si="47"/>
        <v>3.2129998734076612</v>
      </c>
      <c r="BL7" s="233">
        <f t="shared" si="48"/>
        <v>3.9344001657890866</v>
      </c>
      <c r="BM7" s="233">
        <f t="shared" si="49"/>
        <v>8.1697081869632395</v>
      </c>
      <c r="BN7" s="233">
        <f t="shared" si="50"/>
        <v>0.59431427809544823</v>
      </c>
      <c r="BO7" s="233">
        <f t="shared" si="51"/>
        <v>2.1906817318688598</v>
      </c>
      <c r="BP7" s="233">
        <f t="shared" si="52"/>
        <v>0.82759087648379148</v>
      </c>
      <c r="BQ7" s="233">
        <f t="shared" si="53"/>
        <v>3.1495854345555676</v>
      </c>
      <c r="BR7" s="233">
        <f t="shared" si="54"/>
        <v>11.994515928796407</v>
      </c>
      <c r="BS7" s="233">
        <f t="shared" si="55"/>
        <v>1.5429312989016446</v>
      </c>
      <c r="BT7" s="233">
        <f t="shared" si="56"/>
        <v>3.456408954726423</v>
      </c>
      <c r="BU7" s="233">
        <f t="shared" si="57"/>
        <v>2.9695907920888986</v>
      </c>
      <c r="BV7" s="233">
        <f t="shared" si="58"/>
        <v>4.6985618777796176</v>
      </c>
      <c r="BW7" s="233">
        <f t="shared" si="59"/>
        <v>10.32778577172609</v>
      </c>
      <c r="BX7" s="233">
        <f t="shared" si="60"/>
        <v>1.3829236086451777</v>
      </c>
      <c r="BY7" s="233">
        <f t="shared" si="61"/>
        <v>3.456408954726423</v>
      </c>
      <c r="BZ7" s="233">
        <f t="shared" si="62"/>
        <v>2.9695907920888986</v>
      </c>
      <c r="CA7" s="233">
        <f t="shared" si="63"/>
        <v>6.5160275711625024</v>
      </c>
      <c r="CB7" s="233">
        <f t="shared" si="64"/>
        <v>8.3313230556812741</v>
      </c>
      <c r="CC7" s="233">
        <f t="shared" si="65"/>
        <v>1.6915098684255065</v>
      </c>
      <c r="CD7" s="233">
        <f t="shared" si="66"/>
        <v>4.1925629063264287</v>
      </c>
      <c r="CE7" s="233">
        <f t="shared" si="67"/>
        <v>4.8142985683537542</v>
      </c>
      <c r="CF7" s="233">
        <f t="shared" si="68"/>
        <v>9.4217166115796438</v>
      </c>
      <c r="CG7" s="233">
        <f t="shared" si="69"/>
        <v>4.8142985683537542</v>
      </c>
      <c r="CH7" s="233">
        <f t="shared" si="70"/>
        <v>4.855438883079441</v>
      </c>
      <c r="CI7" s="233">
        <f t="shared" si="71"/>
        <v>9.733132949602604</v>
      </c>
      <c r="CJ7" s="233">
        <f t="shared" si="72"/>
        <v>4.855438883079441</v>
      </c>
      <c r="CK7" s="233">
        <f t="shared" si="73"/>
        <v>2.5816274053734163</v>
      </c>
    </row>
    <row r="8" spans="1:89" x14ac:dyDescent="0.25">
      <c r="A8" t="str">
        <f>PLANTILLA!D9</f>
        <v>E. Romweber</v>
      </c>
      <c r="B8" s="589">
        <f>PLANTILLA!E9</f>
        <v>35</v>
      </c>
      <c r="C8" s="298">
        <f ca="1">PLANTILLA!F9</f>
        <v>81</v>
      </c>
      <c r="D8" s="589" t="str">
        <f>PLANTILLA!G9</f>
        <v>IMP</v>
      </c>
      <c r="E8" s="518">
        <v>36526</v>
      </c>
      <c r="F8" s="298">
        <f>PLANTILLA!Q9</f>
        <v>7</v>
      </c>
      <c r="G8" s="346">
        <f t="shared" si="0"/>
        <v>1</v>
      </c>
      <c r="H8" s="346">
        <f t="shared" si="1"/>
        <v>1</v>
      </c>
      <c r="I8" s="425">
        <f>PLANTILLA!P9</f>
        <v>1.5</v>
      </c>
      <c r="J8" s="426">
        <f>PLANTILLA!I9</f>
        <v>17.100000000000001</v>
      </c>
      <c r="K8" s="152">
        <f>PLANTILLA!X9</f>
        <v>0</v>
      </c>
      <c r="L8" s="152">
        <f>PLANTILLA!Y9</f>
        <v>11.95</v>
      </c>
      <c r="M8" s="152">
        <f>PLANTILLA!Z9</f>
        <v>12.614111111111114</v>
      </c>
      <c r="N8" s="152">
        <f>PLANTILLA!AA9</f>
        <v>12.95</v>
      </c>
      <c r="O8" s="152">
        <f>PLANTILLA!AB9</f>
        <v>10.95</v>
      </c>
      <c r="P8" s="152">
        <f>PLANTILLA!AC9</f>
        <v>5.95</v>
      </c>
      <c r="Q8" s="152">
        <f>PLANTILLA!AD9</f>
        <v>17.529999999999998</v>
      </c>
      <c r="R8" s="426">
        <f t="shared" si="2"/>
        <v>4.6062499999999993</v>
      </c>
      <c r="S8" s="426">
        <f t="shared" si="3"/>
        <v>18.866728538622212</v>
      </c>
      <c r="T8" s="152">
        <f t="shared" si="4"/>
        <v>0.82340000000000002</v>
      </c>
      <c r="U8" s="152">
        <f t="shared" si="5"/>
        <v>1.0039</v>
      </c>
      <c r="V8" s="426">
        <f t="shared" ca="1" si="6"/>
        <v>20.173994813856204</v>
      </c>
      <c r="W8" s="426">
        <f t="shared" ca="1" si="7"/>
        <v>20.173994813856204</v>
      </c>
      <c r="X8" s="233">
        <f t="shared" si="8"/>
        <v>6.0429074724964664</v>
      </c>
      <c r="Y8" s="233">
        <f t="shared" si="9"/>
        <v>9.1376473046883611</v>
      </c>
      <c r="Z8" s="233">
        <f t="shared" si="10"/>
        <v>6.0429074724964664</v>
      </c>
      <c r="AA8" s="233">
        <f t="shared" si="11"/>
        <v>7.7885013239498013</v>
      </c>
      <c r="AB8" s="233">
        <f t="shared" si="12"/>
        <v>15.093994813856204</v>
      </c>
      <c r="AC8" s="233">
        <f t="shared" si="13"/>
        <v>3.8942506619749007</v>
      </c>
      <c r="AD8" s="233">
        <f t="shared" si="14"/>
        <v>3.7504292101422219</v>
      </c>
      <c r="AE8" s="233">
        <f t="shared" si="15"/>
        <v>5.7055300396376456</v>
      </c>
      <c r="AF8" s="233">
        <f t="shared" si="16"/>
        <v>10.912958250418034</v>
      </c>
      <c r="AG8" s="233">
        <f t="shared" si="17"/>
        <v>2.8527650198188228</v>
      </c>
      <c r="AH8" s="233">
        <f t="shared" si="18"/>
        <v>6.0668707811124181</v>
      </c>
      <c r="AI8" s="233">
        <f t="shared" si="19"/>
        <v>13.886475228747708</v>
      </c>
      <c r="AJ8" s="233">
        <f t="shared" si="20"/>
        <v>6.2489138529364681</v>
      </c>
      <c r="AK8" s="233">
        <f t="shared" si="21"/>
        <v>2.6316036894695425</v>
      </c>
      <c r="AL8" s="233">
        <f t="shared" si="22"/>
        <v>9.4632689505474481</v>
      </c>
      <c r="AM8" s="233">
        <f t="shared" si="23"/>
        <v>11.380872089647578</v>
      </c>
      <c r="AN8" s="233">
        <f t="shared" si="24"/>
        <v>10.686548328210192</v>
      </c>
      <c r="AO8" s="233">
        <f t="shared" si="25"/>
        <v>3.4525571339139862</v>
      </c>
      <c r="AP8" s="233">
        <f t="shared" si="26"/>
        <v>2.2320705063905866</v>
      </c>
      <c r="AQ8" s="233">
        <f t="shared" si="27"/>
        <v>4.0753785997411756</v>
      </c>
      <c r="AR8" s="233">
        <f t="shared" si="28"/>
        <v>8.9658329194305857</v>
      </c>
      <c r="AS8" s="233">
        <f t="shared" si="29"/>
        <v>2.0376892998705878</v>
      </c>
      <c r="AT8" s="233">
        <f t="shared" si="30"/>
        <v>14.875651993169148</v>
      </c>
      <c r="AU8" s="233">
        <f t="shared" si="31"/>
        <v>1.8322193258013066</v>
      </c>
      <c r="AV8" s="233">
        <f t="shared" si="32"/>
        <v>3.2645404804598677</v>
      </c>
      <c r="AW8" s="233">
        <f t="shared" si="33"/>
        <v>0.91610966290065332</v>
      </c>
      <c r="AX8" s="233">
        <f t="shared" si="34"/>
        <v>2.8527650198188228</v>
      </c>
      <c r="AY8" s="233">
        <f t="shared" si="35"/>
        <v>6.0375979255424816</v>
      </c>
      <c r="AZ8" s="233">
        <f t="shared" si="36"/>
        <v>1.4263825099094114</v>
      </c>
      <c r="BA8" s="233">
        <f t="shared" si="37"/>
        <v>15.758105924967319</v>
      </c>
      <c r="BB8" s="233">
        <f t="shared" si="38"/>
        <v>3.5657806879056198</v>
      </c>
      <c r="BC8" s="233">
        <f t="shared" si="39"/>
        <v>6.7157911424347692</v>
      </c>
      <c r="BD8" s="233">
        <f t="shared" si="40"/>
        <v>1.7828903439528099</v>
      </c>
      <c r="BE8" s="233">
        <f t="shared" si="41"/>
        <v>4.3923524908321552</v>
      </c>
      <c r="BF8" s="233">
        <f t="shared" si="42"/>
        <v>5.252710195221959</v>
      </c>
      <c r="BG8" s="233">
        <f t="shared" si="43"/>
        <v>13.882891319896208</v>
      </c>
      <c r="BH8" s="233">
        <f t="shared" si="44"/>
        <v>13.677561389518168</v>
      </c>
      <c r="BI8" s="233">
        <f t="shared" si="45"/>
        <v>3.3966527501393449</v>
      </c>
      <c r="BJ8" s="233">
        <f t="shared" si="46"/>
        <v>7.3205874847202592</v>
      </c>
      <c r="BK8" s="233">
        <f t="shared" si="47"/>
        <v>3.9848146308580379</v>
      </c>
      <c r="BL8" s="233">
        <f t="shared" si="48"/>
        <v>6.0038383574125485</v>
      </c>
      <c r="BM8" s="233">
        <f t="shared" si="49"/>
        <v>13.664151467310324</v>
      </c>
      <c r="BN8" s="233">
        <f t="shared" si="50"/>
        <v>0.73288773032052257</v>
      </c>
      <c r="BO8" s="233">
        <f t="shared" si="51"/>
        <v>2.7169190664941167</v>
      </c>
      <c r="BP8" s="233">
        <f t="shared" si="52"/>
        <v>1.0263916473422219</v>
      </c>
      <c r="BQ8" s="233">
        <f t="shared" si="53"/>
        <v>4.8062223071150321</v>
      </c>
      <c r="BR8" s="233">
        <f t="shared" si="54"/>
        <v>20.124877330619078</v>
      </c>
      <c r="BS8" s="233">
        <f t="shared" si="55"/>
        <v>1.9026892998705878</v>
      </c>
      <c r="BT8" s="233">
        <f t="shared" si="56"/>
        <v>4.286694527135162</v>
      </c>
      <c r="BU8" s="233">
        <f t="shared" si="57"/>
        <v>3.6829347345809138</v>
      </c>
      <c r="BV8" s="233">
        <f t="shared" si="58"/>
        <v>7.1699381958601309</v>
      </c>
      <c r="BW8" s="233">
        <f t="shared" si="59"/>
        <v>17.344146253752676</v>
      </c>
      <c r="BX8" s="233">
        <f t="shared" si="60"/>
        <v>1.7053733724766007</v>
      </c>
      <c r="BY8" s="233">
        <f t="shared" si="61"/>
        <v>4.286694527135162</v>
      </c>
      <c r="BZ8" s="233">
        <f t="shared" si="62"/>
        <v>3.6829347345809138</v>
      </c>
      <c r="CA8" s="233">
        <f t="shared" si="63"/>
        <v>9.9433648386543787</v>
      </c>
      <c r="CB8" s="233">
        <f t="shared" si="64"/>
        <v>14.018125358401305</v>
      </c>
      <c r="CC8" s="233">
        <f t="shared" si="65"/>
        <v>2.0859112324507181</v>
      </c>
      <c r="CD8" s="233">
        <f t="shared" si="66"/>
        <v>6.3977910055367317</v>
      </c>
      <c r="CE8" s="233">
        <f t="shared" si="67"/>
        <v>6.9959712980190831</v>
      </c>
      <c r="CF8" s="233">
        <f t="shared" si="68"/>
        <v>12.954838160402087</v>
      </c>
      <c r="CG8" s="233">
        <f t="shared" si="69"/>
        <v>6.9959712980190831</v>
      </c>
      <c r="CH8" s="233">
        <f t="shared" si="70"/>
        <v>7.7925587690324161</v>
      </c>
      <c r="CI8" s="233">
        <f t="shared" si="71"/>
        <v>14.294678900169146</v>
      </c>
      <c r="CJ8" s="233">
        <f t="shared" si="72"/>
        <v>7.7925587690324161</v>
      </c>
      <c r="CK8" s="233">
        <f t="shared" si="73"/>
        <v>3.9395264812418298</v>
      </c>
    </row>
    <row r="9" spans="1:89" x14ac:dyDescent="0.25">
      <c r="A9" t="str">
        <f>PLANTILLA!D10</f>
        <v>S. Buschelman</v>
      </c>
      <c r="B9" s="589">
        <f>PLANTILLA!E10</f>
        <v>34</v>
      </c>
      <c r="C9" s="298">
        <f ca="1">PLANTILLA!F10</f>
        <v>40</v>
      </c>
      <c r="D9" s="589" t="str">
        <f>PLANTILLA!G10</f>
        <v>TEC</v>
      </c>
      <c r="E9" s="518">
        <v>36526</v>
      </c>
      <c r="F9" s="298">
        <f>PLANTILLA!Q10</f>
        <v>7</v>
      </c>
      <c r="G9" s="346">
        <f t="shared" si="0"/>
        <v>1</v>
      </c>
      <c r="H9" s="346">
        <f t="shared" si="1"/>
        <v>1</v>
      </c>
      <c r="I9" s="425">
        <f>PLANTILLA!P10</f>
        <v>1.5</v>
      </c>
      <c r="J9" s="426">
        <f>PLANTILLA!I10</f>
        <v>14.8</v>
      </c>
      <c r="K9" s="152">
        <f>PLANTILLA!X10</f>
        <v>0</v>
      </c>
      <c r="L9" s="152">
        <f>PLANTILLA!Y10</f>
        <v>9.3036666666666648</v>
      </c>
      <c r="M9" s="152">
        <f>PLANTILLA!Z10</f>
        <v>14</v>
      </c>
      <c r="N9" s="152">
        <f>PLANTILLA!AA10</f>
        <v>12.945</v>
      </c>
      <c r="O9" s="152">
        <f>PLANTILLA!AB10</f>
        <v>9.9499999999999993</v>
      </c>
      <c r="P9" s="152">
        <f>PLANTILLA!AC10</f>
        <v>3.95</v>
      </c>
      <c r="Q9" s="152">
        <f>PLANTILLA!AD10</f>
        <v>16</v>
      </c>
      <c r="R9" s="426">
        <f t="shared" si="2"/>
        <v>4.0254583333333329</v>
      </c>
      <c r="S9" s="426">
        <f t="shared" si="3"/>
        <v>14.520371188030476</v>
      </c>
      <c r="T9" s="152">
        <f t="shared" si="4"/>
        <v>0.67749999999999999</v>
      </c>
      <c r="U9" s="152">
        <f t="shared" si="5"/>
        <v>0.8521466666666665</v>
      </c>
      <c r="V9" s="426">
        <f t="shared" ca="1" si="6"/>
        <v>18.560348953859943</v>
      </c>
      <c r="W9" s="426">
        <f t="shared" ca="1" si="7"/>
        <v>18.560348953859943</v>
      </c>
      <c r="X9" s="233">
        <f t="shared" si="8"/>
        <v>5.2394966367197302</v>
      </c>
      <c r="Y9" s="233">
        <f t="shared" si="9"/>
        <v>7.9049688327665191</v>
      </c>
      <c r="Z9" s="233">
        <f t="shared" si="10"/>
        <v>5.2394966367197302</v>
      </c>
      <c r="AA9" s="233">
        <f t="shared" si="11"/>
        <v>6.3798320601917302</v>
      </c>
      <c r="AB9" s="233">
        <f t="shared" si="12"/>
        <v>12.364015620526608</v>
      </c>
      <c r="AC9" s="233">
        <f t="shared" si="13"/>
        <v>3.1899160300958651</v>
      </c>
      <c r="AD9" s="233">
        <f t="shared" si="14"/>
        <v>4.0603630510186663</v>
      </c>
      <c r="AE9" s="233">
        <f t="shared" si="15"/>
        <v>4.6735979045590579</v>
      </c>
      <c r="AF9" s="233">
        <f t="shared" si="16"/>
        <v>8.9391832936407365</v>
      </c>
      <c r="AG9" s="233">
        <f t="shared" si="17"/>
        <v>2.3367989522795289</v>
      </c>
      <c r="AH9" s="233">
        <f t="shared" si="18"/>
        <v>6.5682343472360785</v>
      </c>
      <c r="AI9" s="233">
        <f t="shared" si="19"/>
        <v>11.37489437088448</v>
      </c>
      <c r="AJ9" s="233">
        <f t="shared" si="20"/>
        <v>5.1187024668980152</v>
      </c>
      <c r="AK9" s="233">
        <f t="shared" si="21"/>
        <v>2.8490782752946107</v>
      </c>
      <c r="AL9" s="233">
        <f t="shared" si="22"/>
        <v>9.4111451848696461</v>
      </c>
      <c r="AM9" s="233">
        <f t="shared" si="23"/>
        <v>9.3224677778770619</v>
      </c>
      <c r="AN9" s="233">
        <f t="shared" si="24"/>
        <v>8.7537230593328381</v>
      </c>
      <c r="AO9" s="233">
        <f t="shared" si="25"/>
        <v>3.1830782752946107</v>
      </c>
      <c r="AP9" s="233">
        <f t="shared" si="26"/>
        <v>2.0407124987116636</v>
      </c>
      <c r="AQ9" s="233">
        <f t="shared" si="27"/>
        <v>3.3382842175421845</v>
      </c>
      <c r="AR9" s="233">
        <f t="shared" si="28"/>
        <v>7.3442252785928046</v>
      </c>
      <c r="AS9" s="233">
        <f t="shared" si="29"/>
        <v>1.6691421087710923</v>
      </c>
      <c r="AT9" s="233">
        <f t="shared" si="30"/>
        <v>16.104969412443786</v>
      </c>
      <c r="AU9" s="233">
        <f t="shared" si="31"/>
        <v>1.6913453640017926</v>
      </c>
      <c r="AV9" s="233">
        <f t="shared" si="32"/>
        <v>2.7740322434809634</v>
      </c>
      <c r="AW9" s="233">
        <f t="shared" si="33"/>
        <v>0.84567268200089629</v>
      </c>
      <c r="AX9" s="233">
        <f t="shared" si="34"/>
        <v>2.3367989522795289</v>
      </c>
      <c r="AY9" s="233">
        <f t="shared" si="35"/>
        <v>4.9456062482106438</v>
      </c>
      <c r="AZ9" s="233">
        <f t="shared" si="36"/>
        <v>1.1683994761397645</v>
      </c>
      <c r="BA9" s="233">
        <f t="shared" si="37"/>
        <v>17.060348953859943</v>
      </c>
      <c r="BB9" s="233">
        <f t="shared" si="38"/>
        <v>3.2916182853265656</v>
      </c>
      <c r="BC9" s="233">
        <f t="shared" si="39"/>
        <v>5.9087022735768286</v>
      </c>
      <c r="BD9" s="233">
        <f t="shared" si="40"/>
        <v>1.6458091426632828</v>
      </c>
      <c r="BE9" s="233">
        <f t="shared" si="41"/>
        <v>3.5979285455732426</v>
      </c>
      <c r="BF9" s="233">
        <f t="shared" si="42"/>
        <v>4.3026774359432594</v>
      </c>
      <c r="BG9" s="233">
        <f t="shared" si="43"/>
        <v>15.030167428350611</v>
      </c>
      <c r="BH9" s="233">
        <f t="shared" si="44"/>
        <v>13.285330219981489</v>
      </c>
      <c r="BI9" s="233">
        <f t="shared" si="45"/>
        <v>3.1354940978802461</v>
      </c>
      <c r="BJ9" s="233">
        <f t="shared" si="46"/>
        <v>5.9965475759554048</v>
      </c>
      <c r="BK9" s="233">
        <f t="shared" si="47"/>
        <v>3.2641001238190248</v>
      </c>
      <c r="BL9" s="233">
        <f t="shared" si="48"/>
        <v>6.4999929514206389</v>
      </c>
      <c r="BM9" s="233">
        <f t="shared" si="49"/>
        <v>13.386679985673592</v>
      </c>
      <c r="BN9" s="233">
        <f t="shared" si="50"/>
        <v>0.67653814560071701</v>
      </c>
      <c r="BO9" s="233">
        <f t="shared" si="51"/>
        <v>2.2255228116947894</v>
      </c>
      <c r="BP9" s="233">
        <f t="shared" si="52"/>
        <v>0.84075306219580936</v>
      </c>
      <c r="BQ9" s="233">
        <f t="shared" si="53"/>
        <v>5.2034064309272825</v>
      </c>
      <c r="BR9" s="233">
        <f t="shared" si="54"/>
        <v>19.726308754663886</v>
      </c>
      <c r="BS9" s="233">
        <f t="shared" si="55"/>
        <v>1.7563971087710923</v>
      </c>
      <c r="BT9" s="233">
        <f t="shared" si="56"/>
        <v>3.5113804362295564</v>
      </c>
      <c r="BU9" s="233">
        <f t="shared" si="57"/>
        <v>3.0168198114084923</v>
      </c>
      <c r="BV9" s="233">
        <f t="shared" si="58"/>
        <v>7.7624587740062747</v>
      </c>
      <c r="BW9" s="233">
        <f t="shared" si="59"/>
        <v>17.003146640876817</v>
      </c>
      <c r="BX9" s="233">
        <f t="shared" si="60"/>
        <v>1.5742522234170531</v>
      </c>
      <c r="BY9" s="233">
        <f t="shared" si="61"/>
        <v>3.5113804362295564</v>
      </c>
      <c r="BZ9" s="233">
        <f t="shared" si="62"/>
        <v>3.0168198114084923</v>
      </c>
      <c r="CA9" s="233">
        <f t="shared" si="63"/>
        <v>10.765080189885625</v>
      </c>
      <c r="CB9" s="233">
        <f t="shared" si="64"/>
        <v>13.746752313704649</v>
      </c>
      <c r="CC9" s="233">
        <f t="shared" si="65"/>
        <v>1.9255316451712714</v>
      </c>
      <c r="CD9" s="233">
        <f t="shared" si="66"/>
        <v>6.9265016752671373</v>
      </c>
      <c r="CE9" s="233">
        <f t="shared" si="67"/>
        <v>7.5064697212698261</v>
      </c>
      <c r="CF9" s="233">
        <f t="shared" si="68"/>
        <v>11.151652922046296</v>
      </c>
      <c r="CG9" s="233">
        <f t="shared" si="69"/>
        <v>7.5064697212698261</v>
      </c>
      <c r="CH9" s="233">
        <f t="shared" si="70"/>
        <v>7.0773423982547445</v>
      </c>
      <c r="CI9" s="233">
        <f t="shared" si="71"/>
        <v>11.811167717834262</v>
      </c>
      <c r="CJ9" s="233">
        <f t="shared" si="72"/>
        <v>7.0773423982547445</v>
      </c>
      <c r="CK9" s="233">
        <f t="shared" si="73"/>
        <v>4.2650872384649858</v>
      </c>
    </row>
    <row r="10" spans="1:89" x14ac:dyDescent="0.25">
      <c r="A10" t="str">
        <f>PLANTILLA!D11</f>
        <v>C. Rojas</v>
      </c>
      <c r="B10" s="589">
        <f>PLANTILLA!E11</f>
        <v>36</v>
      </c>
      <c r="C10" s="298">
        <f ca="1">PLANTILLA!F11</f>
        <v>74</v>
      </c>
      <c r="D10" s="589" t="str">
        <f>PLANTILLA!G11</f>
        <v>TEC</v>
      </c>
      <c r="E10" s="518">
        <v>36526</v>
      </c>
      <c r="F10" s="298">
        <f>PLANTILLA!Q11</f>
        <v>6</v>
      </c>
      <c r="G10" s="346">
        <f t="shared" si="0"/>
        <v>0.92582009977255142</v>
      </c>
      <c r="H10" s="346">
        <f t="shared" si="1"/>
        <v>0.99928545900129484</v>
      </c>
      <c r="I10" s="425">
        <f>PLANTILLA!P11</f>
        <v>1.5</v>
      </c>
      <c r="J10" s="426">
        <f>PLANTILLA!I11</f>
        <v>14.4</v>
      </c>
      <c r="K10" s="152">
        <f>PLANTILLA!X11</f>
        <v>0</v>
      </c>
      <c r="L10" s="152">
        <f>PLANTILLA!Y11</f>
        <v>7.95</v>
      </c>
      <c r="M10" s="152">
        <f>PLANTILLA!Z11</f>
        <v>13.95</v>
      </c>
      <c r="N10" s="152">
        <f>PLANTILLA!AA11</f>
        <v>8.9499999999999993</v>
      </c>
      <c r="O10" s="152">
        <f>PLANTILLA!AB11</f>
        <v>9.9499999999999993</v>
      </c>
      <c r="P10" s="152">
        <f>PLANTILLA!AC11</f>
        <v>1.95</v>
      </c>
      <c r="Q10" s="152">
        <f>PLANTILLA!AD11</f>
        <v>16.95</v>
      </c>
      <c r="R10" s="426">
        <f t="shared" si="2"/>
        <v>3.8562499999999997</v>
      </c>
      <c r="S10" s="426">
        <f t="shared" si="3"/>
        <v>11.687808143374001</v>
      </c>
      <c r="T10" s="152">
        <f t="shared" si="4"/>
        <v>0.60599999999999998</v>
      </c>
      <c r="U10" s="152">
        <f t="shared" si="5"/>
        <v>0.82650000000000001</v>
      </c>
      <c r="V10" s="426">
        <f t="shared" ca="1" si="6"/>
        <v>18.048384494923173</v>
      </c>
      <c r="W10" s="426">
        <f t="shared" ca="1" si="7"/>
        <v>19.480553715210956</v>
      </c>
      <c r="X10" s="233">
        <f t="shared" si="8"/>
        <v>4.8520339407988704</v>
      </c>
      <c r="Y10" s="233">
        <f t="shared" si="9"/>
        <v>7.3091779697266226</v>
      </c>
      <c r="Z10" s="233">
        <f t="shared" si="10"/>
        <v>4.8520339407988704</v>
      </c>
      <c r="AA10" s="233">
        <f t="shared" si="11"/>
        <v>5.673153394561532</v>
      </c>
      <c r="AB10" s="233">
        <f t="shared" si="12"/>
        <v>10.994483322793666</v>
      </c>
      <c r="AC10" s="233">
        <f t="shared" si="13"/>
        <v>2.836576697280766</v>
      </c>
      <c r="AD10" s="233">
        <f t="shared" si="14"/>
        <v>4.0446870308248926</v>
      </c>
      <c r="AE10" s="233">
        <f t="shared" si="15"/>
        <v>4.1559146960160058</v>
      </c>
      <c r="AF10" s="233">
        <f t="shared" si="16"/>
        <v>7.9490114423798204</v>
      </c>
      <c r="AG10" s="233">
        <f t="shared" si="17"/>
        <v>2.0779573480080029</v>
      </c>
      <c r="AH10" s="233">
        <f t="shared" si="18"/>
        <v>6.5428760792755618</v>
      </c>
      <c r="AI10" s="233">
        <f t="shared" si="19"/>
        <v>10.114924656970173</v>
      </c>
      <c r="AJ10" s="233">
        <f t="shared" si="20"/>
        <v>4.5517160956365776</v>
      </c>
      <c r="AK10" s="233">
        <f t="shared" si="21"/>
        <v>2.8380787149065423</v>
      </c>
      <c r="AL10" s="233">
        <f t="shared" si="22"/>
        <v>7.0527561938026757</v>
      </c>
      <c r="AM10" s="233">
        <f t="shared" si="23"/>
        <v>8.2898404253864246</v>
      </c>
      <c r="AN10" s="233">
        <f t="shared" si="24"/>
        <v>7.784094192537915</v>
      </c>
      <c r="AO10" s="233">
        <f t="shared" si="25"/>
        <v>3.3390787149065426</v>
      </c>
      <c r="AP10" s="233">
        <f t="shared" si="26"/>
        <v>1.9874111969645756</v>
      </c>
      <c r="AQ10" s="233">
        <f t="shared" si="27"/>
        <v>2.9685104971542899</v>
      </c>
      <c r="AR10" s="233">
        <f t="shared" si="28"/>
        <v>6.5307230937394376</v>
      </c>
      <c r="AS10" s="233">
        <f t="shared" si="29"/>
        <v>1.484255248577145</v>
      </c>
      <c r="AT10" s="233">
        <f t="shared" si="30"/>
        <v>16.04279225671722</v>
      </c>
      <c r="AU10" s="233">
        <f t="shared" si="31"/>
        <v>1.6892828319631767</v>
      </c>
      <c r="AV10" s="233">
        <f t="shared" si="32"/>
        <v>2.4233836135785438</v>
      </c>
      <c r="AW10" s="233">
        <f t="shared" si="33"/>
        <v>0.84464141598158837</v>
      </c>
      <c r="AX10" s="233">
        <f t="shared" si="34"/>
        <v>2.0779573480080029</v>
      </c>
      <c r="AY10" s="233">
        <f t="shared" si="35"/>
        <v>4.3977933291174667</v>
      </c>
      <c r="AZ10" s="233">
        <f t="shared" si="36"/>
        <v>1.0389786740040015</v>
      </c>
      <c r="BA10" s="233">
        <f t="shared" si="37"/>
        <v>16.994483322793666</v>
      </c>
      <c r="BB10" s="233">
        <f t="shared" si="38"/>
        <v>3.2876042806667978</v>
      </c>
      <c r="BC10" s="233">
        <f t="shared" si="39"/>
        <v>5.4799603108593109</v>
      </c>
      <c r="BD10" s="233">
        <f t="shared" si="40"/>
        <v>1.6438021403333989</v>
      </c>
      <c r="BE10" s="233">
        <f t="shared" si="41"/>
        <v>3.1993946469329568</v>
      </c>
      <c r="BF10" s="233">
        <f t="shared" si="42"/>
        <v>3.8260801963321955</v>
      </c>
      <c r="BG10" s="233">
        <f t="shared" si="43"/>
        <v>14.97213980738122</v>
      </c>
      <c r="BH10" s="233">
        <f t="shared" si="44"/>
        <v>10.978095673963569</v>
      </c>
      <c r="BI10" s="233">
        <f t="shared" si="45"/>
        <v>3.1316704807932734</v>
      </c>
      <c r="BJ10" s="233">
        <f t="shared" si="46"/>
        <v>5.3323244115549278</v>
      </c>
      <c r="BK10" s="233">
        <f t="shared" si="47"/>
        <v>2.902543597217528</v>
      </c>
      <c r="BL10" s="233">
        <f t="shared" si="48"/>
        <v>6.4748981459843868</v>
      </c>
      <c r="BM10" s="233">
        <f t="shared" si="49"/>
        <v>10.684178424121665</v>
      </c>
      <c r="BN10" s="233">
        <f t="shared" si="50"/>
        <v>0.67571313278527056</v>
      </c>
      <c r="BO10" s="233">
        <f t="shared" si="51"/>
        <v>1.97900699810286</v>
      </c>
      <c r="BP10" s="233">
        <f t="shared" si="52"/>
        <v>0.74762486594996935</v>
      </c>
      <c r="BQ10" s="233">
        <f t="shared" si="53"/>
        <v>5.1833174134520679</v>
      </c>
      <c r="BR10" s="233">
        <f t="shared" si="54"/>
        <v>15.710905553112655</v>
      </c>
      <c r="BS10" s="233">
        <f t="shared" si="55"/>
        <v>1.754255248577145</v>
      </c>
      <c r="BT10" s="233">
        <f t="shared" si="56"/>
        <v>3.1224332636734009</v>
      </c>
      <c r="BU10" s="233">
        <f t="shared" si="57"/>
        <v>2.6826539307616546</v>
      </c>
      <c r="BV10" s="233">
        <f t="shared" si="58"/>
        <v>7.7324899118711183</v>
      </c>
      <c r="BW10" s="233">
        <f t="shared" si="59"/>
        <v>13.533887521655382</v>
      </c>
      <c r="BX10" s="233">
        <f t="shared" si="60"/>
        <v>1.5723324820580336</v>
      </c>
      <c r="BY10" s="233">
        <f t="shared" si="61"/>
        <v>3.1224332636734009</v>
      </c>
      <c r="BZ10" s="233">
        <f t="shared" si="62"/>
        <v>2.6826539307616546</v>
      </c>
      <c r="CA10" s="233">
        <f t="shared" si="63"/>
        <v>10.723518976682804</v>
      </c>
      <c r="CB10" s="233">
        <f t="shared" si="64"/>
        <v>10.928062573900331</v>
      </c>
      <c r="CC10" s="233">
        <f t="shared" si="65"/>
        <v>1.9231835317734625</v>
      </c>
      <c r="CD10" s="233">
        <f t="shared" si="66"/>
        <v>6.8997602290542286</v>
      </c>
      <c r="CE10" s="233">
        <f t="shared" si="67"/>
        <v>6.6436844769989927</v>
      </c>
      <c r="CF10" s="233">
        <f t="shared" si="68"/>
        <v>9.9677882214656695</v>
      </c>
      <c r="CG10" s="233">
        <f t="shared" si="69"/>
        <v>6.6436844769989927</v>
      </c>
      <c r="CH10" s="233">
        <f t="shared" si="70"/>
        <v>5.6645631101004543</v>
      </c>
      <c r="CI10" s="233">
        <f t="shared" si="71"/>
        <v>9.7894476689045291</v>
      </c>
      <c r="CJ10" s="233">
        <f t="shared" si="72"/>
        <v>5.6645631101004543</v>
      </c>
      <c r="CK10" s="233">
        <f t="shared" si="73"/>
        <v>4.2486208306984166</v>
      </c>
    </row>
    <row r="11" spans="1:89" x14ac:dyDescent="0.25">
      <c r="A11" t="str">
        <f>PLANTILLA!D12</f>
        <v>E. Gross</v>
      </c>
      <c r="B11" s="589">
        <f>PLANTILLA!E12</f>
        <v>35</v>
      </c>
      <c r="C11" s="298">
        <f ca="1">PLANTILLA!F12</f>
        <v>68</v>
      </c>
      <c r="D11" s="589">
        <f>PLANTILLA!G12</f>
        <v>0</v>
      </c>
      <c r="E11" s="518">
        <v>36526</v>
      </c>
      <c r="F11" s="298">
        <f>PLANTILLA!Q12</f>
        <v>6</v>
      </c>
      <c r="G11" s="346">
        <f t="shared" si="0"/>
        <v>0.92582009977255142</v>
      </c>
      <c r="H11" s="346">
        <f t="shared" si="1"/>
        <v>0.99928545900129484</v>
      </c>
      <c r="I11" s="425">
        <f>PLANTILLA!P12</f>
        <v>1.5</v>
      </c>
      <c r="J11" s="426">
        <f>PLANTILLA!I12</f>
        <v>13.1</v>
      </c>
      <c r="K11" s="152">
        <f>PLANTILLA!X12</f>
        <v>0</v>
      </c>
      <c r="L11" s="152">
        <f>PLANTILLA!Y12</f>
        <v>10.549999999999995</v>
      </c>
      <c r="M11" s="152">
        <f>PLANTILLA!Z12</f>
        <v>12.95</v>
      </c>
      <c r="N11" s="152">
        <f>PLANTILLA!AA12</f>
        <v>4.95</v>
      </c>
      <c r="O11" s="152">
        <f>PLANTILLA!AB12</f>
        <v>8.9499999999999993</v>
      </c>
      <c r="P11" s="152">
        <f>PLANTILLA!AC12</f>
        <v>0.95</v>
      </c>
      <c r="Q11" s="152">
        <f>PLANTILLA!AD12</f>
        <v>17.3</v>
      </c>
      <c r="R11" s="426">
        <f t="shared" si="2"/>
        <v>3.9312499999999995</v>
      </c>
      <c r="S11" s="426">
        <f t="shared" si="3"/>
        <v>10.099226084532321</v>
      </c>
      <c r="T11" s="152">
        <f t="shared" si="4"/>
        <v>0.5665</v>
      </c>
      <c r="U11" s="152">
        <f t="shared" si="5"/>
        <v>0.94099999999999984</v>
      </c>
      <c r="V11" s="426">
        <f t="shared" ca="1" si="6"/>
        <v>18.321697455727062</v>
      </c>
      <c r="W11" s="426">
        <f t="shared" ca="1" si="7"/>
        <v>19.775554512401488</v>
      </c>
      <c r="X11" s="233">
        <f t="shared" si="8"/>
        <v>5.5218037881433082</v>
      </c>
      <c r="Y11" s="233">
        <f t="shared" si="9"/>
        <v>8.3434463235887861</v>
      </c>
      <c r="Z11" s="233">
        <f t="shared" si="10"/>
        <v>5.5218037881433082</v>
      </c>
      <c r="AA11" s="233">
        <f t="shared" si="11"/>
        <v>6.9864826514111638</v>
      </c>
      <c r="AB11" s="233">
        <f t="shared" si="12"/>
        <v>13.539695060874347</v>
      </c>
      <c r="AC11" s="233">
        <f t="shared" si="13"/>
        <v>3.4932413257055819</v>
      </c>
      <c r="AD11" s="233">
        <f t="shared" si="14"/>
        <v>3.7936474244880953</v>
      </c>
      <c r="AE11" s="233">
        <f t="shared" si="15"/>
        <v>5.118004733010503</v>
      </c>
      <c r="AF11" s="233">
        <f t="shared" si="16"/>
        <v>9.7891995290121532</v>
      </c>
      <c r="AG11" s="233">
        <f t="shared" si="17"/>
        <v>2.5590023665052515</v>
      </c>
      <c r="AH11" s="233">
        <f t="shared" si="18"/>
        <v>6.1367825984366258</v>
      </c>
      <c r="AI11" s="233">
        <f t="shared" si="19"/>
        <v>12.456519456004401</v>
      </c>
      <c r="AJ11" s="233">
        <f t="shared" si="20"/>
        <v>5.6054337552019797</v>
      </c>
      <c r="AK11" s="233">
        <f t="shared" si="21"/>
        <v>2.6619290751660167</v>
      </c>
      <c r="AL11" s="233">
        <f t="shared" si="22"/>
        <v>4.6685406957941185</v>
      </c>
      <c r="AM11" s="233">
        <f t="shared" si="23"/>
        <v>10.208930075899257</v>
      </c>
      <c r="AN11" s="233">
        <f t="shared" si="24"/>
        <v>9.5861041030990375</v>
      </c>
      <c r="AO11" s="233">
        <f t="shared" si="25"/>
        <v>3.3883790751660174</v>
      </c>
      <c r="AP11" s="233">
        <f t="shared" si="26"/>
        <v>1.9932321775318131</v>
      </c>
      <c r="AQ11" s="233">
        <f t="shared" si="27"/>
        <v>3.655717666436074</v>
      </c>
      <c r="AR11" s="233">
        <f t="shared" si="28"/>
        <v>8.0425788661593618</v>
      </c>
      <c r="AS11" s="233">
        <f t="shared" si="29"/>
        <v>1.827858833218037</v>
      </c>
      <c r="AT11" s="233">
        <f t="shared" si="30"/>
        <v>15.047072137465387</v>
      </c>
      <c r="AU11" s="233">
        <f t="shared" si="31"/>
        <v>1.5521603579136658</v>
      </c>
      <c r="AV11" s="233">
        <f t="shared" si="32"/>
        <v>2.1143306528361849</v>
      </c>
      <c r="AW11" s="233">
        <f t="shared" si="33"/>
        <v>0.7760801789568329</v>
      </c>
      <c r="AX11" s="233">
        <f t="shared" si="34"/>
        <v>2.5590023665052515</v>
      </c>
      <c r="AY11" s="233">
        <f t="shared" si="35"/>
        <v>5.4158780243497393</v>
      </c>
      <c r="AZ11" s="233">
        <f t="shared" si="36"/>
        <v>1.2795011832526257</v>
      </c>
      <c r="BA11" s="233">
        <f t="shared" si="37"/>
        <v>15.939695060874351</v>
      </c>
      <c r="BB11" s="233">
        <f t="shared" si="38"/>
        <v>3.020742850401211</v>
      </c>
      <c r="BC11" s="233">
        <f t="shared" si="39"/>
        <v>4.8987719785417685</v>
      </c>
      <c r="BD11" s="233">
        <f t="shared" si="40"/>
        <v>1.5103714252006055</v>
      </c>
      <c r="BE11" s="233">
        <f t="shared" si="41"/>
        <v>3.9400512627144346</v>
      </c>
      <c r="BF11" s="233">
        <f t="shared" si="42"/>
        <v>4.7118138811842725</v>
      </c>
      <c r="BG11" s="233">
        <f t="shared" si="43"/>
        <v>14.042871348630303</v>
      </c>
      <c r="BH11" s="233">
        <f t="shared" si="44"/>
        <v>8.3183889091172976</v>
      </c>
      <c r="BI11" s="233">
        <f t="shared" si="45"/>
        <v>2.8774665096707186</v>
      </c>
      <c r="BJ11" s="233">
        <f t="shared" si="46"/>
        <v>6.566752104524058</v>
      </c>
      <c r="BK11" s="233">
        <f t="shared" si="47"/>
        <v>3.5744794960708277</v>
      </c>
      <c r="BL11" s="233">
        <f t="shared" si="48"/>
        <v>6.0730238181931275</v>
      </c>
      <c r="BM11" s="233">
        <f t="shared" si="49"/>
        <v>7.7432934832041838</v>
      </c>
      <c r="BN11" s="233">
        <f t="shared" si="50"/>
        <v>0.62086414316546623</v>
      </c>
      <c r="BO11" s="233">
        <f t="shared" si="51"/>
        <v>2.4371451109573825</v>
      </c>
      <c r="BP11" s="233">
        <f t="shared" si="52"/>
        <v>0.92069926413945569</v>
      </c>
      <c r="BQ11" s="233">
        <f t="shared" si="53"/>
        <v>4.861606993566677</v>
      </c>
      <c r="BR11" s="233">
        <f t="shared" si="54"/>
        <v>11.354447848284416</v>
      </c>
      <c r="BS11" s="233">
        <f t="shared" si="55"/>
        <v>1.6118588332180375</v>
      </c>
      <c r="BT11" s="233">
        <f t="shared" si="56"/>
        <v>3.8452733972883144</v>
      </c>
      <c r="BU11" s="233">
        <f t="shared" si="57"/>
        <v>3.3036855948533406</v>
      </c>
      <c r="BV11" s="233">
        <f t="shared" si="58"/>
        <v>7.2525612526978298</v>
      </c>
      <c r="BW11" s="233">
        <f t="shared" si="59"/>
        <v>9.7731821274487825</v>
      </c>
      <c r="BX11" s="233">
        <f t="shared" si="60"/>
        <v>1.4447031023657964</v>
      </c>
      <c r="BY11" s="233">
        <f t="shared" si="61"/>
        <v>3.8452733972883144</v>
      </c>
      <c r="BZ11" s="233">
        <f t="shared" si="62"/>
        <v>3.3036855948533406</v>
      </c>
      <c r="CA11" s="233">
        <f t="shared" si="63"/>
        <v>10.057947583411716</v>
      </c>
      <c r="CB11" s="233">
        <f t="shared" si="64"/>
        <v>7.8780270794825444</v>
      </c>
      <c r="CC11" s="233">
        <f t="shared" si="65"/>
        <v>1.7670748690094038</v>
      </c>
      <c r="CD11" s="233">
        <f t="shared" si="66"/>
        <v>6.4715161947149866</v>
      </c>
      <c r="CE11" s="233">
        <f t="shared" si="67"/>
        <v>4.6285811267155372</v>
      </c>
      <c r="CF11" s="233">
        <f t="shared" si="68"/>
        <v>8.7800966385445207</v>
      </c>
      <c r="CG11" s="233">
        <f t="shared" si="69"/>
        <v>4.6285811267155372</v>
      </c>
      <c r="CH11" s="233">
        <f t="shared" si="70"/>
        <v>4.3444300229247208</v>
      </c>
      <c r="CI11" s="233">
        <f t="shared" si="71"/>
        <v>8.3454425383369877</v>
      </c>
      <c r="CJ11" s="233">
        <f t="shared" si="72"/>
        <v>4.3444300229247208</v>
      </c>
      <c r="CK11" s="233">
        <f t="shared" si="73"/>
        <v>3.9849237652185878</v>
      </c>
    </row>
    <row r="12" spans="1:89" x14ac:dyDescent="0.25">
      <c r="A12" t="str">
        <f>PLANTILLA!D13</f>
        <v>W. Gelifini</v>
      </c>
      <c r="B12" s="589">
        <f>PLANTILLA!E13</f>
        <v>33</v>
      </c>
      <c r="C12" s="298">
        <f ca="1">PLANTILLA!F13</f>
        <v>105</v>
      </c>
      <c r="D12" s="589">
        <f>PLANTILLA!G13</f>
        <v>0</v>
      </c>
      <c r="E12" s="518">
        <v>36526</v>
      </c>
      <c r="F12" s="298">
        <f>PLANTILLA!Q13</f>
        <v>4</v>
      </c>
      <c r="G12" s="346">
        <f t="shared" si="0"/>
        <v>0.7559289460184544</v>
      </c>
      <c r="H12" s="346">
        <f t="shared" si="1"/>
        <v>0.84430867747355465</v>
      </c>
      <c r="I12" s="425">
        <f>PLANTILLA!P13</f>
        <v>1.5</v>
      </c>
      <c r="J12" s="426">
        <f>PLANTILLA!I13</f>
        <v>4.5</v>
      </c>
      <c r="K12" s="152">
        <f>PLANTILLA!X13</f>
        <v>0</v>
      </c>
      <c r="L12" s="152">
        <f>PLANTILLA!Y13</f>
        <v>5.6515555555555519</v>
      </c>
      <c r="M12" s="152">
        <f>PLANTILLA!Z13</f>
        <v>8.9499999999999993</v>
      </c>
      <c r="N12" s="152">
        <f>PLANTILLA!AA13</f>
        <v>6.95</v>
      </c>
      <c r="O12" s="152">
        <f>PLANTILLA!AB13</f>
        <v>9.2666666666666639</v>
      </c>
      <c r="P12" s="152">
        <f>PLANTILLA!AC13</f>
        <v>2.95</v>
      </c>
      <c r="Q12" s="152">
        <f>PLANTILLA!AD13</f>
        <v>12.847222222222223</v>
      </c>
      <c r="R12" s="426">
        <f t="shared" si="2"/>
        <v>3.3981111111111098</v>
      </c>
      <c r="S12" s="426">
        <f t="shared" si="3"/>
        <v>9.6027717628135694</v>
      </c>
      <c r="T12" s="152">
        <f t="shared" si="4"/>
        <v>0.53291666666666671</v>
      </c>
      <c r="U12" s="152">
        <f t="shared" si="5"/>
        <v>0.61147888888888879</v>
      </c>
      <c r="V12" s="426">
        <f t="shared" ca="1" si="6"/>
        <v>11.125892429146779</v>
      </c>
      <c r="W12" s="426">
        <f t="shared" ca="1" si="7"/>
        <v>12.426680539279978</v>
      </c>
      <c r="X12" s="233">
        <f t="shared" si="8"/>
        <v>3.6296686993678327</v>
      </c>
      <c r="Y12" s="233">
        <f t="shared" si="9"/>
        <v>5.4628075848230679</v>
      </c>
      <c r="Z12" s="233">
        <f t="shared" si="10"/>
        <v>3.6296686993678327</v>
      </c>
      <c r="AA12" s="233">
        <f t="shared" si="11"/>
        <v>4.1396128761441018</v>
      </c>
      <c r="AB12" s="233">
        <f t="shared" si="12"/>
        <v>8.0225055739226772</v>
      </c>
      <c r="AC12" s="233">
        <f t="shared" si="13"/>
        <v>2.0698064380720509</v>
      </c>
      <c r="AD12" s="233">
        <f t="shared" si="14"/>
        <v>2.6943861043713757</v>
      </c>
      <c r="AE12" s="233">
        <f t="shared" si="15"/>
        <v>3.0325071069427718</v>
      </c>
      <c r="AF12" s="233">
        <f t="shared" si="16"/>
        <v>5.8002715299460954</v>
      </c>
      <c r="AG12" s="233">
        <f t="shared" si="17"/>
        <v>1.5162535534713859</v>
      </c>
      <c r="AH12" s="233">
        <f t="shared" si="18"/>
        <v>4.358565757071343</v>
      </c>
      <c r="AI12" s="233">
        <f t="shared" si="19"/>
        <v>7.3807051280088629</v>
      </c>
      <c r="AJ12" s="233">
        <f t="shared" si="20"/>
        <v>3.3213173076039881</v>
      </c>
      <c r="AK12" s="233">
        <f t="shared" si="21"/>
        <v>1.89059865306731</v>
      </c>
      <c r="AL12" s="233">
        <f t="shared" si="22"/>
        <v>5.4807186107998689</v>
      </c>
      <c r="AM12" s="233">
        <f t="shared" si="23"/>
        <v>6.0489692027376982</v>
      </c>
      <c r="AN12" s="233">
        <f t="shared" si="24"/>
        <v>5.6799339463372549</v>
      </c>
      <c r="AO12" s="233">
        <f t="shared" si="25"/>
        <v>2.5414347641784212</v>
      </c>
      <c r="AP12" s="233">
        <f t="shared" si="26"/>
        <v>1.6614896052897317</v>
      </c>
      <c r="AQ12" s="233">
        <f t="shared" si="27"/>
        <v>2.1660765049591229</v>
      </c>
      <c r="AR12" s="233">
        <f t="shared" si="28"/>
        <v>4.7653683109100697</v>
      </c>
      <c r="AS12" s="233">
        <f t="shared" si="29"/>
        <v>1.0830382524795614</v>
      </c>
      <c r="AT12" s="233">
        <f t="shared" si="30"/>
        <v>10.686976817338564</v>
      </c>
      <c r="AU12" s="233">
        <f t="shared" si="31"/>
        <v>1.5128901690543926</v>
      </c>
      <c r="AV12" s="233">
        <f t="shared" si="32"/>
        <v>2.3170383553815674</v>
      </c>
      <c r="AW12" s="233">
        <f t="shared" si="33"/>
        <v>0.75644508452719628</v>
      </c>
      <c r="AX12" s="233">
        <f t="shared" si="34"/>
        <v>1.5162535534713859</v>
      </c>
      <c r="AY12" s="233">
        <f t="shared" si="35"/>
        <v>3.2090022295690712</v>
      </c>
      <c r="AZ12" s="233">
        <f t="shared" si="36"/>
        <v>0.75812677673569295</v>
      </c>
      <c r="BA12" s="233">
        <f t="shared" si="37"/>
        <v>11.320950018367125</v>
      </c>
      <c r="BB12" s="233">
        <f t="shared" si="38"/>
        <v>2.9443170213135486</v>
      </c>
      <c r="BC12" s="233">
        <f t="shared" si="39"/>
        <v>5.0858267934536183</v>
      </c>
      <c r="BD12" s="233">
        <f t="shared" si="40"/>
        <v>1.4721585106567743</v>
      </c>
      <c r="BE12" s="233">
        <f t="shared" si="41"/>
        <v>2.3345491220114991</v>
      </c>
      <c r="BF12" s="233">
        <f t="shared" si="42"/>
        <v>2.7918319397250912</v>
      </c>
      <c r="BG12" s="233">
        <f t="shared" si="43"/>
        <v>9.9737569661814369</v>
      </c>
      <c r="BH12" s="233">
        <f t="shared" si="44"/>
        <v>9.0160745663283723</v>
      </c>
      <c r="BI12" s="233">
        <f t="shared" si="45"/>
        <v>2.8046656210931431</v>
      </c>
      <c r="BJ12" s="233">
        <f t="shared" si="46"/>
        <v>3.8909152033524985</v>
      </c>
      <c r="BK12" s="233">
        <f t="shared" si="47"/>
        <v>2.1179414715155866</v>
      </c>
      <c r="BL12" s="233">
        <f t="shared" si="48"/>
        <v>4.3132819569978746</v>
      </c>
      <c r="BM12" s="233">
        <f t="shared" si="49"/>
        <v>8.6121603160528668</v>
      </c>
      <c r="BN12" s="233">
        <f t="shared" si="50"/>
        <v>0.605156067621757</v>
      </c>
      <c r="BO12" s="233">
        <f t="shared" si="51"/>
        <v>1.4440510033060818</v>
      </c>
      <c r="BP12" s="233">
        <f t="shared" si="52"/>
        <v>0.54553037902674206</v>
      </c>
      <c r="BQ12" s="233">
        <f t="shared" si="53"/>
        <v>3.4528897556019729</v>
      </c>
      <c r="BR12" s="233">
        <f t="shared" si="54"/>
        <v>12.649308390286787</v>
      </c>
      <c r="BS12" s="233">
        <f t="shared" si="55"/>
        <v>1.5710782524795617</v>
      </c>
      <c r="BT12" s="233">
        <f t="shared" si="56"/>
        <v>2.2783915829940402</v>
      </c>
      <c r="BU12" s="233">
        <f t="shared" si="57"/>
        <v>1.9574913600371331</v>
      </c>
      <c r="BV12" s="233">
        <f t="shared" si="58"/>
        <v>5.1510322583570423</v>
      </c>
      <c r="BW12" s="233">
        <f t="shared" si="59"/>
        <v>10.89287928701744</v>
      </c>
      <c r="BX12" s="233">
        <f t="shared" si="60"/>
        <v>1.4081516188890884</v>
      </c>
      <c r="BY12" s="233">
        <f t="shared" si="61"/>
        <v>2.2783915829940402</v>
      </c>
      <c r="BZ12" s="233">
        <f t="shared" si="62"/>
        <v>1.9574913600371331</v>
      </c>
      <c r="CA12" s="233">
        <f t="shared" si="63"/>
        <v>7.1435194615896558</v>
      </c>
      <c r="CB12" s="233">
        <f t="shared" si="64"/>
        <v>8.7893669331052422</v>
      </c>
      <c r="CC12" s="233">
        <f t="shared" si="65"/>
        <v>1.7223672693850007</v>
      </c>
      <c r="CD12" s="233">
        <f t="shared" si="66"/>
        <v>4.596305707457053</v>
      </c>
      <c r="CE12" s="233">
        <f t="shared" si="67"/>
        <v>4.9273816262359373</v>
      </c>
      <c r="CF12" s="233">
        <f t="shared" si="68"/>
        <v>9.4213397206813809</v>
      </c>
      <c r="CG12" s="233">
        <f t="shared" si="69"/>
        <v>4.9273816262359373</v>
      </c>
      <c r="CH12" s="233">
        <f t="shared" si="70"/>
        <v>4.9659185281093858</v>
      </c>
      <c r="CI12" s="233">
        <f t="shared" si="71"/>
        <v>9.6152305751445937</v>
      </c>
      <c r="CJ12" s="233">
        <f t="shared" si="72"/>
        <v>4.9659185281093858</v>
      </c>
      <c r="CK12" s="233">
        <f t="shared" si="73"/>
        <v>2.8302375045917811</v>
      </c>
    </row>
    <row r="13" spans="1:89" x14ac:dyDescent="0.25">
      <c r="A13" t="str">
        <f>PLANTILLA!D14</f>
        <v>I. Vanags</v>
      </c>
      <c r="B13" s="589">
        <f>PLANTILLA!E14</f>
        <v>18</v>
      </c>
      <c r="C13" s="298">
        <f ca="1">PLANTILLA!F14</f>
        <v>63</v>
      </c>
      <c r="D13" s="589" t="str">
        <f>PLANTILLA!G14</f>
        <v>CAB</v>
      </c>
      <c r="E13" s="518">
        <f>PLANTILLA!O14</f>
        <v>43626</v>
      </c>
      <c r="F13" s="298">
        <f>PLANTILLA!Q14</f>
        <v>5</v>
      </c>
      <c r="G13" s="346">
        <f t="shared" si="0"/>
        <v>0.84515425472851657</v>
      </c>
      <c r="H13" s="346">
        <f t="shared" si="1"/>
        <v>0.92504826128926143</v>
      </c>
      <c r="I13" s="425">
        <f ca="1">PLANTILLA!P14</f>
        <v>9.1436681135175488E-2</v>
      </c>
      <c r="J13" s="426">
        <f>PLANTILLA!I14</f>
        <v>0.4</v>
      </c>
      <c r="K13" s="152">
        <f>PLANTILLA!X14</f>
        <v>0</v>
      </c>
      <c r="L13" s="152">
        <f>PLANTILLA!Y14</f>
        <v>4</v>
      </c>
      <c r="M13" s="152">
        <f>PLANTILLA!Z14</f>
        <v>7.2</v>
      </c>
      <c r="N13" s="152">
        <f>PLANTILLA!AA14</f>
        <v>3</v>
      </c>
      <c r="O13" s="152">
        <f>PLANTILLA!AB14</f>
        <v>4</v>
      </c>
      <c r="P13" s="152">
        <f>PLANTILLA!AC14</f>
        <v>7</v>
      </c>
      <c r="Q13" s="152">
        <f>PLANTILLA!AD14</f>
        <v>6</v>
      </c>
      <c r="R13" s="426">
        <f t="shared" si="2"/>
        <v>1.875</v>
      </c>
      <c r="S13" s="426">
        <f t="shared" ca="1" si="3"/>
        <v>6.3494785064218</v>
      </c>
      <c r="T13" s="152">
        <f t="shared" si="4"/>
        <v>0.53</v>
      </c>
      <c r="U13" s="152">
        <f t="shared" si="5"/>
        <v>0.33999999999999997</v>
      </c>
      <c r="V13" s="426">
        <f t="shared" ca="1" si="6"/>
        <v>4.7529080725025912</v>
      </c>
      <c r="W13" s="426">
        <f t="shared" ca="1" si="7"/>
        <v>5.202209329169774</v>
      </c>
      <c r="X13" s="233">
        <f t="shared" ca="1" si="8"/>
        <v>0.7206220525367566</v>
      </c>
      <c r="Y13" s="233">
        <f t="shared" ca="1" si="9"/>
        <v>1.1330573537513775</v>
      </c>
      <c r="Z13" s="233">
        <f t="shared" ca="1" si="10"/>
        <v>0.7206220525367566</v>
      </c>
      <c r="AA13" s="233">
        <f t="shared" ca="1" si="11"/>
        <v>1.8373986014993888</v>
      </c>
      <c r="AB13" s="233">
        <f t="shared" ca="1" si="12"/>
        <v>3.5608500029057923</v>
      </c>
      <c r="AC13" s="233">
        <f t="shared" ca="1" si="13"/>
        <v>0.91869930074969441</v>
      </c>
      <c r="AD13" s="233">
        <f t="shared" ca="1" si="14"/>
        <v>1.6090823006915786</v>
      </c>
      <c r="AE13" s="233">
        <f t="shared" ca="1" si="15"/>
        <v>1.3460013010983896</v>
      </c>
      <c r="AF13" s="233">
        <f t="shared" ca="1" si="16"/>
        <v>2.5744945521008877</v>
      </c>
      <c r="AG13" s="233">
        <f t="shared" ca="1" si="17"/>
        <v>0.67300065054919478</v>
      </c>
      <c r="AH13" s="233">
        <f t="shared" ca="1" si="18"/>
        <v>2.60292725111873</v>
      </c>
      <c r="AI13" s="233">
        <f t="shared" ca="1" si="19"/>
        <v>3.2759820026733291</v>
      </c>
      <c r="AJ13" s="233">
        <f t="shared" ca="1" si="20"/>
        <v>1.474191901202998</v>
      </c>
      <c r="AK13" s="233">
        <f t="shared" ca="1" si="21"/>
        <v>1.1290619504852675</v>
      </c>
      <c r="AL13" s="233">
        <f t="shared" ca="1" si="22"/>
        <v>1.5057798017086059</v>
      </c>
      <c r="AM13" s="233">
        <f t="shared" ca="1" si="23"/>
        <v>2.6848809021909674</v>
      </c>
      <c r="AN13" s="233">
        <f t="shared" ca="1" si="24"/>
        <v>2.5210818020573007</v>
      </c>
      <c r="AO13" s="233">
        <f t="shared" ca="1" si="25"/>
        <v>0.92866195048526734</v>
      </c>
      <c r="AP13" s="233">
        <f t="shared" ca="1" si="26"/>
        <v>0.41352480083686805</v>
      </c>
      <c r="AQ13" s="233">
        <f t="shared" ca="1" si="27"/>
        <v>0.96142950078456402</v>
      </c>
      <c r="AR13" s="233">
        <f t="shared" ca="1" si="28"/>
        <v>2.1151449017260404</v>
      </c>
      <c r="AS13" s="233">
        <f t="shared" ca="1" si="29"/>
        <v>0.48071475039228201</v>
      </c>
      <c r="AT13" s="233">
        <f t="shared" ca="1" si="30"/>
        <v>6.382242402743068</v>
      </c>
      <c r="AU13" s="233">
        <f t="shared" ca="1" si="31"/>
        <v>0.462910500377753</v>
      </c>
      <c r="AV13" s="233">
        <f t="shared" ca="1" si="32"/>
        <v>1.5623290508513972</v>
      </c>
      <c r="AW13" s="233">
        <f t="shared" ca="1" si="33"/>
        <v>0.2314552501888765</v>
      </c>
      <c r="AX13" s="233">
        <f t="shared" ca="1" si="34"/>
        <v>0.67300065054919478</v>
      </c>
      <c r="AY13" s="233">
        <f t="shared" ca="1" si="35"/>
        <v>1.4243400011623171</v>
      </c>
      <c r="AZ13" s="233">
        <f t="shared" ca="1" si="36"/>
        <v>0.33650032527459739</v>
      </c>
      <c r="BA13" s="233">
        <f t="shared" ca="1" si="37"/>
        <v>6.7608500029057925</v>
      </c>
      <c r="BB13" s="233">
        <f t="shared" ca="1" si="38"/>
        <v>0.90089505073516551</v>
      </c>
      <c r="BC13" s="233">
        <f t="shared" ca="1" si="39"/>
        <v>2.5920283516010914</v>
      </c>
      <c r="BD13" s="233">
        <f t="shared" ca="1" si="40"/>
        <v>0.45044752536758276</v>
      </c>
      <c r="BE13" s="233">
        <f t="shared" ca="1" si="41"/>
        <v>1.0362073508455856</v>
      </c>
      <c r="BF13" s="233">
        <f t="shared" ca="1" si="42"/>
        <v>1.2391758010112157</v>
      </c>
      <c r="BG13" s="233">
        <f t="shared" ca="1" si="43"/>
        <v>5.956308852560003</v>
      </c>
      <c r="BH13" s="233">
        <f t="shared" ca="1" si="44"/>
        <v>2.5915956525832495</v>
      </c>
      <c r="BI13" s="233">
        <f t="shared" ca="1" si="45"/>
        <v>0.85816485070029591</v>
      </c>
      <c r="BJ13" s="233">
        <f t="shared" ca="1" si="46"/>
        <v>1.7270122514093091</v>
      </c>
      <c r="BK13" s="233">
        <f t="shared" ca="1" si="47"/>
        <v>0.94006440076712927</v>
      </c>
      <c r="BL13" s="233">
        <f t="shared" ca="1" si="48"/>
        <v>2.5758838511071072</v>
      </c>
      <c r="BM13" s="233">
        <f t="shared" ca="1" si="49"/>
        <v>2.4391829025396623</v>
      </c>
      <c r="BN13" s="233">
        <f t="shared" ca="1" si="50"/>
        <v>0.18516420015110119</v>
      </c>
      <c r="BO13" s="233">
        <f t="shared" ca="1" si="51"/>
        <v>0.6409530005230426</v>
      </c>
      <c r="BP13" s="233">
        <f t="shared" ca="1" si="52"/>
        <v>0.2421378001975939</v>
      </c>
      <c r="BQ13" s="233">
        <f t="shared" ca="1" si="53"/>
        <v>2.0620592508862665</v>
      </c>
      <c r="BR13" s="233">
        <f t="shared" ca="1" si="54"/>
        <v>3.5792531037368489</v>
      </c>
      <c r="BS13" s="233">
        <f t="shared" ca="1" si="55"/>
        <v>0.48071475039228201</v>
      </c>
      <c r="BT13" s="233">
        <f t="shared" ca="1" si="56"/>
        <v>1.0112814008252449</v>
      </c>
      <c r="BU13" s="233">
        <f t="shared" ca="1" si="57"/>
        <v>0.86884740070901334</v>
      </c>
      <c r="BV13" s="233">
        <f t="shared" ca="1" si="58"/>
        <v>3.0761867513221355</v>
      </c>
      <c r="BW13" s="233">
        <f t="shared" ca="1" si="59"/>
        <v>3.0814218032196177</v>
      </c>
      <c r="BX13" s="233">
        <f t="shared" ca="1" si="60"/>
        <v>0.43086285035160088</v>
      </c>
      <c r="BY13" s="233">
        <f t="shared" ca="1" si="61"/>
        <v>1.0112814008252449</v>
      </c>
      <c r="BZ13" s="233">
        <f t="shared" ca="1" si="62"/>
        <v>0.86884740070901334</v>
      </c>
      <c r="CA13" s="233">
        <f t="shared" ca="1" si="63"/>
        <v>4.2660963518335553</v>
      </c>
      <c r="CB13" s="233">
        <f t="shared" ca="1" si="64"/>
        <v>2.4849607526006841</v>
      </c>
      <c r="CC13" s="233">
        <f t="shared" ca="1" si="65"/>
        <v>0.52700580043005729</v>
      </c>
      <c r="CD13" s="233">
        <f t="shared" ca="1" si="66"/>
        <v>2.7449051011797518</v>
      </c>
      <c r="CE13" s="233">
        <f t="shared" ca="1" si="67"/>
        <v>2.0922028515139175</v>
      </c>
      <c r="CF13" s="233">
        <f t="shared" ca="1" si="68"/>
        <v>5.758517103271922</v>
      </c>
      <c r="CG13" s="233">
        <f t="shared" ca="1" si="69"/>
        <v>2.0922028515139175</v>
      </c>
      <c r="CH13" s="233">
        <f t="shared" ca="1" si="70"/>
        <v>3.0136360147151633</v>
      </c>
      <c r="CI13" s="233">
        <f t="shared" ca="1" si="71"/>
        <v>7.8748036539780299</v>
      </c>
      <c r="CJ13" s="233">
        <f t="shared" ca="1" si="72"/>
        <v>3.0136360147151633</v>
      </c>
      <c r="CK13" s="233">
        <f t="shared" ca="1" si="73"/>
        <v>1.6902125007264481</v>
      </c>
    </row>
    <row r="14" spans="1:89" x14ac:dyDescent="0.25">
      <c r="A14" t="str">
        <f>PLANTILLA!D15</f>
        <v>I. Stone</v>
      </c>
      <c r="B14" s="589">
        <f>PLANTILLA!E15</f>
        <v>18</v>
      </c>
      <c r="C14" s="298">
        <f ca="1">PLANTILLA!F15</f>
        <v>6</v>
      </c>
      <c r="D14" s="589" t="str">
        <f>PLANTILLA!G15</f>
        <v>RAP</v>
      </c>
      <c r="E14" s="518">
        <f>PLANTILLA!O15</f>
        <v>43633</v>
      </c>
      <c r="F14" s="298">
        <f>PLANTILLA!Q15</f>
        <v>6</v>
      </c>
      <c r="G14" s="346">
        <f t="shared" si="0"/>
        <v>0.92582009977255142</v>
      </c>
      <c r="H14" s="346">
        <f t="shared" si="1"/>
        <v>0.99928545900129484</v>
      </c>
      <c r="I14" s="425">
        <f ca="1">PLANTILLA!P15</f>
        <v>2.4162555382234736E-2</v>
      </c>
      <c r="J14" s="426">
        <f>PLANTILLA!I15</f>
        <v>1.2</v>
      </c>
      <c r="K14" s="152">
        <f>PLANTILLA!X15</f>
        <v>0</v>
      </c>
      <c r="L14" s="152">
        <f>PLANTILLA!Y15</f>
        <v>3</v>
      </c>
      <c r="M14" s="152">
        <f>PLANTILLA!Z15</f>
        <v>5</v>
      </c>
      <c r="N14" s="152">
        <f>PLANTILLA!AA15</f>
        <v>2</v>
      </c>
      <c r="O14" s="152">
        <f>PLANTILLA!AB15</f>
        <v>6</v>
      </c>
      <c r="P14" s="152">
        <f>PLANTILLA!AC15</f>
        <v>9</v>
      </c>
      <c r="Q14" s="152">
        <f>PLANTILLA!AD15</f>
        <v>2</v>
      </c>
      <c r="R14" s="426">
        <f t="shared" si="2"/>
        <v>2.25</v>
      </c>
      <c r="S14" s="426">
        <f t="shared" ca="1" si="3"/>
        <v>8.7267199857484048</v>
      </c>
      <c r="T14" s="152">
        <f t="shared" si="4"/>
        <v>0.51</v>
      </c>
      <c r="U14" s="152">
        <f t="shared" si="5"/>
        <v>0.18000000000000002</v>
      </c>
      <c r="V14" s="426">
        <f t="shared" ca="1" si="6"/>
        <v>1.9998912789272827</v>
      </c>
      <c r="W14" s="426">
        <f t="shared" ca="1" si="7"/>
        <v>2.1585859662222755</v>
      </c>
      <c r="X14" s="233">
        <f t="shared" ca="1" si="8"/>
        <v>0.94126088124812635</v>
      </c>
      <c r="Y14" s="233">
        <f t="shared" ca="1" si="9"/>
        <v>1.4424911771951099</v>
      </c>
      <c r="Z14" s="233">
        <f t="shared" ca="1" si="10"/>
        <v>0.94126088124812635</v>
      </c>
      <c r="AA14" s="233">
        <f t="shared" ca="1" si="11"/>
        <v>1.6149445758579992</v>
      </c>
      <c r="AB14" s="233">
        <f t="shared" ca="1" si="12"/>
        <v>3.1297375501124014</v>
      </c>
      <c r="AC14" s="233">
        <f t="shared" ca="1" si="13"/>
        <v>0.80747228792899961</v>
      </c>
      <c r="AD14" s="233">
        <f t="shared" ca="1" si="14"/>
        <v>1.2208775369267515</v>
      </c>
      <c r="AE14" s="233">
        <f t="shared" ca="1" si="15"/>
        <v>1.1830407939424878</v>
      </c>
      <c r="AF14" s="233">
        <f t="shared" ca="1" si="16"/>
        <v>2.2628002487312662</v>
      </c>
      <c r="AG14" s="233">
        <f t="shared" ca="1" si="17"/>
        <v>0.59152039697124392</v>
      </c>
      <c r="AH14" s="233">
        <f t="shared" ca="1" si="18"/>
        <v>1.9749489567932745</v>
      </c>
      <c r="AI14" s="233">
        <f t="shared" ca="1" si="19"/>
        <v>2.8793585461034095</v>
      </c>
      <c r="AJ14" s="233">
        <f t="shared" ca="1" si="20"/>
        <v>1.2957113457465341</v>
      </c>
      <c r="AK14" s="233">
        <f t="shared" ca="1" si="21"/>
        <v>0.85666617086877106</v>
      </c>
      <c r="AL14" s="233">
        <f t="shared" ca="1" si="22"/>
        <v>1.2522856794660919</v>
      </c>
      <c r="AM14" s="233">
        <f t="shared" ca="1" si="23"/>
        <v>2.3598221127847507</v>
      </c>
      <c r="AN14" s="233">
        <f t="shared" ca="1" si="24"/>
        <v>2.2158541854795799</v>
      </c>
      <c r="AO14" s="233">
        <f t="shared" ca="1" si="25"/>
        <v>0.35566617086877106</v>
      </c>
      <c r="AP14" s="233">
        <f t="shared" ca="1" si="26"/>
        <v>0.6853644144323715</v>
      </c>
      <c r="AQ14" s="233">
        <f t="shared" ca="1" si="27"/>
        <v>0.84502913853034844</v>
      </c>
      <c r="AR14" s="233">
        <f t="shared" ca="1" si="28"/>
        <v>1.8590641047667664</v>
      </c>
      <c r="AS14" s="233">
        <f t="shared" ca="1" si="29"/>
        <v>0.42251456926517422</v>
      </c>
      <c r="AT14" s="233">
        <f t="shared" ca="1" si="30"/>
        <v>4.842472247306107</v>
      </c>
      <c r="AU14" s="233">
        <f t="shared" ca="1" si="31"/>
        <v>0.79686588151461224</v>
      </c>
      <c r="AV14" s="233">
        <f t="shared" ca="1" si="32"/>
        <v>2.3150131021829332</v>
      </c>
      <c r="AW14" s="233">
        <f t="shared" ca="1" si="33"/>
        <v>0.39843294075730612</v>
      </c>
      <c r="AX14" s="233">
        <f t="shared" ca="1" si="34"/>
        <v>0.59152039697124392</v>
      </c>
      <c r="AY14" s="233">
        <f t="shared" ca="1" si="35"/>
        <v>1.2518950200449606</v>
      </c>
      <c r="AZ14" s="233">
        <f t="shared" ca="1" si="36"/>
        <v>0.29576019848562196</v>
      </c>
      <c r="BA14" s="233">
        <f t="shared" ca="1" si="37"/>
        <v>5.1297375501124014</v>
      </c>
      <c r="BB14" s="233">
        <f t="shared" ca="1" si="38"/>
        <v>1.5508236001784377</v>
      </c>
      <c r="BC14" s="233">
        <f t="shared" ca="1" si="39"/>
        <v>4.0074853901119329</v>
      </c>
      <c r="BD14" s="233">
        <f t="shared" ca="1" si="40"/>
        <v>0.77541180008921884</v>
      </c>
      <c r="BE14" s="233">
        <f t="shared" ca="1" si="41"/>
        <v>0.91075362708270879</v>
      </c>
      <c r="BF14" s="233">
        <f t="shared" ca="1" si="42"/>
        <v>1.0891486674391155</v>
      </c>
      <c r="BG14" s="233">
        <f t="shared" ca="1" si="43"/>
        <v>4.5192987816490255</v>
      </c>
      <c r="BH14" s="233">
        <f t="shared" ca="1" si="44"/>
        <v>3.1533366820499249</v>
      </c>
      <c r="BI14" s="233">
        <f t="shared" ca="1" si="45"/>
        <v>1.4772667495770886</v>
      </c>
      <c r="BJ14" s="233">
        <f t="shared" ca="1" si="46"/>
        <v>1.5179227118045147</v>
      </c>
      <c r="BK14" s="233">
        <f t="shared" ca="1" si="47"/>
        <v>0.82625071322967403</v>
      </c>
      <c r="BL14" s="233">
        <f t="shared" ca="1" si="48"/>
        <v>1.9544300065928251</v>
      </c>
      <c r="BM14" s="233">
        <f t="shared" ca="1" si="49"/>
        <v>2.6653906187982388</v>
      </c>
      <c r="BN14" s="233">
        <f t="shared" ca="1" si="50"/>
        <v>0.31874635260584488</v>
      </c>
      <c r="BO14" s="233">
        <f t="shared" ca="1" si="51"/>
        <v>0.56335275902023219</v>
      </c>
      <c r="BP14" s="233">
        <f t="shared" ca="1" si="52"/>
        <v>0.21282215340764332</v>
      </c>
      <c r="BQ14" s="233">
        <f t="shared" ca="1" si="53"/>
        <v>1.5645699527842825</v>
      </c>
      <c r="BR14" s="233">
        <f t="shared" ca="1" si="54"/>
        <v>3.8828424894445481</v>
      </c>
      <c r="BS14" s="233">
        <f t="shared" ca="1" si="55"/>
        <v>0.82751456926517419</v>
      </c>
      <c r="BT14" s="233">
        <f t="shared" ca="1" si="56"/>
        <v>0.8888454642319219</v>
      </c>
      <c r="BU14" s="233">
        <f t="shared" ca="1" si="57"/>
        <v>0.76365596222742593</v>
      </c>
      <c r="BV14" s="233">
        <f t="shared" ca="1" si="58"/>
        <v>2.3340305853011429</v>
      </c>
      <c r="BW14" s="233">
        <f t="shared" ca="1" si="59"/>
        <v>3.3357492055245408</v>
      </c>
      <c r="BX14" s="233">
        <f t="shared" ca="1" si="60"/>
        <v>0.74169824356360059</v>
      </c>
      <c r="BY14" s="233">
        <f t="shared" ca="1" si="61"/>
        <v>0.8888454642319219</v>
      </c>
      <c r="BZ14" s="233">
        <f t="shared" ca="1" si="62"/>
        <v>0.76365596222742593</v>
      </c>
      <c r="CA14" s="233">
        <f t="shared" ca="1" si="63"/>
        <v>3.2368643941209254</v>
      </c>
      <c r="CB14" s="233">
        <f t="shared" ca="1" si="64"/>
        <v>2.6781151073505995</v>
      </c>
      <c r="CC14" s="233">
        <f t="shared" ca="1" si="65"/>
        <v>0.90720115741663532</v>
      </c>
      <c r="CD14" s="233">
        <f t="shared" ca="1" si="66"/>
        <v>2.0826734453456353</v>
      </c>
      <c r="CE14" s="233">
        <f t="shared" ca="1" si="67"/>
        <v>2.9985932636085608</v>
      </c>
      <c r="CF14" s="233">
        <f t="shared" ca="1" si="68"/>
        <v>8.6510844814265635</v>
      </c>
      <c r="CG14" s="233">
        <f t="shared" ca="1" si="69"/>
        <v>2.9985932636085608</v>
      </c>
      <c r="CH14" s="233">
        <f t="shared" ca="1" si="70"/>
        <v>3.9685442293206448</v>
      </c>
      <c r="CI14" s="233">
        <f t="shared" ca="1" si="71"/>
        <v>11.391610706103876</v>
      </c>
      <c r="CJ14" s="233">
        <f t="shared" ca="1" si="72"/>
        <v>3.9685442293206448</v>
      </c>
      <c r="CK14" s="233">
        <f t="shared" ca="1" si="73"/>
        <v>1.2824343875281004</v>
      </c>
    </row>
    <row r="15" spans="1:89" x14ac:dyDescent="0.25">
      <c r="A15" t="str">
        <f>PLANTILLA!D16</f>
        <v>G. Piscaer</v>
      </c>
      <c r="B15" s="589">
        <f>PLANTILLA!E16</f>
        <v>18</v>
      </c>
      <c r="C15" s="298">
        <f ca="1">PLANTILLA!F16</f>
        <v>79</v>
      </c>
      <c r="D15" s="589" t="str">
        <f>PLANTILLA!G16</f>
        <v>IMP</v>
      </c>
      <c r="E15" s="518">
        <f>PLANTILLA!O16</f>
        <v>43630</v>
      </c>
      <c r="F15" s="298">
        <f>PLANTILLA!Q16</f>
        <v>4</v>
      </c>
      <c r="G15" s="346">
        <f t="shared" si="0"/>
        <v>0.7559289460184544</v>
      </c>
      <c r="H15" s="346">
        <f t="shared" si="1"/>
        <v>0.84430867747355465</v>
      </c>
      <c r="I15" s="425">
        <f ca="1">PLANTILLA!P16</f>
        <v>5.8676102278042847E-2</v>
      </c>
      <c r="J15" s="426">
        <f>PLANTILLA!I16</f>
        <v>1.8</v>
      </c>
      <c r="K15" s="152">
        <f>PLANTILLA!X16</f>
        <v>0</v>
      </c>
      <c r="L15" s="152">
        <f>PLANTILLA!Y16</f>
        <v>4</v>
      </c>
      <c r="M15" s="152">
        <f>PLANTILLA!Z16</f>
        <v>8</v>
      </c>
      <c r="N15" s="152">
        <f>PLANTILLA!AA16</f>
        <v>3</v>
      </c>
      <c r="O15" s="152">
        <f>PLANTILLA!AB16</f>
        <v>2</v>
      </c>
      <c r="P15" s="152">
        <f>PLANTILLA!AC16</f>
        <v>8</v>
      </c>
      <c r="Q15" s="152">
        <f>PLANTILLA!AD16</f>
        <v>0</v>
      </c>
      <c r="R15" s="426">
        <f t="shared" si="2"/>
        <v>1.375</v>
      </c>
      <c r="S15" s="426">
        <f t="shared" ca="1" si="3"/>
        <v>6.5618771677388832</v>
      </c>
      <c r="T15" s="152">
        <f t="shared" si="4"/>
        <v>0.4</v>
      </c>
      <c r="U15" s="152">
        <f t="shared" si="5"/>
        <v>0.16</v>
      </c>
      <c r="V15" s="426">
        <f t="shared" ca="1" si="6"/>
        <v>0.33976911085787581</v>
      </c>
      <c r="W15" s="426">
        <f t="shared" ca="1" si="7"/>
        <v>0.37949335072528811</v>
      </c>
      <c r="X15" s="233">
        <f t="shared" ca="1" si="8"/>
        <v>1.4523614332289796</v>
      </c>
      <c r="Y15" s="233">
        <f t="shared" ca="1" si="9"/>
        <v>2.2151599201587775</v>
      </c>
      <c r="Z15" s="233">
        <f t="shared" ca="1" si="10"/>
        <v>1.4523614332289796</v>
      </c>
      <c r="AA15" s="233">
        <f t="shared" ca="1" si="11"/>
        <v>2.2699043522865447</v>
      </c>
      <c r="AB15" s="233">
        <f t="shared" ca="1" si="12"/>
        <v>4.3990394424157842</v>
      </c>
      <c r="AC15" s="233">
        <f t="shared" ca="1" si="13"/>
        <v>1.1349521761432724</v>
      </c>
      <c r="AD15" s="233">
        <f t="shared" ca="1" si="14"/>
        <v>1.9989713872949566</v>
      </c>
      <c r="AE15" s="233">
        <f t="shared" ca="1" si="15"/>
        <v>1.6628369092331665</v>
      </c>
      <c r="AF15" s="233">
        <f t="shared" ca="1" si="16"/>
        <v>3.1805055168666119</v>
      </c>
      <c r="AG15" s="233">
        <f t="shared" ca="1" si="17"/>
        <v>0.83141845461658326</v>
      </c>
      <c r="AH15" s="233">
        <f t="shared" ca="1" si="18"/>
        <v>3.2336301853300768</v>
      </c>
      <c r="AI15" s="233">
        <f t="shared" ca="1" si="19"/>
        <v>4.0471162870225212</v>
      </c>
      <c r="AJ15" s="233">
        <f t="shared" ca="1" si="20"/>
        <v>1.8212023291601345</v>
      </c>
      <c r="AK15" s="233">
        <f t="shared" ca="1" si="21"/>
        <v>1.402639586883436</v>
      </c>
      <c r="AL15" s="233">
        <f t="shared" ca="1" si="22"/>
        <v>1.998635192140481</v>
      </c>
      <c r="AM15" s="233">
        <f t="shared" ca="1" si="23"/>
        <v>3.3168757395815014</v>
      </c>
      <c r="AN15" s="233">
        <f t="shared" ca="1" si="24"/>
        <v>3.114519925230375</v>
      </c>
      <c r="AO15" s="233">
        <f t="shared" ca="1" si="25"/>
        <v>6.6639586883435978E-2</v>
      </c>
      <c r="AP15" s="233">
        <f t="shared" ca="1" si="26"/>
        <v>0.51092335941574585</v>
      </c>
      <c r="AQ15" s="233">
        <f t="shared" ca="1" si="27"/>
        <v>1.1877406494522618</v>
      </c>
      <c r="AR15" s="233">
        <f t="shared" ca="1" si="28"/>
        <v>2.6130294287949756</v>
      </c>
      <c r="AS15" s="233">
        <f t="shared" ca="1" si="29"/>
        <v>0.59387032472613088</v>
      </c>
      <c r="AT15" s="233">
        <f t="shared" ca="1" si="30"/>
        <v>7.9286932336404998</v>
      </c>
      <c r="AU15" s="233">
        <f t="shared" ca="1" si="31"/>
        <v>0.31187512751405194</v>
      </c>
      <c r="AV15" s="233">
        <f t="shared" ca="1" si="32"/>
        <v>1.7409185566278247</v>
      </c>
      <c r="AW15" s="233">
        <f t="shared" ca="1" si="33"/>
        <v>0.15593756375702597</v>
      </c>
      <c r="AX15" s="233">
        <f t="shared" ca="1" si="34"/>
        <v>0.83141845461658326</v>
      </c>
      <c r="AY15" s="233">
        <f t="shared" ca="1" si="35"/>
        <v>1.7596157769663137</v>
      </c>
      <c r="AZ15" s="233">
        <f t="shared" ca="1" si="36"/>
        <v>0.41570922730829163</v>
      </c>
      <c r="BA15" s="233">
        <f t="shared" ca="1" si="37"/>
        <v>8.3990394424157842</v>
      </c>
      <c r="BB15" s="233">
        <f t="shared" ca="1" si="38"/>
        <v>0.60695697893119338</v>
      </c>
      <c r="BC15" s="233">
        <f t="shared" ca="1" si="39"/>
        <v>2.581870732771097</v>
      </c>
      <c r="BD15" s="233">
        <f t="shared" ca="1" si="40"/>
        <v>0.30347848946559669</v>
      </c>
      <c r="BE15" s="233">
        <f t="shared" ca="1" si="41"/>
        <v>1.2801204777429931</v>
      </c>
      <c r="BF15" s="233">
        <f t="shared" ca="1" si="42"/>
        <v>1.5308657259606928</v>
      </c>
      <c r="BG15" s="233">
        <f t="shared" ca="1" si="43"/>
        <v>7.3995537487683061</v>
      </c>
      <c r="BH15" s="233">
        <f t="shared" ca="1" si="44"/>
        <v>2.706746064307632</v>
      </c>
      <c r="BI15" s="233">
        <f t="shared" ca="1" si="45"/>
        <v>0.57816850562220401</v>
      </c>
      <c r="BJ15" s="233">
        <f t="shared" ca="1" si="46"/>
        <v>2.1335341295716552</v>
      </c>
      <c r="BK15" s="233">
        <f t="shared" ca="1" si="47"/>
        <v>1.1613464127977671</v>
      </c>
      <c r="BL15" s="233">
        <f t="shared" ca="1" si="48"/>
        <v>3.200034027560414</v>
      </c>
      <c r="BM15" s="233">
        <f t="shared" ca="1" si="49"/>
        <v>2.7697604726713956</v>
      </c>
      <c r="BN15" s="233">
        <f t="shared" ca="1" si="50"/>
        <v>0.12475005100562077</v>
      </c>
      <c r="BO15" s="233">
        <f t="shared" ca="1" si="51"/>
        <v>0.7918270996348411</v>
      </c>
      <c r="BP15" s="233">
        <f t="shared" ca="1" si="52"/>
        <v>0.29913468208427335</v>
      </c>
      <c r="BQ15" s="233">
        <f t="shared" ca="1" si="53"/>
        <v>2.5617070299368141</v>
      </c>
      <c r="BR15" s="233">
        <f t="shared" ca="1" si="54"/>
        <v>4.0851647229466987</v>
      </c>
      <c r="BS15" s="233">
        <f t="shared" ca="1" si="55"/>
        <v>0.32387032472613086</v>
      </c>
      <c r="BT15" s="233">
        <f t="shared" ca="1" si="56"/>
        <v>1.2493272016460826</v>
      </c>
      <c r="BU15" s="233">
        <f t="shared" ca="1" si="57"/>
        <v>1.0733656239494513</v>
      </c>
      <c r="BV15" s="233">
        <f t="shared" ca="1" si="58"/>
        <v>3.8215629462991818</v>
      </c>
      <c r="BW15" s="233">
        <f t="shared" ca="1" si="59"/>
        <v>3.5221357021966888</v>
      </c>
      <c r="BX15" s="233">
        <f t="shared" ca="1" si="60"/>
        <v>0.29028377253230986</v>
      </c>
      <c r="BY15" s="233">
        <f t="shared" ca="1" si="61"/>
        <v>1.2493272016460826</v>
      </c>
      <c r="BZ15" s="233">
        <f t="shared" ca="1" si="62"/>
        <v>1.0733656239494513</v>
      </c>
      <c r="CA15" s="233">
        <f t="shared" ca="1" si="63"/>
        <v>5.29979388816436</v>
      </c>
      <c r="CB15" s="233">
        <f t="shared" ca="1" si="64"/>
        <v>2.8491403009621266</v>
      </c>
      <c r="CC15" s="233">
        <f t="shared" ca="1" si="65"/>
        <v>0.35505783747753605</v>
      </c>
      <c r="CD15" s="233">
        <f t="shared" ca="1" si="66"/>
        <v>3.4100100136208087</v>
      </c>
      <c r="CE15" s="233">
        <f t="shared" ca="1" si="67"/>
        <v>2.1558995494986233</v>
      </c>
      <c r="CF15" s="233">
        <f t="shared" ca="1" si="68"/>
        <v>6.1993184121601725</v>
      </c>
      <c r="CG15" s="233">
        <f t="shared" ca="1" si="69"/>
        <v>2.1558995494986233</v>
      </c>
      <c r="CH15" s="233">
        <f t="shared" ca="1" si="70"/>
        <v>3.5203457860327427</v>
      </c>
      <c r="CI15" s="233">
        <f t="shared" ca="1" si="71"/>
        <v>9.2842849966672087</v>
      </c>
      <c r="CJ15" s="233">
        <f t="shared" ca="1" si="72"/>
        <v>3.5203457860327427</v>
      </c>
      <c r="CK15" s="233">
        <f t="shared" ca="1" si="73"/>
        <v>2.099759860603946</v>
      </c>
    </row>
    <row r="16" spans="1:89" x14ac:dyDescent="0.25">
      <c r="A16" t="str">
        <f>PLANTILLA!D17</f>
        <v>M. Bondarewski</v>
      </c>
      <c r="B16" s="589">
        <f>PLANTILLA!E17</f>
        <v>18</v>
      </c>
      <c r="C16" s="298">
        <f ca="1">PLANTILLA!F17</f>
        <v>79</v>
      </c>
      <c r="D16" s="589" t="str">
        <f>PLANTILLA!G17</f>
        <v>RAP</v>
      </c>
      <c r="E16" s="518">
        <f>PLANTILLA!O17</f>
        <v>43627</v>
      </c>
      <c r="F16" s="298">
        <f>PLANTILLA!Q17</f>
        <v>6</v>
      </c>
      <c r="G16" s="346">
        <f t="shared" si="0"/>
        <v>0.92582009977255142</v>
      </c>
      <c r="H16" s="346">
        <f t="shared" si="1"/>
        <v>0.99928545900129484</v>
      </c>
      <c r="I16" s="425">
        <f ca="1">PLANTILLA!P17</f>
        <v>8.394708266038052E-2</v>
      </c>
      <c r="J16" s="426">
        <f>PLANTILLA!I17</f>
        <v>1.6</v>
      </c>
      <c r="K16" s="152">
        <f>PLANTILLA!X17</f>
        <v>0</v>
      </c>
      <c r="L16" s="152">
        <f>PLANTILLA!Y17</f>
        <v>2</v>
      </c>
      <c r="M16" s="152">
        <f>PLANTILLA!Z17</f>
        <v>8.1999999999999993</v>
      </c>
      <c r="N16" s="152">
        <f>PLANTILLA!AA17</f>
        <v>5</v>
      </c>
      <c r="O16" s="152">
        <f>PLANTILLA!AB17</f>
        <v>4</v>
      </c>
      <c r="P16" s="152">
        <f>PLANTILLA!AC17</f>
        <v>8</v>
      </c>
      <c r="Q16" s="152">
        <f>PLANTILLA!AD17</f>
        <v>6</v>
      </c>
      <c r="R16" s="426">
        <f t="shared" si="2"/>
        <v>1.625</v>
      </c>
      <c r="S16" s="426">
        <f t="shared" ca="1" si="3"/>
        <v>9.7669966015722327</v>
      </c>
      <c r="T16" s="152">
        <f t="shared" si="4"/>
        <v>0.57999999999999996</v>
      </c>
      <c r="U16" s="152">
        <f t="shared" si="5"/>
        <v>0.25999999999999995</v>
      </c>
      <c r="V16" s="426">
        <f t="shared" ca="1" si="6"/>
        <v>5.9405223965356271</v>
      </c>
      <c r="W16" s="426">
        <f t="shared" ca="1" si="7"/>
        <v>6.4119126936085715</v>
      </c>
      <c r="X16" s="233">
        <f t="shared" ca="1" si="8"/>
        <v>0.86288146297400869</v>
      </c>
      <c r="Y16" s="233">
        <f t="shared" ca="1" si="9"/>
        <v>1.3097342138596164</v>
      </c>
      <c r="Z16" s="233">
        <f t="shared" ca="1" si="10"/>
        <v>0.86288146297400869</v>
      </c>
      <c r="AA16" s="233">
        <f t="shared" ca="1" si="11"/>
        <v>1.2157512427200325</v>
      </c>
      <c r="AB16" s="233">
        <f t="shared" ca="1" si="12"/>
        <v>2.3561070595349469</v>
      </c>
      <c r="AC16" s="233">
        <f t="shared" ca="1" si="13"/>
        <v>0.60787562136001627</v>
      </c>
      <c r="AD16" s="233">
        <f t="shared" ca="1" si="14"/>
        <v>2.0363534801693168</v>
      </c>
      <c r="AE16" s="233">
        <f t="shared" ca="1" si="15"/>
        <v>0.89060846850420994</v>
      </c>
      <c r="AF16" s="233">
        <f t="shared" ca="1" si="16"/>
        <v>1.7034654040437667</v>
      </c>
      <c r="AG16" s="233">
        <f t="shared" ca="1" si="17"/>
        <v>0.44530423425210497</v>
      </c>
      <c r="AH16" s="233">
        <f t="shared" ca="1" si="18"/>
        <v>3.2941012179209537</v>
      </c>
      <c r="AI16" s="233">
        <f t="shared" ca="1" si="19"/>
        <v>2.1676184947721513</v>
      </c>
      <c r="AJ16" s="233">
        <f t="shared" ca="1" si="20"/>
        <v>0.97542832264746793</v>
      </c>
      <c r="AK16" s="233">
        <f t="shared" ca="1" si="21"/>
        <v>1.428869878942336</v>
      </c>
      <c r="AL16" s="233">
        <f t="shared" ca="1" si="22"/>
        <v>3.1493909510065485</v>
      </c>
      <c r="AM16" s="233">
        <f t="shared" ca="1" si="23"/>
        <v>1.77650472288935</v>
      </c>
      <c r="AN16" s="233">
        <f t="shared" ca="1" si="24"/>
        <v>1.6681237981507424</v>
      </c>
      <c r="AO16" s="233">
        <f t="shared" ca="1" si="25"/>
        <v>1.061469878942336</v>
      </c>
      <c r="AP16" s="233">
        <f t="shared" ca="1" si="26"/>
        <v>0.5705588331460647</v>
      </c>
      <c r="AQ16" s="233">
        <f t="shared" ca="1" si="27"/>
        <v>0.63614890607443575</v>
      </c>
      <c r="AR16" s="233">
        <f t="shared" ca="1" si="28"/>
        <v>1.3995275933637583</v>
      </c>
      <c r="AS16" s="233">
        <f t="shared" ca="1" si="29"/>
        <v>0.31807445303721787</v>
      </c>
      <c r="AT16" s="233">
        <f t="shared" ca="1" si="30"/>
        <v>8.0769650642009871</v>
      </c>
      <c r="AU16" s="233">
        <f t="shared" ca="1" si="31"/>
        <v>0.56629391773954307</v>
      </c>
      <c r="AV16" s="233">
        <f t="shared" ca="1" si="32"/>
        <v>1.9683393684437389</v>
      </c>
      <c r="AW16" s="233">
        <f t="shared" ca="1" si="33"/>
        <v>0.28314695886977154</v>
      </c>
      <c r="AX16" s="233">
        <f t="shared" ca="1" si="34"/>
        <v>0.44530423425210497</v>
      </c>
      <c r="AY16" s="233">
        <f t="shared" ca="1" si="35"/>
        <v>0.94244282381397881</v>
      </c>
      <c r="AZ16" s="233">
        <f t="shared" ca="1" si="36"/>
        <v>0.22265211712605248</v>
      </c>
      <c r="BA16" s="233">
        <f t="shared" ca="1" si="37"/>
        <v>8.5561070595349449</v>
      </c>
      <c r="BB16" s="233">
        <f t="shared" ca="1" si="38"/>
        <v>1.1020950860623415</v>
      </c>
      <c r="BC16" s="233">
        <f t="shared" ca="1" si="39"/>
        <v>3.2402149898037553</v>
      </c>
      <c r="BD16" s="233">
        <f t="shared" ca="1" si="40"/>
        <v>0.55104754303117076</v>
      </c>
      <c r="BE16" s="233">
        <f t="shared" ca="1" si="41"/>
        <v>0.68562715432466947</v>
      </c>
      <c r="BF16" s="233">
        <f t="shared" ca="1" si="42"/>
        <v>0.81992525671816152</v>
      </c>
      <c r="BG16" s="233">
        <f t="shared" ca="1" si="43"/>
        <v>7.5379303194502869</v>
      </c>
      <c r="BH16" s="233">
        <f t="shared" ca="1" si="44"/>
        <v>4.4465791759265674</v>
      </c>
      <c r="BI16" s="233">
        <f t="shared" ca="1" si="45"/>
        <v>1.0498218013479221</v>
      </c>
      <c r="BJ16" s="233">
        <f t="shared" ca="1" si="46"/>
        <v>1.1427119238744492</v>
      </c>
      <c r="BK16" s="233">
        <f t="shared" ca="1" si="47"/>
        <v>0.62201226371722607</v>
      </c>
      <c r="BL16" s="233">
        <f t="shared" ca="1" si="48"/>
        <v>3.259876789682814</v>
      </c>
      <c r="BM16" s="233">
        <f t="shared" ca="1" si="49"/>
        <v>4.4802375700335428</v>
      </c>
      <c r="BN16" s="233">
        <f t="shared" ca="1" si="50"/>
        <v>0.22651756709581722</v>
      </c>
      <c r="BO16" s="233">
        <f t="shared" ca="1" si="51"/>
        <v>0.42409927071629044</v>
      </c>
      <c r="BP16" s="233">
        <f t="shared" ca="1" si="52"/>
        <v>0.1602152800483764</v>
      </c>
      <c r="BQ16" s="233">
        <f t="shared" ca="1" si="53"/>
        <v>2.609612653158158</v>
      </c>
      <c r="BR16" s="233">
        <f t="shared" ca="1" si="54"/>
        <v>6.6019536785619408</v>
      </c>
      <c r="BS16" s="233">
        <f t="shared" ca="1" si="55"/>
        <v>0.58807445303721784</v>
      </c>
      <c r="BT16" s="233">
        <f t="shared" ca="1" si="56"/>
        <v>0.66913440490792486</v>
      </c>
      <c r="BU16" s="233">
        <f t="shared" ca="1" si="57"/>
        <v>0.57489012252652705</v>
      </c>
      <c r="BV16" s="233">
        <f t="shared" ca="1" si="58"/>
        <v>3.8930287120884</v>
      </c>
      <c r="BW16" s="233">
        <f t="shared" ca="1" si="59"/>
        <v>5.6905666219647211</v>
      </c>
      <c r="BX16" s="233">
        <f t="shared" ca="1" si="60"/>
        <v>0.52708895420372848</v>
      </c>
      <c r="BY16" s="233">
        <f t="shared" ca="1" si="61"/>
        <v>0.66913440490792486</v>
      </c>
      <c r="BZ16" s="233">
        <f t="shared" ca="1" si="62"/>
        <v>0.57489012252652705</v>
      </c>
      <c r="CA16" s="233">
        <f t="shared" ca="1" si="63"/>
        <v>5.3989035545665507</v>
      </c>
      <c r="CB16" s="233">
        <f t="shared" ca="1" si="64"/>
        <v>4.6007158182837768</v>
      </c>
      <c r="CC16" s="233">
        <f t="shared" ca="1" si="65"/>
        <v>0.64470384481117204</v>
      </c>
      <c r="CD16" s="233">
        <f t="shared" ca="1" si="66"/>
        <v>3.4737794661711878</v>
      </c>
      <c r="CE16" s="233">
        <f t="shared" ca="1" si="67"/>
        <v>2.921531778017707</v>
      </c>
      <c r="CF16" s="233">
        <f t="shared" ca="1" si="68"/>
        <v>7.2369765490363491</v>
      </c>
      <c r="CG16" s="233">
        <f t="shared" ca="1" si="69"/>
        <v>2.921531778017707</v>
      </c>
      <c r="CH16" s="233">
        <f t="shared" ca="1" si="70"/>
        <v>4.2130284565985727</v>
      </c>
      <c r="CI16" s="233">
        <f t="shared" ca="1" si="71"/>
        <v>9.9635105645033413</v>
      </c>
      <c r="CJ16" s="233">
        <f t="shared" ca="1" si="72"/>
        <v>4.2130284565985727</v>
      </c>
      <c r="CK16" s="233">
        <f t="shared" ca="1" si="73"/>
        <v>2.1390267648837362</v>
      </c>
    </row>
    <row r="17" spans="1:89" x14ac:dyDescent="0.25">
      <c r="A17" t="str">
        <f>PLANTILLA!D18</f>
        <v>J. Vartiainen</v>
      </c>
      <c r="B17" s="589">
        <f>PLANTILLA!E18</f>
        <v>19</v>
      </c>
      <c r="C17" s="298">
        <f ca="1">PLANTILLA!F18</f>
        <v>13</v>
      </c>
      <c r="D17" s="589" t="str">
        <f>PLANTILLA!G18</f>
        <v>CAB</v>
      </c>
      <c r="E17" s="518">
        <f>PLANTILLA!O18</f>
        <v>43628</v>
      </c>
      <c r="F17" s="298">
        <f>PLANTILLA!Q18</f>
        <v>6</v>
      </c>
      <c r="G17" s="346">
        <f t="shared" si="0"/>
        <v>0.92582009977255142</v>
      </c>
      <c r="H17" s="346">
        <f t="shared" si="1"/>
        <v>0.99928545900129484</v>
      </c>
      <c r="I17" s="425">
        <f ca="1">PLANTILLA!P18</f>
        <v>7.6060585239192346E-2</v>
      </c>
      <c r="J17" s="426">
        <f>PLANTILLA!I18</f>
        <v>0.3</v>
      </c>
      <c r="K17" s="152">
        <f>PLANTILLA!X18</f>
        <v>0</v>
      </c>
      <c r="L17" s="152">
        <f>PLANTILLA!Y18</f>
        <v>7</v>
      </c>
      <c r="M17" s="152">
        <f>PLANTILLA!Z18</f>
        <v>7.1111111111111107</v>
      </c>
      <c r="N17" s="152">
        <f>PLANTILLA!AA18</f>
        <v>1</v>
      </c>
      <c r="O17" s="152">
        <f>PLANTILLA!AB18</f>
        <v>1</v>
      </c>
      <c r="P17" s="152">
        <f>PLANTILLA!AC18</f>
        <v>6</v>
      </c>
      <c r="Q17" s="152">
        <f>PLANTILLA!AD18</f>
        <v>1</v>
      </c>
      <c r="R17" s="426">
        <f t="shared" si="2"/>
        <v>1.5</v>
      </c>
      <c r="S17" s="426">
        <f t="shared" ca="1" si="3"/>
        <v>1.5373445239525534</v>
      </c>
      <c r="T17" s="152">
        <f t="shared" si="4"/>
        <v>0.32999999999999996</v>
      </c>
      <c r="U17" s="152">
        <f t="shared" si="5"/>
        <v>0.31</v>
      </c>
      <c r="V17" s="426">
        <f t="shared" ca="1" si="6"/>
        <v>0.40408247843304812</v>
      </c>
      <c r="W17" s="426">
        <f t="shared" ca="1" si="7"/>
        <v>0.43614709276084024</v>
      </c>
      <c r="X17" s="233">
        <f t="shared" ca="1" si="8"/>
        <v>1.3897700314075021</v>
      </c>
      <c r="Y17" s="233">
        <f t="shared" ca="1" si="9"/>
        <v>2.1731456020012425</v>
      </c>
      <c r="Z17" s="233">
        <f t="shared" ca="1" si="10"/>
        <v>1.3897700314075021</v>
      </c>
      <c r="AA17" s="233">
        <f t="shared" ca="1" si="11"/>
        <v>3.291506685230551</v>
      </c>
      <c r="AB17" s="233">
        <f t="shared" ca="1" si="12"/>
        <v>6.378888924865409</v>
      </c>
      <c r="AC17" s="233">
        <f t="shared" ca="1" si="13"/>
        <v>1.6457533426152755</v>
      </c>
      <c r="AD17" s="233">
        <f t="shared" ca="1" si="14"/>
        <v>1.5446200085624116</v>
      </c>
      <c r="AE17" s="233">
        <f t="shared" ca="1" si="15"/>
        <v>2.4112200135991246</v>
      </c>
      <c r="AF17" s="233">
        <f t="shared" ca="1" si="16"/>
        <v>4.6119366926776904</v>
      </c>
      <c r="AG17" s="233">
        <f t="shared" ca="1" si="17"/>
        <v>1.2056100067995623</v>
      </c>
      <c r="AH17" s="233">
        <f t="shared" ca="1" si="18"/>
        <v>2.49865001385096</v>
      </c>
      <c r="AI17" s="233">
        <f t="shared" ca="1" si="19"/>
        <v>5.8685778108761761</v>
      </c>
      <c r="AJ17" s="233">
        <f t="shared" ca="1" si="20"/>
        <v>2.6408600148942791</v>
      </c>
      <c r="AK17" s="233">
        <f t="shared" ca="1" si="21"/>
        <v>1.0838300060080788</v>
      </c>
      <c r="AL17" s="233">
        <f t="shared" ca="1" si="22"/>
        <v>0.22278668782086031</v>
      </c>
      <c r="AM17" s="233">
        <f t="shared" ca="1" si="23"/>
        <v>4.8096822493485183</v>
      </c>
      <c r="AN17" s="233">
        <f t="shared" ca="1" si="24"/>
        <v>4.5162533588047094</v>
      </c>
      <c r="AO17" s="233">
        <f t="shared" ca="1" si="25"/>
        <v>6.3274450452523251E-2</v>
      </c>
      <c r="AP17" s="233">
        <f t="shared" ca="1" si="26"/>
        <v>0.25312001036123771</v>
      </c>
      <c r="AQ17" s="233">
        <f t="shared" ca="1" si="27"/>
        <v>1.7223000097136605</v>
      </c>
      <c r="AR17" s="233">
        <f t="shared" ca="1" si="28"/>
        <v>3.7890600213700529</v>
      </c>
      <c r="AS17" s="233">
        <f t="shared" ca="1" si="29"/>
        <v>0.86115000485683024</v>
      </c>
      <c r="AT17" s="233">
        <f t="shared" ca="1" si="30"/>
        <v>6.1265600339618347</v>
      </c>
      <c r="AU17" s="233">
        <f t="shared" ca="1" si="31"/>
        <v>4.9255560232503132E-2</v>
      </c>
      <c r="AV17" s="233">
        <f t="shared" ca="1" si="32"/>
        <v>0.97601445498556472</v>
      </c>
      <c r="AW17" s="233">
        <f t="shared" ca="1" si="33"/>
        <v>2.4627780116251566E-2</v>
      </c>
      <c r="AX17" s="233">
        <f t="shared" ca="1" si="34"/>
        <v>1.2056100067995623</v>
      </c>
      <c r="AY17" s="233">
        <f t="shared" ca="1" si="35"/>
        <v>2.5515555699461636</v>
      </c>
      <c r="AZ17" s="233">
        <f t="shared" ca="1" si="36"/>
        <v>0.60280500339978116</v>
      </c>
      <c r="BA17" s="233">
        <f t="shared" ca="1" si="37"/>
        <v>6.4900000359765198</v>
      </c>
      <c r="BB17" s="233">
        <f t="shared" ca="1" si="38"/>
        <v>9.5858897990948405E-2</v>
      </c>
      <c r="BC17" s="233">
        <f t="shared" ca="1" si="39"/>
        <v>1.2587677976008402</v>
      </c>
      <c r="BD17" s="233">
        <f t="shared" ca="1" si="40"/>
        <v>4.7929448995474203E-2</v>
      </c>
      <c r="BE17" s="233">
        <f t="shared" ca="1" si="41"/>
        <v>1.856256677135834</v>
      </c>
      <c r="BF17" s="233">
        <f t="shared" ca="1" si="42"/>
        <v>2.2198533458531622</v>
      </c>
      <c r="BG17" s="233">
        <f t="shared" ca="1" si="43"/>
        <v>5.7176900316953141</v>
      </c>
      <c r="BH17" s="233">
        <f t="shared" ca="1" si="44"/>
        <v>0.33683225420534835</v>
      </c>
      <c r="BI17" s="233">
        <f t="shared" ca="1" si="45"/>
        <v>9.131223089256349E-2</v>
      </c>
      <c r="BJ17" s="233">
        <f t="shared" ca="1" si="46"/>
        <v>3.0937611285597235</v>
      </c>
      <c r="BK17" s="233">
        <f t="shared" ca="1" si="47"/>
        <v>1.684026676164468</v>
      </c>
      <c r="BL17" s="233">
        <f t="shared" ca="1" si="48"/>
        <v>2.4726900137070542</v>
      </c>
      <c r="BM17" s="233">
        <f t="shared" ca="1" si="49"/>
        <v>0.33114892033236726</v>
      </c>
      <c r="BN17" s="233">
        <f t="shared" ca="1" si="50"/>
        <v>1.9702224093001253E-2</v>
      </c>
      <c r="BO17" s="233">
        <f t="shared" ca="1" si="51"/>
        <v>1.1482000064757736</v>
      </c>
      <c r="BP17" s="233">
        <f t="shared" ca="1" si="52"/>
        <v>0.43376444689084787</v>
      </c>
      <c r="BQ17" s="233">
        <f t="shared" ca="1" si="53"/>
        <v>1.9794500109728386</v>
      </c>
      <c r="BR17" s="233">
        <f t="shared" ca="1" si="54"/>
        <v>0.4872511573769156</v>
      </c>
      <c r="BS17" s="233">
        <f t="shared" ca="1" si="55"/>
        <v>5.1150004856830175E-2</v>
      </c>
      <c r="BT17" s="233">
        <f t="shared" ca="1" si="56"/>
        <v>1.811604454661776</v>
      </c>
      <c r="BU17" s="233">
        <f t="shared" ca="1" si="57"/>
        <v>1.5564488976671598</v>
      </c>
      <c r="BV17" s="233">
        <f t="shared" ca="1" si="58"/>
        <v>2.9529500163693165</v>
      </c>
      <c r="BW17" s="233">
        <f t="shared" ca="1" si="59"/>
        <v>0.41980892875087283</v>
      </c>
      <c r="BX17" s="233">
        <f t="shared" ca="1" si="60"/>
        <v>4.5845559908714452E-2</v>
      </c>
      <c r="BY17" s="233">
        <f t="shared" ca="1" si="61"/>
        <v>1.811604454661776</v>
      </c>
      <c r="BZ17" s="233">
        <f t="shared" ca="1" si="62"/>
        <v>1.5564488976671598</v>
      </c>
      <c r="CA17" s="233">
        <f t="shared" ca="1" si="63"/>
        <v>4.0951900227011837</v>
      </c>
      <c r="CB17" s="233">
        <f t="shared" ca="1" si="64"/>
        <v>0.3391055877545408</v>
      </c>
      <c r="CC17" s="233">
        <f t="shared" ca="1" si="65"/>
        <v>5.6075560880080484E-2</v>
      </c>
      <c r="CD17" s="233">
        <f t="shared" ca="1" si="66"/>
        <v>2.634940014606467</v>
      </c>
      <c r="CE17" s="233">
        <f t="shared" ca="1" si="67"/>
        <v>0.83240112985487802</v>
      </c>
      <c r="CF17" s="233">
        <f t="shared" ca="1" si="68"/>
        <v>3.3416289293984502</v>
      </c>
      <c r="CG17" s="233">
        <f t="shared" ca="1" si="69"/>
        <v>0.83240112985487802</v>
      </c>
      <c r="CH17" s="233">
        <f t="shared" ca="1" si="70"/>
        <v>1.7762720480289598</v>
      </c>
      <c r="CI17" s="233">
        <f t="shared" ca="1" si="71"/>
        <v>5.5186989381407452</v>
      </c>
      <c r="CJ17" s="233">
        <f t="shared" ca="1" si="72"/>
        <v>1.7762720480289598</v>
      </c>
      <c r="CK17" s="233">
        <f t="shared" ca="1" si="73"/>
        <v>1.6225000089941299</v>
      </c>
    </row>
    <row r="18" spans="1:89" x14ac:dyDescent="0.25">
      <c r="A18" t="str">
        <f>PLANTILLA!D19</f>
        <v>R. Forsyth</v>
      </c>
      <c r="B18" s="589">
        <f>PLANTILLA!E19</f>
        <v>19</v>
      </c>
      <c r="C18" s="298">
        <f ca="1">PLANTILLA!F19</f>
        <v>8</v>
      </c>
      <c r="D18" s="589" t="str">
        <f>PLANTILLA!G19</f>
        <v>POT</v>
      </c>
      <c r="E18" s="518">
        <f>PLANTILLA!O19</f>
        <v>43626</v>
      </c>
      <c r="F18" s="298">
        <f>PLANTILLA!Q19</f>
        <v>6</v>
      </c>
      <c r="G18" s="346">
        <f t="shared" si="0"/>
        <v>0.92582009977255142</v>
      </c>
      <c r="H18" s="346">
        <f t="shared" si="1"/>
        <v>0.99928545900129484</v>
      </c>
      <c r="I18" s="425">
        <f ca="1">PLANTILLA!P19</f>
        <v>9.1436681135175488E-2</v>
      </c>
      <c r="J18" s="426">
        <f>PLANTILLA!I19</f>
        <v>1.8</v>
      </c>
      <c r="K18" s="152">
        <f>PLANTILLA!X19</f>
        <v>0</v>
      </c>
      <c r="L18" s="152">
        <f>PLANTILLA!Y19</f>
        <v>7</v>
      </c>
      <c r="M18" s="152">
        <f>PLANTILLA!Z19</f>
        <v>7.2</v>
      </c>
      <c r="N18" s="152">
        <f>PLANTILLA!AA19</f>
        <v>2</v>
      </c>
      <c r="O18" s="152">
        <f>PLANTILLA!AB19</f>
        <v>4</v>
      </c>
      <c r="P18" s="152">
        <f>PLANTILLA!AC19</f>
        <v>6</v>
      </c>
      <c r="Q18" s="152">
        <f>PLANTILLA!AD19</f>
        <v>2</v>
      </c>
      <c r="R18" s="426">
        <f t="shared" si="2"/>
        <v>2.25</v>
      </c>
      <c r="S18" s="426">
        <f t="shared" ca="1" si="3"/>
        <v>4.4142780470131466</v>
      </c>
      <c r="T18" s="152">
        <f t="shared" si="4"/>
        <v>0.36</v>
      </c>
      <c r="U18" s="152">
        <f t="shared" si="5"/>
        <v>0.34</v>
      </c>
      <c r="V18" s="426">
        <f t="shared" ca="1" si="6"/>
        <v>2.3096125639274883</v>
      </c>
      <c r="W18" s="426">
        <f t="shared" ca="1" si="7"/>
        <v>2.4928841484716528</v>
      </c>
      <c r="X18" s="233">
        <f t="shared" ca="1" si="8"/>
        <v>2.3089614185712564</v>
      </c>
      <c r="Y18" s="233">
        <f t="shared" ca="1" si="9"/>
        <v>3.5324538274633359</v>
      </c>
      <c r="Z18" s="233">
        <f t="shared" ca="1" si="10"/>
        <v>2.3089614185712564</v>
      </c>
      <c r="AA18" s="233">
        <f t="shared" ca="1" si="11"/>
        <v>3.834808810976825</v>
      </c>
      <c r="AB18" s="233">
        <f t="shared" ca="1" si="12"/>
        <v>7.4318000212729167</v>
      </c>
      <c r="AC18" s="233">
        <f t="shared" ca="1" si="13"/>
        <v>1.9174044054884125</v>
      </c>
      <c r="AD18" s="233">
        <f t="shared" ca="1" si="14"/>
        <v>1.8163684050629541</v>
      </c>
      <c r="AE18" s="233">
        <f t="shared" ca="1" si="15"/>
        <v>2.8092204080411625</v>
      </c>
      <c r="AF18" s="233">
        <f t="shared" ca="1" si="16"/>
        <v>5.3731914153803189</v>
      </c>
      <c r="AG18" s="233">
        <f t="shared" ca="1" si="17"/>
        <v>1.4046102040205812</v>
      </c>
      <c r="AH18" s="233">
        <f t="shared" ca="1" si="18"/>
        <v>2.938243008190073</v>
      </c>
      <c r="AI18" s="233">
        <f t="shared" ca="1" si="19"/>
        <v>6.8372560195710834</v>
      </c>
      <c r="AJ18" s="233">
        <f t="shared" ca="1" si="20"/>
        <v>3.0767652088069872</v>
      </c>
      <c r="AK18" s="233">
        <f t="shared" ca="1" si="21"/>
        <v>1.2745106035525773</v>
      </c>
      <c r="AL18" s="233">
        <f t="shared" ca="1" si="22"/>
        <v>1.4298984125084753</v>
      </c>
      <c r="AM18" s="233">
        <f t="shared" ca="1" si="23"/>
        <v>5.6035772160397794</v>
      </c>
      <c r="AN18" s="233">
        <f t="shared" ca="1" si="24"/>
        <v>5.2617144150612249</v>
      </c>
      <c r="AO18" s="233">
        <f t="shared" ca="1" si="25"/>
        <v>0.40611060355257717</v>
      </c>
      <c r="AP18" s="233">
        <f t="shared" ca="1" si="26"/>
        <v>0.77235840612660012</v>
      </c>
      <c r="AQ18" s="233">
        <f t="shared" ca="1" si="27"/>
        <v>2.0065860057436877</v>
      </c>
      <c r="AR18" s="233">
        <f t="shared" ca="1" si="28"/>
        <v>4.4144892126361119</v>
      </c>
      <c r="AS18" s="233">
        <f t="shared" ca="1" si="29"/>
        <v>1.0032930028718439</v>
      </c>
      <c r="AT18" s="233">
        <f t="shared" ca="1" si="30"/>
        <v>7.2044192200816335</v>
      </c>
      <c r="AU18" s="233">
        <f t="shared" ca="1" si="31"/>
        <v>0.57613400276547921</v>
      </c>
      <c r="AV18" s="233">
        <f t="shared" ca="1" si="32"/>
        <v>1.6445174062329646</v>
      </c>
      <c r="AW18" s="233">
        <f t="shared" ca="1" si="33"/>
        <v>0.28806700138273961</v>
      </c>
      <c r="AX18" s="233">
        <f t="shared" ca="1" si="34"/>
        <v>1.4046102040205812</v>
      </c>
      <c r="AY18" s="233">
        <f t="shared" ca="1" si="35"/>
        <v>2.972720008509167</v>
      </c>
      <c r="AZ18" s="233">
        <f t="shared" ca="1" si="36"/>
        <v>0.70230510201029062</v>
      </c>
      <c r="BA18" s="233">
        <f t="shared" ca="1" si="37"/>
        <v>7.6318000212729169</v>
      </c>
      <c r="BB18" s="233">
        <f t="shared" ca="1" si="38"/>
        <v>1.121245405382048</v>
      </c>
      <c r="BC18" s="233">
        <f t="shared" ca="1" si="39"/>
        <v>2.8619218117213774</v>
      </c>
      <c r="BD18" s="233">
        <f t="shared" ca="1" si="40"/>
        <v>0.56062270269102399</v>
      </c>
      <c r="BE18" s="233">
        <f t="shared" ca="1" si="41"/>
        <v>2.1626538061904186</v>
      </c>
      <c r="BF18" s="233">
        <f t="shared" ca="1" si="42"/>
        <v>2.5862664074029746</v>
      </c>
      <c r="BG18" s="233">
        <f t="shared" ca="1" si="43"/>
        <v>6.7236158187414397</v>
      </c>
      <c r="BH18" s="233">
        <f t="shared" ca="1" si="44"/>
        <v>2.7918702189116233</v>
      </c>
      <c r="BI18" s="233">
        <f t="shared" ca="1" si="45"/>
        <v>1.0680638051267728</v>
      </c>
      <c r="BJ18" s="233">
        <f t="shared" ca="1" si="46"/>
        <v>3.6044230103173645</v>
      </c>
      <c r="BK18" s="233">
        <f t="shared" ca="1" si="47"/>
        <v>1.9619952056160501</v>
      </c>
      <c r="BL18" s="233">
        <f t="shared" ca="1" si="48"/>
        <v>2.9077158081049812</v>
      </c>
      <c r="BM18" s="233">
        <f t="shared" ca="1" si="49"/>
        <v>2.5273932185925299</v>
      </c>
      <c r="BN18" s="233">
        <f t="shared" ca="1" si="50"/>
        <v>0.23045360110619165</v>
      </c>
      <c r="BO18" s="233">
        <f t="shared" ca="1" si="51"/>
        <v>1.3377240038291249</v>
      </c>
      <c r="BP18" s="233">
        <f t="shared" ca="1" si="52"/>
        <v>0.50536240144655842</v>
      </c>
      <c r="BQ18" s="233">
        <f t="shared" ca="1" si="53"/>
        <v>2.3276990064882397</v>
      </c>
      <c r="BR18" s="233">
        <f t="shared" ca="1" si="54"/>
        <v>3.6992948273569715</v>
      </c>
      <c r="BS18" s="233">
        <f t="shared" ca="1" si="55"/>
        <v>0.59829300287184384</v>
      </c>
      <c r="BT18" s="233">
        <f t="shared" ca="1" si="56"/>
        <v>2.110631206041508</v>
      </c>
      <c r="BU18" s="233">
        <f t="shared" ca="1" si="57"/>
        <v>1.8133592051905916</v>
      </c>
      <c r="BV18" s="233">
        <f t="shared" ca="1" si="58"/>
        <v>3.4724690096791773</v>
      </c>
      <c r="BW18" s="233">
        <f t="shared" ca="1" si="59"/>
        <v>3.1824344235703919</v>
      </c>
      <c r="BX18" s="233">
        <f t="shared" ca="1" si="60"/>
        <v>0.53624780257402294</v>
      </c>
      <c r="BY18" s="233">
        <f t="shared" ca="1" si="61"/>
        <v>2.110631206041508</v>
      </c>
      <c r="BZ18" s="233">
        <f t="shared" ca="1" si="62"/>
        <v>1.8133592051905916</v>
      </c>
      <c r="CA18" s="233">
        <f t="shared" ca="1" si="63"/>
        <v>4.8156658134232107</v>
      </c>
      <c r="CB18" s="233">
        <f t="shared" ca="1" si="64"/>
        <v>2.5624610190392607</v>
      </c>
      <c r="CC18" s="233">
        <f t="shared" ca="1" si="65"/>
        <v>0.65590640314839166</v>
      </c>
      <c r="CD18" s="233">
        <f t="shared" ca="1" si="66"/>
        <v>3.0985108086368043</v>
      </c>
      <c r="CE18" s="233">
        <f t="shared" ca="1" si="67"/>
        <v>2.2749678110831897</v>
      </c>
      <c r="CF18" s="233">
        <f t="shared" ca="1" si="68"/>
        <v>6.1562068239533048</v>
      </c>
      <c r="CG18" s="233">
        <f t="shared" ca="1" si="69"/>
        <v>2.2749678110831897</v>
      </c>
      <c r="CH18" s="233">
        <f t="shared" ca="1" si="70"/>
        <v>3.0752378761578818</v>
      </c>
      <c r="CI18" s="233">
        <f t="shared" ca="1" si="71"/>
        <v>8.0671342291226225</v>
      </c>
      <c r="CJ18" s="233">
        <f t="shared" ca="1" si="72"/>
        <v>3.0752378761578818</v>
      </c>
      <c r="CK18" s="233">
        <f t="shared" ca="1" si="73"/>
        <v>1.9079500053182292</v>
      </c>
    </row>
    <row r="19" spans="1:89" x14ac:dyDescent="0.25">
      <c r="A19" t="str">
        <f>PLANTILLA!D20</f>
        <v>K. Nelson</v>
      </c>
      <c r="B19" s="589">
        <f>PLANTILLA!E20</f>
        <v>19</v>
      </c>
      <c r="C19" s="298">
        <f ca="1">PLANTILLA!F20</f>
        <v>0</v>
      </c>
      <c r="D19" s="589">
        <f>PLANTILLA!G20</f>
        <v>0</v>
      </c>
      <c r="E19" s="518">
        <f>PLANTILLA!O20</f>
        <v>43624</v>
      </c>
      <c r="F19" s="298">
        <f>PLANTILLA!Q20</f>
        <v>5</v>
      </c>
      <c r="G19" s="346">
        <f t="shared" si="0"/>
        <v>0.84515425472851657</v>
      </c>
      <c r="H19" s="346">
        <f t="shared" si="1"/>
        <v>0.92504826128926143</v>
      </c>
      <c r="I19" s="425">
        <f ca="1">PLANTILLA!P20</f>
        <v>0.10547337971725297</v>
      </c>
      <c r="J19" s="426">
        <f>PLANTILLA!I20</f>
        <v>1.8</v>
      </c>
      <c r="K19" s="152">
        <f>PLANTILLA!X20</f>
        <v>0</v>
      </c>
      <c r="L19" s="152">
        <f>PLANTILLA!Y20</f>
        <v>5</v>
      </c>
      <c r="M19" s="152">
        <f>PLANTILLA!Z20</f>
        <v>6.0333333333333332</v>
      </c>
      <c r="N19" s="152">
        <f>PLANTILLA!AA20</f>
        <v>2</v>
      </c>
      <c r="O19" s="152">
        <f>PLANTILLA!AB20</f>
        <v>3</v>
      </c>
      <c r="P19" s="152">
        <f>PLANTILLA!AC20</f>
        <v>9</v>
      </c>
      <c r="Q19" s="152">
        <f>PLANTILLA!AD20</f>
        <v>1</v>
      </c>
      <c r="R19" s="426">
        <f t="shared" si="2"/>
        <v>1.75</v>
      </c>
      <c r="S19" s="426">
        <f t="shared" ca="1" si="3"/>
        <v>8.87529915087954</v>
      </c>
      <c r="T19" s="152">
        <f t="shared" si="4"/>
        <v>0.48</v>
      </c>
      <c r="U19" s="152">
        <f t="shared" si="5"/>
        <v>0.22999999999999998</v>
      </c>
      <c r="V19" s="426">
        <f t="shared" ca="1" si="6"/>
        <v>1.2786167406794893</v>
      </c>
      <c r="W19" s="426">
        <f t="shared" ca="1" si="7"/>
        <v>1.3994867637515964</v>
      </c>
      <c r="X19" s="233">
        <f t="shared" ca="1" si="8"/>
        <v>1.7692154564334102</v>
      </c>
      <c r="Y19" s="233">
        <f t="shared" ca="1" si="9"/>
        <v>2.7005752053327976</v>
      </c>
      <c r="Z19" s="233">
        <f t="shared" ca="1" si="10"/>
        <v>1.7692154564334102</v>
      </c>
      <c r="AA19" s="233">
        <f t="shared" ca="1" si="11"/>
        <v>2.8100517474451769</v>
      </c>
      <c r="AB19" s="233">
        <f t="shared" ca="1" si="12"/>
        <v>5.4458367198549942</v>
      </c>
      <c r="AC19" s="233">
        <f t="shared" ca="1" si="13"/>
        <v>1.4050258737225885</v>
      </c>
      <c r="AD19" s="233">
        <f t="shared" ca="1" si="14"/>
        <v>1.5420424726588218</v>
      </c>
      <c r="AE19" s="233">
        <f t="shared" ca="1" si="15"/>
        <v>2.058526280105188</v>
      </c>
      <c r="AF19" s="233">
        <f t="shared" ca="1" si="16"/>
        <v>3.9373399484551608</v>
      </c>
      <c r="AG19" s="233">
        <f t="shared" ca="1" si="17"/>
        <v>1.029263140052594</v>
      </c>
      <c r="AH19" s="233">
        <f t="shared" ca="1" si="18"/>
        <v>2.4944804704775061</v>
      </c>
      <c r="AI19" s="233">
        <f t="shared" ca="1" si="19"/>
        <v>5.0101697822665949</v>
      </c>
      <c r="AJ19" s="233">
        <f t="shared" ca="1" si="20"/>
        <v>2.2545764020199677</v>
      </c>
      <c r="AK19" s="233">
        <f t="shared" ca="1" si="21"/>
        <v>1.0820213988824507</v>
      </c>
      <c r="AL19" s="233">
        <f t="shared" ca="1" si="22"/>
        <v>1.4381519912747367</v>
      </c>
      <c r="AM19" s="233">
        <f t="shared" ca="1" si="23"/>
        <v>4.1061608867706658</v>
      </c>
      <c r="AN19" s="233">
        <f t="shared" ca="1" si="24"/>
        <v>3.8556523976573356</v>
      </c>
      <c r="AO19" s="233">
        <f t="shared" ca="1" si="25"/>
        <v>0.24145473221578409</v>
      </c>
      <c r="AP19" s="233">
        <f t="shared" ca="1" si="26"/>
        <v>0.63240097531823825</v>
      </c>
      <c r="AQ19" s="233">
        <f t="shared" ca="1" si="27"/>
        <v>1.4703759143608486</v>
      </c>
      <c r="AR19" s="233">
        <f t="shared" ca="1" si="28"/>
        <v>3.2348270115938664</v>
      </c>
      <c r="AS19" s="233">
        <f t="shared" ca="1" si="29"/>
        <v>0.73518795718042429</v>
      </c>
      <c r="AT19" s="233">
        <f t="shared" ca="1" si="30"/>
        <v>6.1163365302097805</v>
      </c>
      <c r="AU19" s="233">
        <f t="shared" ca="1" si="31"/>
        <v>0.44795877358114933</v>
      </c>
      <c r="AV19" s="233">
        <f t="shared" ca="1" si="32"/>
        <v>2.0476301589175137</v>
      </c>
      <c r="AW19" s="233">
        <f t="shared" ca="1" si="33"/>
        <v>0.22397938679057466</v>
      </c>
      <c r="AX19" s="233">
        <f t="shared" ca="1" si="34"/>
        <v>1.029263140052594</v>
      </c>
      <c r="AY19" s="233">
        <f t="shared" ca="1" si="35"/>
        <v>2.1783346879419976</v>
      </c>
      <c r="AZ19" s="233">
        <f t="shared" ca="1" si="36"/>
        <v>0.514631570026297</v>
      </c>
      <c r="BA19" s="233">
        <f t="shared" ca="1" si="37"/>
        <v>6.4791700531883274</v>
      </c>
      <c r="BB19" s="233">
        <f t="shared" ca="1" si="38"/>
        <v>0.87179669012331362</v>
      </c>
      <c r="BC19" s="233">
        <f t="shared" ca="1" si="39"/>
        <v>3.1586560326401023</v>
      </c>
      <c r="BD19" s="233">
        <f t="shared" ca="1" si="40"/>
        <v>0.43589834506165681</v>
      </c>
      <c r="BE19" s="233">
        <f t="shared" ca="1" si="41"/>
        <v>1.5847384854778033</v>
      </c>
      <c r="BF19" s="233">
        <f t="shared" ca="1" si="42"/>
        <v>1.8951511785095378</v>
      </c>
      <c r="BG19" s="233">
        <f t="shared" ca="1" si="43"/>
        <v>5.7081488168589161</v>
      </c>
      <c r="BH19" s="233">
        <f t="shared" ca="1" si="44"/>
        <v>2.48934884395109</v>
      </c>
      <c r="BI19" s="233">
        <f t="shared" ca="1" si="45"/>
        <v>0.83044664948505365</v>
      </c>
      <c r="BJ19" s="233">
        <f t="shared" ca="1" si="46"/>
        <v>2.6412308091296719</v>
      </c>
      <c r="BK19" s="233">
        <f t="shared" ca="1" si="47"/>
        <v>1.4377008940417186</v>
      </c>
      <c r="BL19" s="233">
        <f t="shared" ca="1" si="48"/>
        <v>2.4685637902647528</v>
      </c>
      <c r="BM19" s="233">
        <f t="shared" ca="1" si="49"/>
        <v>2.3386612931532653</v>
      </c>
      <c r="BN19" s="233">
        <f t="shared" ca="1" si="50"/>
        <v>0.17918350943245973</v>
      </c>
      <c r="BO19" s="233">
        <f t="shared" ca="1" si="51"/>
        <v>0.98025060957389887</v>
      </c>
      <c r="BP19" s="233">
        <f t="shared" ca="1" si="52"/>
        <v>0.37031689695013964</v>
      </c>
      <c r="BQ19" s="233">
        <f t="shared" ca="1" si="53"/>
        <v>1.9761468662224397</v>
      </c>
      <c r="BR19" s="233">
        <f t="shared" ca="1" si="54"/>
        <v>3.431346021733523</v>
      </c>
      <c r="BS19" s="233">
        <f t="shared" ca="1" si="55"/>
        <v>0.46518795718042433</v>
      </c>
      <c r="BT19" s="233">
        <f t="shared" ca="1" si="56"/>
        <v>1.5466176284388182</v>
      </c>
      <c r="BU19" s="233">
        <f t="shared" ca="1" si="57"/>
        <v>1.3287841596446186</v>
      </c>
      <c r="BV19" s="233">
        <f t="shared" ca="1" si="58"/>
        <v>2.948022374200689</v>
      </c>
      <c r="BW19" s="233">
        <f t="shared" ca="1" si="59"/>
        <v>2.953987085599334</v>
      </c>
      <c r="BX19" s="233">
        <f t="shared" ca="1" si="60"/>
        <v>0.41694624310245432</v>
      </c>
      <c r="BY19" s="233">
        <f t="shared" ca="1" si="61"/>
        <v>1.5466176284388182</v>
      </c>
      <c r="BZ19" s="233">
        <f t="shared" ca="1" si="62"/>
        <v>1.3287841596446186</v>
      </c>
      <c r="CA19" s="233">
        <f t="shared" ca="1" si="63"/>
        <v>4.0883563035618344</v>
      </c>
      <c r="CB19" s="233">
        <f t="shared" ca="1" si="64"/>
        <v>2.3820238642702201</v>
      </c>
      <c r="CC19" s="233">
        <f t="shared" ca="1" si="65"/>
        <v>0.50998383453853913</v>
      </c>
      <c r="CD19" s="233">
        <f t="shared" ca="1" si="66"/>
        <v>2.6305430415944611</v>
      </c>
      <c r="CE19" s="233">
        <f t="shared" ca="1" si="67"/>
        <v>2.4132809310444525</v>
      </c>
      <c r="CF19" s="233">
        <f t="shared" ca="1" si="68"/>
        <v>7.3780121465567241</v>
      </c>
      <c r="CG19" s="233">
        <f t="shared" ca="1" si="69"/>
        <v>2.4132809310444525</v>
      </c>
      <c r="CH19" s="233">
        <f t="shared" ca="1" si="70"/>
        <v>3.7183331977431759</v>
      </c>
      <c r="CI19" s="233">
        <f t="shared" ca="1" si="71"/>
        <v>10.717350469481488</v>
      </c>
      <c r="CJ19" s="233">
        <f t="shared" ca="1" si="72"/>
        <v>3.7183331977431759</v>
      </c>
      <c r="CK19" s="233">
        <f t="shared" ca="1" si="73"/>
        <v>1.6197925132970818</v>
      </c>
    </row>
    <row r="20" spans="1:89" x14ac:dyDescent="0.25">
      <c r="A20" t="str">
        <f>PLANTILLA!D21</f>
        <v>N. Janbu</v>
      </c>
      <c r="B20" s="589">
        <f>PLANTILLA!E21</f>
        <v>18</v>
      </c>
      <c r="C20" s="298">
        <f ca="1">PLANTILLA!F21</f>
        <v>64</v>
      </c>
      <c r="D20" s="589" t="str">
        <f>PLANTILLA!G21</f>
        <v>RAP</v>
      </c>
      <c r="E20" s="518">
        <f>PLANTILLA!O21</f>
        <v>43624</v>
      </c>
      <c r="F20" s="298">
        <f>PLANTILLA!Q21</f>
        <v>4</v>
      </c>
      <c r="G20" s="346">
        <f t="shared" si="0"/>
        <v>0.7559289460184544</v>
      </c>
      <c r="H20" s="346">
        <f t="shared" si="1"/>
        <v>0.84430867747355465</v>
      </c>
      <c r="I20" s="425">
        <f ca="1">PLANTILLA!P21</f>
        <v>0.10547337971725297</v>
      </c>
      <c r="J20" s="426">
        <f>PLANTILLA!I21</f>
        <v>0.5</v>
      </c>
      <c r="K20" s="152">
        <f>PLANTILLA!X21</f>
        <v>0</v>
      </c>
      <c r="L20" s="152">
        <f>PLANTILLA!Y21</f>
        <v>3</v>
      </c>
      <c r="M20" s="152">
        <f>PLANTILLA!Z21</f>
        <v>7.0285714285714285</v>
      </c>
      <c r="N20" s="152">
        <f>PLANTILLA!AA21</f>
        <v>1</v>
      </c>
      <c r="O20" s="152">
        <f>PLANTILLA!AB21</f>
        <v>1</v>
      </c>
      <c r="P20" s="152">
        <f>PLANTILLA!AC21</f>
        <v>8</v>
      </c>
      <c r="Q20" s="152">
        <f>PLANTILLA!AD21</f>
        <v>3</v>
      </c>
      <c r="R20" s="426">
        <f t="shared" si="2"/>
        <v>1</v>
      </c>
      <c r="S20" s="426">
        <f t="shared" ca="1" si="3"/>
        <v>6.6760611152852647</v>
      </c>
      <c r="T20" s="152">
        <f t="shared" si="4"/>
        <v>0.49000000000000005</v>
      </c>
      <c r="U20" s="152">
        <f t="shared" si="5"/>
        <v>0.21000000000000002</v>
      </c>
      <c r="V20" s="426">
        <f t="shared" ca="1" si="6"/>
        <v>2.0947872543384043</v>
      </c>
      <c r="W20" s="426">
        <f t="shared" ca="1" si="7"/>
        <v>2.3397001340066943</v>
      </c>
      <c r="X20" s="233">
        <f t="shared" ca="1" si="8"/>
        <v>0.56967934554028787</v>
      </c>
      <c r="Y20" s="233">
        <f t="shared" ca="1" si="9"/>
        <v>0.89299316734537393</v>
      </c>
      <c r="Z20" s="233">
        <f t="shared" ca="1" si="10"/>
        <v>0.56967934554028787</v>
      </c>
      <c r="AA20" s="233">
        <f t="shared" ca="1" si="11"/>
        <v>1.3953156269172837</v>
      </c>
      <c r="AB20" s="233">
        <f t="shared" ca="1" si="12"/>
        <v>2.7041000521652783</v>
      </c>
      <c r="AC20" s="233">
        <f t="shared" ca="1" si="13"/>
        <v>0.69765781345864186</v>
      </c>
      <c r="AD20" s="233">
        <f t="shared" ca="1" si="14"/>
        <v>1.602375812415336</v>
      </c>
      <c r="AE20" s="233">
        <f t="shared" ca="1" si="15"/>
        <v>1.0221498197184753</v>
      </c>
      <c r="AF20" s="233">
        <f t="shared" ca="1" si="16"/>
        <v>1.9550643377154961</v>
      </c>
      <c r="AG20" s="233">
        <f t="shared" ca="1" si="17"/>
        <v>0.51107490985923765</v>
      </c>
      <c r="AH20" s="233">
        <f t="shared" ca="1" si="18"/>
        <v>2.592078520083632</v>
      </c>
      <c r="AI20" s="233">
        <f t="shared" ca="1" si="19"/>
        <v>2.4877720479920562</v>
      </c>
      <c r="AJ20" s="233">
        <f t="shared" ca="1" si="20"/>
        <v>1.1194974215964251</v>
      </c>
      <c r="AK20" s="233">
        <f t="shared" ca="1" si="21"/>
        <v>1.12435613728303</v>
      </c>
      <c r="AL20" s="233">
        <f t="shared" ca="1" si="22"/>
        <v>0.41401083067318345</v>
      </c>
      <c r="AM20" s="233">
        <f t="shared" ca="1" si="23"/>
        <v>2.0388914393326196</v>
      </c>
      <c r="AN20" s="233">
        <f t="shared" ca="1" si="24"/>
        <v>1.9145028369330168</v>
      </c>
      <c r="AO20" s="233">
        <f t="shared" ca="1" si="25"/>
        <v>0.4515847087116015</v>
      </c>
      <c r="AP20" s="233">
        <f t="shared" ca="1" si="26"/>
        <v>0.20278081502360007</v>
      </c>
      <c r="AQ20" s="233">
        <f t="shared" ca="1" si="27"/>
        <v>0.73010701408462519</v>
      </c>
      <c r="AR20" s="233">
        <f t="shared" ca="1" si="28"/>
        <v>1.6062354309861753</v>
      </c>
      <c r="AS20" s="233">
        <f t="shared" ca="1" si="29"/>
        <v>0.3650535070423126</v>
      </c>
      <c r="AT20" s="233">
        <f t="shared" ca="1" si="30"/>
        <v>6.35564187781545</v>
      </c>
      <c r="AU20" s="233">
        <f t="shared" ca="1" si="31"/>
        <v>9.1533006781486154E-2</v>
      </c>
      <c r="AV20" s="233">
        <f t="shared" ca="1" si="32"/>
        <v>1.4173013152844263</v>
      </c>
      <c r="AW20" s="233">
        <f t="shared" ca="1" si="33"/>
        <v>4.5766503390743077E-2</v>
      </c>
      <c r="AX20" s="233">
        <f t="shared" ca="1" si="34"/>
        <v>0.51107490985923765</v>
      </c>
      <c r="AY20" s="233">
        <f t="shared" ca="1" si="35"/>
        <v>1.0816400208661114</v>
      </c>
      <c r="AZ20" s="233">
        <f t="shared" ca="1" si="36"/>
        <v>0.25553745492961882</v>
      </c>
      <c r="BA20" s="233">
        <f t="shared" ca="1" si="37"/>
        <v>6.7326714807367063</v>
      </c>
      <c r="BB20" s="233">
        <f t="shared" ca="1" si="38"/>
        <v>0.17813731319781534</v>
      </c>
      <c r="BC20" s="233">
        <f t="shared" ca="1" si="39"/>
        <v>1.8579591287430681</v>
      </c>
      <c r="BD20" s="233">
        <f t="shared" ca="1" si="40"/>
        <v>8.906865659890767E-2</v>
      </c>
      <c r="BE20" s="233">
        <f t="shared" ca="1" si="41"/>
        <v>0.78689311518009597</v>
      </c>
      <c r="BF20" s="233">
        <f t="shared" ca="1" si="42"/>
        <v>0.94102681815351674</v>
      </c>
      <c r="BG20" s="233">
        <f t="shared" ca="1" si="43"/>
        <v>5.9314835745290386</v>
      </c>
      <c r="BH20" s="233">
        <f t="shared" ca="1" si="44"/>
        <v>0.62594494637493214</v>
      </c>
      <c r="BI20" s="233">
        <f t="shared" ca="1" si="45"/>
        <v>0.169688112571832</v>
      </c>
      <c r="BJ20" s="233">
        <f t="shared" ca="1" si="46"/>
        <v>1.31148852530016</v>
      </c>
      <c r="BK20" s="233">
        <f t="shared" ca="1" si="47"/>
        <v>0.71388241377163353</v>
      </c>
      <c r="BL20" s="233">
        <f t="shared" ca="1" si="48"/>
        <v>2.565147834160685</v>
      </c>
      <c r="BM20" s="233">
        <f t="shared" ca="1" si="49"/>
        <v>0.61538344559245306</v>
      </c>
      <c r="BN20" s="233">
        <f t="shared" ca="1" si="50"/>
        <v>3.661320271259446E-2</v>
      </c>
      <c r="BO20" s="233">
        <f t="shared" ca="1" si="51"/>
        <v>0.48673800938975009</v>
      </c>
      <c r="BP20" s="233">
        <f t="shared" ca="1" si="52"/>
        <v>0.18387880354723893</v>
      </c>
      <c r="BQ20" s="233">
        <f t="shared" ca="1" si="53"/>
        <v>2.0534648016246955</v>
      </c>
      <c r="BR20" s="233">
        <f t="shared" ca="1" si="54"/>
        <v>0.90547266708454754</v>
      </c>
      <c r="BS20" s="233">
        <f t="shared" ca="1" si="55"/>
        <v>9.5053507042312538E-2</v>
      </c>
      <c r="BT20" s="233">
        <f t="shared" ca="1" si="56"/>
        <v>0.76796441481493893</v>
      </c>
      <c r="BU20" s="233">
        <f t="shared" ca="1" si="57"/>
        <v>0.6598004127283279</v>
      </c>
      <c r="BV20" s="233">
        <f t="shared" ca="1" si="58"/>
        <v>3.0633655237352015</v>
      </c>
      <c r="BW20" s="233">
        <f t="shared" ca="1" si="59"/>
        <v>0.78014285779912806</v>
      </c>
      <c r="BX20" s="233">
        <f t="shared" ca="1" si="60"/>
        <v>8.5196106311998643E-2</v>
      </c>
      <c r="BY20" s="233">
        <f t="shared" ca="1" si="61"/>
        <v>0.76796441481493893</v>
      </c>
      <c r="BZ20" s="233">
        <f t="shared" ca="1" si="62"/>
        <v>0.6598004127283279</v>
      </c>
      <c r="CA20" s="233">
        <f t="shared" ca="1" si="63"/>
        <v>4.2483157043448614</v>
      </c>
      <c r="CB20" s="233">
        <f t="shared" ca="1" si="64"/>
        <v>0.6301695466879238</v>
      </c>
      <c r="CC20" s="233">
        <f t="shared" ca="1" si="65"/>
        <v>0.10420680772046115</v>
      </c>
      <c r="CD20" s="233">
        <f t="shared" ca="1" si="66"/>
        <v>2.7334646211791029</v>
      </c>
      <c r="CE20" s="233">
        <f t="shared" ca="1" si="67"/>
        <v>1.2558361271781098</v>
      </c>
      <c r="CF20" s="233">
        <f t="shared" ca="1" si="68"/>
        <v>4.8738166587381029</v>
      </c>
      <c r="CG20" s="233">
        <f t="shared" ca="1" si="69"/>
        <v>1.2558361271781098</v>
      </c>
      <c r="CH20" s="233">
        <f t="shared" ca="1" si="70"/>
        <v>2.491231253772483</v>
      </c>
      <c r="CI20" s="233">
        <f t="shared" ca="1" si="71"/>
        <v>7.9639129714142651</v>
      </c>
      <c r="CJ20" s="233">
        <f t="shared" ca="1" si="72"/>
        <v>2.491231253772483</v>
      </c>
      <c r="CK20" s="233">
        <f t="shared" ca="1" si="73"/>
        <v>1.6831678701841766</v>
      </c>
    </row>
    <row r="21" spans="1:89" x14ac:dyDescent="0.25">
      <c r="A21" t="str">
        <f>PLANTILLA!D22</f>
        <v>P. Tuderek</v>
      </c>
      <c r="B21" s="589">
        <f>PLANTILLA!E22</f>
        <v>18</v>
      </c>
      <c r="C21" s="298">
        <f ca="1">PLANTILLA!F22</f>
        <v>65</v>
      </c>
      <c r="D21" s="589" t="str">
        <f>PLANTILLA!G22</f>
        <v>CAB</v>
      </c>
      <c r="E21" s="518">
        <f>PLANTILLA!O22</f>
        <v>43626</v>
      </c>
      <c r="F21" s="298">
        <f>PLANTILLA!Q22</f>
        <v>7</v>
      </c>
      <c r="G21" s="346">
        <f t="shared" si="0"/>
        <v>1</v>
      </c>
      <c r="H21" s="346">
        <f t="shared" si="1"/>
        <v>1</v>
      </c>
      <c r="I21" s="425">
        <f ca="1">PLANTILLA!P22</f>
        <v>9.1436681135175488E-2</v>
      </c>
      <c r="J21" s="426">
        <f>PLANTILLA!I22</f>
        <v>0.6</v>
      </c>
      <c r="K21" s="152">
        <f>PLANTILLA!X22</f>
        <v>0</v>
      </c>
      <c r="L21" s="152">
        <f>PLANTILLA!Y22</f>
        <v>6</v>
      </c>
      <c r="M21" s="152">
        <f>PLANTILLA!Z22</f>
        <v>6.0333333333333332</v>
      </c>
      <c r="N21" s="152">
        <f>PLANTILLA!AA22</f>
        <v>2</v>
      </c>
      <c r="O21" s="152">
        <f>PLANTILLA!AB22</f>
        <v>3</v>
      </c>
      <c r="P21" s="152">
        <f>PLANTILLA!AC22</f>
        <v>6</v>
      </c>
      <c r="Q21" s="152">
        <f>PLANTILLA!AD22</f>
        <v>8</v>
      </c>
      <c r="R21" s="426">
        <f t="shared" si="2"/>
        <v>1.875</v>
      </c>
      <c r="S21" s="426">
        <f t="shared" ca="1" si="3"/>
        <v>6.3083607497725414</v>
      </c>
      <c r="T21" s="152">
        <f t="shared" si="4"/>
        <v>0.54</v>
      </c>
      <c r="U21" s="152">
        <f t="shared" si="5"/>
        <v>0.48000000000000009</v>
      </c>
      <c r="V21" s="426">
        <f t="shared" ca="1" si="6"/>
        <v>7.858505017140283</v>
      </c>
      <c r="W21" s="426">
        <f t="shared" ca="1" si="7"/>
        <v>7.858505017140283</v>
      </c>
      <c r="X21" s="233">
        <f t="shared" ca="1" si="8"/>
        <v>1.4775922780775697</v>
      </c>
      <c r="Y21" s="233">
        <f t="shared" ca="1" si="9"/>
        <v>2.2861691076725568</v>
      </c>
      <c r="Z21" s="233">
        <f t="shared" ca="1" si="10"/>
        <v>1.4775922780775697</v>
      </c>
      <c r="AA21" s="233">
        <f t="shared" ca="1" si="11"/>
        <v>2.9905493877296974</v>
      </c>
      <c r="AB21" s="233">
        <f t="shared" ca="1" si="12"/>
        <v>5.7956383483133669</v>
      </c>
      <c r="AC21" s="233">
        <f t="shared" ca="1" si="13"/>
        <v>1.4952746938648487</v>
      </c>
      <c r="AD21" s="233">
        <f t="shared" ca="1" si="14"/>
        <v>1.3872952602319146</v>
      </c>
      <c r="AE21" s="233">
        <f t="shared" ca="1" si="15"/>
        <v>2.1907512956624529</v>
      </c>
      <c r="AF21" s="233">
        <f t="shared" ca="1" si="16"/>
        <v>4.1902465258305641</v>
      </c>
      <c r="AG21" s="233">
        <f t="shared" ca="1" si="17"/>
        <v>1.0953756478312264</v>
      </c>
      <c r="AH21" s="233">
        <f t="shared" ca="1" si="18"/>
        <v>2.2441540974339795</v>
      </c>
      <c r="AI21" s="233">
        <f t="shared" ca="1" si="19"/>
        <v>5.3319872804482982</v>
      </c>
      <c r="AJ21" s="233">
        <f t="shared" ca="1" si="20"/>
        <v>2.399394276201734</v>
      </c>
      <c r="AK21" s="233">
        <f t="shared" ca="1" si="21"/>
        <v>0.97343827083499901</v>
      </c>
      <c r="AL21" s="233">
        <f t="shared" ca="1" si="22"/>
        <v>1.0558353488082597</v>
      </c>
      <c r="AM21" s="233">
        <f t="shared" ca="1" si="23"/>
        <v>4.3699113146282791</v>
      </c>
      <c r="AN21" s="233">
        <f t="shared" ca="1" si="24"/>
        <v>4.103311950605864</v>
      </c>
      <c r="AO21" s="233">
        <f t="shared" ca="1" si="25"/>
        <v>1.3018716041683323</v>
      </c>
      <c r="AP21" s="233">
        <f t="shared" ca="1" si="26"/>
        <v>0.48114384431424961</v>
      </c>
      <c r="AQ21" s="233">
        <f t="shared" ca="1" si="27"/>
        <v>1.5648223540446091</v>
      </c>
      <c r="AR21" s="233">
        <f t="shared" ca="1" si="28"/>
        <v>3.4426091788981399</v>
      </c>
      <c r="AS21" s="233">
        <f t="shared" ca="1" si="29"/>
        <v>0.78241117702230456</v>
      </c>
      <c r="AT21" s="233">
        <f t="shared" ca="1" si="30"/>
        <v>5.5025492674744845</v>
      </c>
      <c r="AU21" s="233">
        <f t="shared" ca="1" si="31"/>
        <v>0.36343298528073775</v>
      </c>
      <c r="AV21" s="233">
        <f t="shared" ca="1" si="32"/>
        <v>1.3381220360558164</v>
      </c>
      <c r="AW21" s="233">
        <f t="shared" ca="1" si="33"/>
        <v>0.18171649264036888</v>
      </c>
      <c r="AX21" s="233">
        <f t="shared" ca="1" si="34"/>
        <v>1.0953756478312264</v>
      </c>
      <c r="AY21" s="233">
        <f t="shared" ca="1" si="35"/>
        <v>2.3182553393253467</v>
      </c>
      <c r="AZ21" s="233">
        <f t="shared" ca="1" si="36"/>
        <v>0.54768782391561321</v>
      </c>
      <c r="BA21" s="233">
        <f t="shared" ca="1" si="37"/>
        <v>5.8289716816467001</v>
      </c>
      <c r="BB21" s="233">
        <f t="shared" ca="1" si="38"/>
        <v>0.70729650212328199</v>
      </c>
      <c r="BC21" s="233">
        <f t="shared" ca="1" si="39"/>
        <v>2.1703967299206655</v>
      </c>
      <c r="BD21" s="233">
        <f t="shared" ca="1" si="40"/>
        <v>0.35364825106164099</v>
      </c>
      <c r="BE21" s="233">
        <f t="shared" ca="1" si="41"/>
        <v>1.6865307593591896</v>
      </c>
      <c r="BF21" s="233">
        <f t="shared" ca="1" si="42"/>
        <v>2.0168821452130516</v>
      </c>
      <c r="BG21" s="233">
        <f t="shared" ca="1" si="43"/>
        <v>5.135324051530743</v>
      </c>
      <c r="BH21" s="233">
        <f t="shared" ca="1" si="44"/>
        <v>1.9113224916505835</v>
      </c>
      <c r="BI21" s="233">
        <f t="shared" ca="1" si="45"/>
        <v>0.67374884194352147</v>
      </c>
      <c r="BJ21" s="233">
        <f t="shared" ca="1" si="46"/>
        <v>2.8108845989319828</v>
      </c>
      <c r="BK21" s="233">
        <f t="shared" ca="1" si="47"/>
        <v>1.530048523954729</v>
      </c>
      <c r="BL21" s="233">
        <f t="shared" ca="1" si="48"/>
        <v>2.220838210707393</v>
      </c>
      <c r="BM21" s="233">
        <f t="shared" ca="1" si="49"/>
        <v>1.7703879164258831</v>
      </c>
      <c r="BN21" s="233">
        <f t="shared" ca="1" si="50"/>
        <v>0.1453731941122951</v>
      </c>
      <c r="BO21" s="233">
        <f t="shared" ca="1" si="51"/>
        <v>1.0432149026964059</v>
      </c>
      <c r="BP21" s="233">
        <f t="shared" ca="1" si="52"/>
        <v>0.39410340768530899</v>
      </c>
      <c r="BQ21" s="233">
        <f t="shared" ca="1" si="53"/>
        <v>1.7778363629022436</v>
      </c>
      <c r="BR21" s="233">
        <f t="shared" ca="1" si="54"/>
        <v>2.5951909159309903</v>
      </c>
      <c r="BS21" s="233">
        <f t="shared" ca="1" si="55"/>
        <v>0.37741117702230459</v>
      </c>
      <c r="BT21" s="233">
        <f t="shared" ca="1" si="56"/>
        <v>1.645961290920996</v>
      </c>
      <c r="BU21" s="233">
        <f t="shared" ca="1" si="57"/>
        <v>1.4141357569884614</v>
      </c>
      <c r="BV21" s="233">
        <f t="shared" ca="1" si="58"/>
        <v>2.6521821151492486</v>
      </c>
      <c r="BW21" s="233">
        <f t="shared" ca="1" si="59"/>
        <v>2.2335672899312109</v>
      </c>
      <c r="BX21" s="233">
        <f t="shared" ca="1" si="60"/>
        <v>0.33827224014591745</v>
      </c>
      <c r="BY21" s="233">
        <f t="shared" ca="1" si="61"/>
        <v>1.645961290920996</v>
      </c>
      <c r="BZ21" s="233">
        <f t="shared" ca="1" si="62"/>
        <v>1.4141357569884614</v>
      </c>
      <c r="CA21" s="233">
        <f t="shared" ca="1" si="63"/>
        <v>3.6780811311190678</v>
      </c>
      <c r="CB21" s="233">
        <f t="shared" ca="1" si="64"/>
        <v>1.8000963217404635</v>
      </c>
      <c r="CC21" s="233">
        <f t="shared" ca="1" si="65"/>
        <v>0.41375447555037836</v>
      </c>
      <c r="CD21" s="233">
        <f t="shared" ca="1" si="66"/>
        <v>2.3665625027485606</v>
      </c>
      <c r="CE21" s="233">
        <f t="shared" ca="1" si="67"/>
        <v>1.6935275794712643</v>
      </c>
      <c r="CF21" s="233">
        <f t="shared" ca="1" si="68"/>
        <v>4.8968887802008512</v>
      </c>
      <c r="CG21" s="233">
        <f t="shared" ca="1" si="69"/>
        <v>1.6935275794712643</v>
      </c>
      <c r="CH21" s="233">
        <f t="shared" ca="1" si="70"/>
        <v>2.536909153904082</v>
      </c>
      <c r="CI21" s="233">
        <f t="shared" ca="1" si="71"/>
        <v>6.8272288988409997</v>
      </c>
      <c r="CJ21" s="233">
        <f t="shared" ca="1" si="72"/>
        <v>2.536909153904082</v>
      </c>
      <c r="CK21" s="233">
        <f t="shared" ca="1" si="73"/>
        <v>1.457242920411675</v>
      </c>
    </row>
    <row r="22" spans="1:89" x14ac:dyDescent="0.25">
      <c r="A22" t="str">
        <f>PLANTILLA!D23</f>
        <v>R. Scheidecker</v>
      </c>
      <c r="B22" s="589">
        <f>PLANTILLA!E23</f>
        <v>18</v>
      </c>
      <c r="C22" s="298">
        <f ca="1">PLANTILLA!F23</f>
        <v>97</v>
      </c>
      <c r="D22" s="589" t="str">
        <f>PLANTILLA!G23</f>
        <v>RAP</v>
      </c>
      <c r="E22" s="518">
        <f>PLANTILLA!O23</f>
        <v>43626</v>
      </c>
      <c r="F22" s="298">
        <f>PLANTILLA!Q23</f>
        <v>6</v>
      </c>
      <c r="G22" s="346">
        <f t="shared" si="0"/>
        <v>0.92582009977255142</v>
      </c>
      <c r="H22" s="346">
        <f t="shared" si="1"/>
        <v>0.99928545900129484</v>
      </c>
      <c r="I22" s="425">
        <f ca="1">PLANTILLA!P23</f>
        <v>9.1436681135175488E-2</v>
      </c>
      <c r="J22" s="426">
        <f>PLANTILLA!I23</f>
        <v>0.5</v>
      </c>
      <c r="K22" s="152">
        <f>PLANTILLA!X23</f>
        <v>0</v>
      </c>
      <c r="L22" s="152">
        <f>PLANTILLA!Y23</f>
        <v>4</v>
      </c>
      <c r="M22" s="152">
        <f>PLANTILLA!Z23</f>
        <v>5.1428571428571432</v>
      </c>
      <c r="N22" s="152">
        <f>PLANTILLA!AA23</f>
        <v>3</v>
      </c>
      <c r="O22" s="152">
        <f>PLANTILLA!AB23</f>
        <v>4</v>
      </c>
      <c r="P22" s="152">
        <f>PLANTILLA!AC23</f>
        <v>9</v>
      </c>
      <c r="Q22" s="152">
        <f>PLANTILLA!AD23</f>
        <v>8</v>
      </c>
      <c r="R22" s="426">
        <f t="shared" si="2"/>
        <v>1.875</v>
      </c>
      <c r="S22" s="426">
        <f t="shared" ca="1" si="3"/>
        <v>11.055040011418873</v>
      </c>
      <c r="T22" s="152">
        <f t="shared" si="4"/>
        <v>0.69000000000000006</v>
      </c>
      <c r="U22" s="152">
        <f t="shared" si="5"/>
        <v>0.4</v>
      </c>
      <c r="V22" s="426">
        <f t="shared" ca="1" si="6"/>
        <v>7.1778184468773434</v>
      </c>
      <c r="W22" s="426">
        <f t="shared" ca="1" si="7"/>
        <v>7.7473902360490126</v>
      </c>
      <c r="X22" s="233">
        <f t="shared" ca="1" si="8"/>
        <v>0.83342530767813416</v>
      </c>
      <c r="Y22" s="233">
        <f t="shared" ca="1" si="9"/>
        <v>1.299871789475912</v>
      </c>
      <c r="Z22" s="233">
        <f t="shared" ca="1" si="10"/>
        <v>0.83342530767813416</v>
      </c>
      <c r="AA22" s="233">
        <f t="shared" ca="1" si="11"/>
        <v>1.9040726904489316</v>
      </c>
      <c r="AB22" s="233">
        <f t="shared" ca="1" si="12"/>
        <v>3.6900633535832008</v>
      </c>
      <c r="AC22" s="233">
        <f t="shared" ca="1" si="13"/>
        <v>0.95203634522446579</v>
      </c>
      <c r="AD22" s="233">
        <f t="shared" ca="1" si="14"/>
        <v>1.1502350781528017</v>
      </c>
      <c r="AE22" s="233">
        <f t="shared" ca="1" si="15"/>
        <v>1.3948439476544499</v>
      </c>
      <c r="AF22" s="233">
        <f t="shared" ca="1" si="16"/>
        <v>2.6679158046406539</v>
      </c>
      <c r="AG22" s="233">
        <f t="shared" ca="1" si="17"/>
        <v>0.69742197382722493</v>
      </c>
      <c r="AH22" s="233">
        <f t="shared" ca="1" si="18"/>
        <v>1.8606743911295323</v>
      </c>
      <c r="AI22" s="233">
        <f t="shared" ca="1" si="19"/>
        <v>3.3948582852965448</v>
      </c>
      <c r="AJ22" s="233">
        <f t="shared" ca="1" si="20"/>
        <v>1.5276862283834451</v>
      </c>
      <c r="AK22" s="233">
        <f t="shared" ca="1" si="21"/>
        <v>0.80709772290553738</v>
      </c>
      <c r="AL22" s="233">
        <f t="shared" ca="1" si="22"/>
        <v>1.5817572519069221</v>
      </c>
      <c r="AM22" s="233">
        <f t="shared" ca="1" si="23"/>
        <v>2.7823077686017332</v>
      </c>
      <c r="AN22" s="233">
        <f t="shared" ca="1" si="24"/>
        <v>2.612564854336906</v>
      </c>
      <c r="AO22" s="233">
        <f t="shared" ca="1" si="25"/>
        <v>1.2842405800483945</v>
      </c>
      <c r="AP22" s="233">
        <f t="shared" ca="1" si="26"/>
        <v>0.45073824583196176</v>
      </c>
      <c r="AQ22" s="233">
        <f t="shared" ca="1" si="27"/>
        <v>0.99631710546746433</v>
      </c>
      <c r="AR22" s="233">
        <f t="shared" ca="1" si="28"/>
        <v>2.1918976320284211</v>
      </c>
      <c r="AS22" s="233">
        <f t="shared" ca="1" si="29"/>
        <v>0.49815855273373216</v>
      </c>
      <c r="AT22" s="233">
        <f t="shared" ca="1" si="30"/>
        <v>4.5622769486396839</v>
      </c>
      <c r="AU22" s="233">
        <f t="shared" ca="1" si="31"/>
        <v>0.47970823596581613</v>
      </c>
      <c r="AV22" s="233">
        <f t="shared" ca="1" si="32"/>
        <v>1.9461885625998776</v>
      </c>
      <c r="AW22" s="233">
        <f t="shared" ca="1" si="33"/>
        <v>0.23985411798290807</v>
      </c>
      <c r="AX22" s="233">
        <f t="shared" ca="1" si="34"/>
        <v>0.69742197382722493</v>
      </c>
      <c r="AY22" s="233">
        <f t="shared" ca="1" si="35"/>
        <v>1.4760253414332805</v>
      </c>
      <c r="AZ22" s="233">
        <f t="shared" ca="1" si="36"/>
        <v>0.34871098691361246</v>
      </c>
      <c r="BA22" s="233">
        <f t="shared" ca="1" si="37"/>
        <v>4.8329204964403436</v>
      </c>
      <c r="BB22" s="233">
        <f t="shared" ca="1" si="38"/>
        <v>0.93358602845654981</v>
      </c>
      <c r="BC22" s="233">
        <f t="shared" ca="1" si="39"/>
        <v>3.0832249078243437</v>
      </c>
      <c r="BD22" s="233">
        <f t="shared" ca="1" si="40"/>
        <v>0.46679301422827491</v>
      </c>
      <c r="BE22" s="233">
        <f t="shared" ca="1" si="41"/>
        <v>1.0738084358927114</v>
      </c>
      <c r="BF22" s="233">
        <f t="shared" ca="1" si="42"/>
        <v>1.2841420470469538</v>
      </c>
      <c r="BG22" s="233">
        <f t="shared" ca="1" si="43"/>
        <v>4.2578029573639427</v>
      </c>
      <c r="BH22" s="233">
        <f t="shared" ca="1" si="44"/>
        <v>2.7064663213354656</v>
      </c>
      <c r="BI22" s="233">
        <f t="shared" ca="1" si="45"/>
        <v>0.88930526821355138</v>
      </c>
      <c r="BJ22" s="233">
        <f t="shared" ca="1" si="46"/>
        <v>1.7896807264878523</v>
      </c>
      <c r="BK22" s="233">
        <f t="shared" ca="1" si="47"/>
        <v>0.97417672534596511</v>
      </c>
      <c r="BL22" s="233">
        <f t="shared" ca="1" si="48"/>
        <v>1.8413427091437709</v>
      </c>
      <c r="BM22" s="233">
        <f t="shared" ca="1" si="49"/>
        <v>2.5521153710317179</v>
      </c>
      <c r="BN22" s="233">
        <f t="shared" ca="1" si="50"/>
        <v>0.19188329438632643</v>
      </c>
      <c r="BO22" s="233">
        <f t="shared" ca="1" si="51"/>
        <v>0.66421140364497611</v>
      </c>
      <c r="BP22" s="233">
        <f t="shared" ca="1" si="52"/>
        <v>0.25092430804365767</v>
      </c>
      <c r="BQ22" s="233">
        <f t="shared" ca="1" si="53"/>
        <v>1.4740407514143048</v>
      </c>
      <c r="BR22" s="233">
        <f t="shared" ca="1" si="54"/>
        <v>3.7454214727079962</v>
      </c>
      <c r="BS22" s="233">
        <f t="shared" ca="1" si="55"/>
        <v>0.49815855273373216</v>
      </c>
      <c r="BT22" s="233">
        <f t="shared" ca="1" si="56"/>
        <v>1.0479779924176289</v>
      </c>
      <c r="BU22" s="233">
        <f t="shared" ca="1" si="57"/>
        <v>0.90037545827430099</v>
      </c>
      <c r="BV22" s="233">
        <f t="shared" ca="1" si="58"/>
        <v>2.1989788258803564</v>
      </c>
      <c r="BW22" s="233">
        <f t="shared" ca="1" si="59"/>
        <v>3.2245901957701868</v>
      </c>
      <c r="BX22" s="233">
        <f t="shared" ca="1" si="60"/>
        <v>0.44649766578356731</v>
      </c>
      <c r="BY22" s="233">
        <f t="shared" ca="1" si="61"/>
        <v>1.0479779924176289</v>
      </c>
      <c r="BZ22" s="233">
        <f t="shared" ca="1" si="62"/>
        <v>0.90037545827430099</v>
      </c>
      <c r="CA22" s="233">
        <f t="shared" ca="1" si="63"/>
        <v>3.049572833253857</v>
      </c>
      <c r="CB22" s="233">
        <f t="shared" ca="1" si="64"/>
        <v>2.6006067014569645</v>
      </c>
      <c r="CC22" s="233">
        <f t="shared" ca="1" si="65"/>
        <v>0.54612937633031367</v>
      </c>
      <c r="CD22" s="233">
        <f t="shared" ca="1" si="66"/>
        <v>1.9621657215547796</v>
      </c>
      <c r="CE22" s="233">
        <f t="shared" ca="1" si="67"/>
        <v>2.4135230072168476</v>
      </c>
      <c r="CF22" s="233">
        <f t="shared" ca="1" si="68"/>
        <v>7.0700113361346837</v>
      </c>
      <c r="CG22" s="233">
        <f t="shared" ca="1" si="69"/>
        <v>2.4135230072168476</v>
      </c>
      <c r="CH22" s="233">
        <f t="shared" ca="1" si="70"/>
        <v>3.614135932187188</v>
      </c>
      <c r="CI22" s="233">
        <f t="shared" ca="1" si="71"/>
        <v>10.051696731055401</v>
      </c>
      <c r="CJ22" s="233">
        <f t="shared" ca="1" si="72"/>
        <v>3.614135932187188</v>
      </c>
      <c r="CK22" s="233">
        <f t="shared" ca="1" si="73"/>
        <v>1.2082301241100859</v>
      </c>
    </row>
    <row r="23" spans="1:89" x14ac:dyDescent="0.25">
      <c r="A23" t="str">
        <f>PLANTILLA!D24</f>
        <v>K. Helms</v>
      </c>
      <c r="B23" s="589">
        <f>PLANTILLA!E24</f>
        <v>35</v>
      </c>
      <c r="C23" s="298">
        <f ca="1">PLANTILLA!F24</f>
        <v>28</v>
      </c>
      <c r="D23" s="589" t="str">
        <f>PLANTILLA!G24</f>
        <v>TEC</v>
      </c>
      <c r="E23" s="518">
        <v>36526</v>
      </c>
      <c r="F23" s="298">
        <f>PLANTILLA!Q24</f>
        <v>7</v>
      </c>
      <c r="G23" s="346">
        <f t="shared" si="0"/>
        <v>1</v>
      </c>
      <c r="H23" s="346">
        <f t="shared" si="1"/>
        <v>1</v>
      </c>
      <c r="I23" s="425">
        <f>PLANTILLA!P24</f>
        <v>1.5</v>
      </c>
      <c r="J23" s="426">
        <f>PLANTILLA!I24</f>
        <v>13.5</v>
      </c>
      <c r="K23" s="152">
        <f>PLANTILLA!X24</f>
        <v>0</v>
      </c>
      <c r="L23" s="152">
        <f>PLANTILLA!Y24</f>
        <v>7.2503030303030309</v>
      </c>
      <c r="M23" s="152">
        <f>PLANTILLA!Z24</f>
        <v>10.600000000000005</v>
      </c>
      <c r="N23" s="152">
        <f>PLANTILLA!AA24</f>
        <v>12.95</v>
      </c>
      <c r="O23" s="152">
        <f>PLANTILLA!AB24</f>
        <v>9.9499999999999993</v>
      </c>
      <c r="P23" s="152">
        <f>PLANTILLA!AC24</f>
        <v>3.95</v>
      </c>
      <c r="Q23" s="152">
        <f>PLANTILLA!AD24</f>
        <v>18</v>
      </c>
      <c r="R23" s="426">
        <f t="shared" si="2"/>
        <v>3.7687878787878786</v>
      </c>
      <c r="S23" s="426">
        <f t="shared" si="3"/>
        <v>15.502716837831953</v>
      </c>
      <c r="T23" s="152">
        <f t="shared" si="4"/>
        <v>0.73750000000000004</v>
      </c>
      <c r="U23" s="152">
        <f t="shared" si="5"/>
        <v>0.8300121212121212</v>
      </c>
      <c r="V23" s="426">
        <f t="shared" ca="1" si="6"/>
        <v>20.507111691326674</v>
      </c>
      <c r="W23" s="426">
        <f t="shared" ca="1" si="7"/>
        <v>20.507111691326674</v>
      </c>
      <c r="X23" s="233">
        <f t="shared" si="8"/>
        <v>4.626292142891824</v>
      </c>
      <c r="Y23" s="233">
        <f t="shared" si="9"/>
        <v>6.9635599813815254</v>
      </c>
      <c r="Z23" s="233">
        <f t="shared" si="10"/>
        <v>4.626292142891824</v>
      </c>
      <c r="AA23" s="233">
        <f t="shared" si="11"/>
        <v>5.2928259963609277</v>
      </c>
      <c r="AB23" s="233">
        <f t="shared" si="12"/>
        <v>10.257414721629704</v>
      </c>
      <c r="AC23" s="233">
        <f t="shared" si="13"/>
        <v>2.6464129981804638</v>
      </c>
      <c r="AD23" s="233">
        <f t="shared" si="14"/>
        <v>3.2384925825357493</v>
      </c>
      <c r="AE23" s="233">
        <f t="shared" si="15"/>
        <v>3.8773027647760281</v>
      </c>
      <c r="AF23" s="233">
        <f t="shared" si="16"/>
        <v>7.4161108437382763</v>
      </c>
      <c r="AG23" s="233">
        <f t="shared" si="17"/>
        <v>1.938651382388014</v>
      </c>
      <c r="AH23" s="233">
        <f t="shared" si="18"/>
        <v>5.2387380011607716</v>
      </c>
      <c r="AI23" s="233">
        <f t="shared" si="19"/>
        <v>9.4368215438993275</v>
      </c>
      <c r="AJ23" s="233">
        <f t="shared" si="20"/>
        <v>4.2465696947546974</v>
      </c>
      <c r="AK23" s="233">
        <f t="shared" si="21"/>
        <v>2.2723876524515556</v>
      </c>
      <c r="AL23" s="233">
        <f t="shared" si="22"/>
        <v>9.3827816745000838</v>
      </c>
      <c r="AM23" s="233">
        <f t="shared" si="23"/>
        <v>7.7340907001087968</v>
      </c>
      <c r="AN23" s="233">
        <f t="shared" si="24"/>
        <v>7.2622496229138305</v>
      </c>
      <c r="AO23" s="233">
        <f t="shared" si="25"/>
        <v>3.5081876524515549</v>
      </c>
      <c r="AP23" s="233">
        <f t="shared" si="26"/>
        <v>1.9514590761929913</v>
      </c>
      <c r="AQ23" s="233">
        <f t="shared" si="27"/>
        <v>2.7695019748400203</v>
      </c>
      <c r="AR23" s="233">
        <f t="shared" si="28"/>
        <v>6.0929043446480442</v>
      </c>
      <c r="AS23" s="233">
        <f t="shared" si="29"/>
        <v>1.3847509874200101</v>
      </c>
      <c r="AT23" s="233">
        <f t="shared" si="30"/>
        <v>12.845113436612385</v>
      </c>
      <c r="AU23" s="233">
        <f t="shared" si="31"/>
        <v>1.6844245198724677</v>
      </c>
      <c r="AV23" s="233">
        <f t="shared" si="32"/>
        <v>2.7584337255587155</v>
      </c>
      <c r="AW23" s="233">
        <f t="shared" si="33"/>
        <v>0.84221225993623383</v>
      </c>
      <c r="AX23" s="233">
        <f t="shared" si="34"/>
        <v>1.938651382388014</v>
      </c>
      <c r="AY23" s="233">
        <f t="shared" si="35"/>
        <v>4.1029658886518821</v>
      </c>
      <c r="AZ23" s="233">
        <f t="shared" si="36"/>
        <v>0.96932569119400702</v>
      </c>
      <c r="BA23" s="233">
        <f t="shared" si="37"/>
        <v>13.607111691326679</v>
      </c>
      <c r="BB23" s="233">
        <f t="shared" si="38"/>
        <v>3.2781492579056484</v>
      </c>
      <c r="BC23" s="233">
        <f t="shared" si="39"/>
        <v>5.8793685419209973</v>
      </c>
      <c r="BD23" s="233">
        <f t="shared" si="40"/>
        <v>1.6390746289528242</v>
      </c>
      <c r="BE23" s="233">
        <f t="shared" si="41"/>
        <v>2.9849076839942437</v>
      </c>
      <c r="BF23" s="233">
        <f t="shared" si="42"/>
        <v>3.5695803231271368</v>
      </c>
      <c r="BG23" s="233">
        <f t="shared" si="43"/>
        <v>11.987865400058805</v>
      </c>
      <c r="BH23" s="233">
        <f t="shared" si="44"/>
        <v>13.240872293589412</v>
      </c>
      <c r="BI23" s="233">
        <f t="shared" si="45"/>
        <v>3.1226639176097284</v>
      </c>
      <c r="BJ23" s="233">
        <f t="shared" si="46"/>
        <v>4.9748461399904063</v>
      </c>
      <c r="BK23" s="233">
        <f t="shared" si="47"/>
        <v>2.7079574865102423</v>
      </c>
      <c r="BL23" s="233">
        <f t="shared" si="48"/>
        <v>5.1843095543954645</v>
      </c>
      <c r="BM23" s="233">
        <f t="shared" si="49"/>
        <v>13.343515618219515</v>
      </c>
      <c r="BN23" s="233">
        <f t="shared" si="50"/>
        <v>0.673769807948987</v>
      </c>
      <c r="BO23" s="233">
        <f t="shared" si="51"/>
        <v>1.8463346498933466</v>
      </c>
      <c r="BP23" s="233">
        <f t="shared" si="52"/>
        <v>0.6975042010708199</v>
      </c>
      <c r="BQ23" s="233">
        <f t="shared" si="53"/>
        <v>4.1501690658546373</v>
      </c>
      <c r="BR23" s="233">
        <f t="shared" si="54"/>
        <v>19.662845635046104</v>
      </c>
      <c r="BS23" s="233">
        <f t="shared" si="55"/>
        <v>1.7492100783291011</v>
      </c>
      <c r="BT23" s="233">
        <f t="shared" si="56"/>
        <v>2.9131057809428356</v>
      </c>
      <c r="BU23" s="233">
        <f t="shared" si="57"/>
        <v>2.5028091920776476</v>
      </c>
      <c r="BV23" s="233">
        <f t="shared" si="58"/>
        <v>6.191235819553639</v>
      </c>
      <c r="BW23" s="233">
        <f t="shared" si="59"/>
        <v>16.948479753989954</v>
      </c>
      <c r="BX23" s="233">
        <f t="shared" si="60"/>
        <v>1.5678105146505275</v>
      </c>
      <c r="BY23" s="233">
        <f t="shared" si="61"/>
        <v>2.9131057809428356</v>
      </c>
      <c r="BZ23" s="233">
        <f t="shared" si="62"/>
        <v>2.5028091920776476</v>
      </c>
      <c r="CA23" s="233">
        <f t="shared" si="63"/>
        <v>8.5860874772271352</v>
      </c>
      <c r="CB23" s="233">
        <f t="shared" si="64"/>
        <v>13.702614963737371</v>
      </c>
      <c r="CC23" s="233">
        <f t="shared" si="65"/>
        <v>1.9176525303163476</v>
      </c>
      <c r="CD23" s="233">
        <f t="shared" si="66"/>
        <v>5.5244873466786322</v>
      </c>
      <c r="CE23" s="233">
        <f t="shared" si="67"/>
        <v>7.4752241264873307</v>
      </c>
      <c r="CF23" s="233">
        <f t="shared" si="68"/>
        <v>11.091707764433835</v>
      </c>
      <c r="CG23" s="233">
        <f t="shared" si="69"/>
        <v>7.4752241264873307</v>
      </c>
      <c r="CH23" s="233">
        <f t="shared" si="70"/>
        <v>7.0452805836965178</v>
      </c>
      <c r="CI23" s="233">
        <f t="shared" si="71"/>
        <v>11.738285905426217</v>
      </c>
      <c r="CJ23" s="233">
        <f t="shared" si="72"/>
        <v>7.0452805836965178</v>
      </c>
      <c r="CK23" s="233">
        <f t="shared" si="73"/>
        <v>3.4017779228316698</v>
      </c>
    </row>
    <row r="24" spans="1:89" x14ac:dyDescent="0.25">
      <c r="A24" t="str">
        <f>PLANTILLA!D25</f>
        <v>S. Zobbe</v>
      </c>
      <c r="B24" s="589">
        <f>PLANTILLA!E25</f>
        <v>32</v>
      </c>
      <c r="C24" s="298">
        <f ca="1">PLANTILLA!F25</f>
        <v>43</v>
      </c>
      <c r="D24" s="589" t="str">
        <f>PLANTILLA!G25</f>
        <v>CAB</v>
      </c>
      <c r="E24" s="518">
        <v>36526</v>
      </c>
      <c r="F24" s="298">
        <f>PLANTILLA!Q25</f>
        <v>6</v>
      </c>
      <c r="G24" s="346">
        <f t="shared" si="0"/>
        <v>0.92582009977255142</v>
      </c>
      <c r="H24" s="346">
        <f t="shared" si="1"/>
        <v>0.99928545900129484</v>
      </c>
      <c r="I24" s="425">
        <f>PLANTILLA!P25</f>
        <v>1.5</v>
      </c>
      <c r="J24" s="426">
        <f>PLANTILLA!I25</f>
        <v>13</v>
      </c>
      <c r="K24" s="152">
        <f>PLANTILLA!X25</f>
        <v>0</v>
      </c>
      <c r="L24" s="152">
        <f>PLANTILLA!Y25</f>
        <v>8.3599999999999977</v>
      </c>
      <c r="M24" s="152">
        <f>PLANTILLA!Z25</f>
        <v>12.253412698412699</v>
      </c>
      <c r="N24" s="152">
        <f>PLANTILLA!AA25</f>
        <v>12.95</v>
      </c>
      <c r="O24" s="152">
        <f>PLANTILLA!AB25</f>
        <v>10.24</v>
      </c>
      <c r="P24" s="152">
        <f>PLANTILLA!AC25</f>
        <v>6.95</v>
      </c>
      <c r="Q24" s="152">
        <f>PLANTILLA!AD25</f>
        <v>16</v>
      </c>
      <c r="R24" s="426">
        <f t="shared" si="2"/>
        <v>3.9799999999999995</v>
      </c>
      <c r="S24" s="426">
        <f t="shared" si="3"/>
        <v>19.334419744797479</v>
      </c>
      <c r="T24" s="152">
        <f t="shared" si="4"/>
        <v>0.82750000000000001</v>
      </c>
      <c r="U24" s="152">
        <f t="shared" si="5"/>
        <v>0.81439999999999979</v>
      </c>
      <c r="V24" s="426">
        <f t="shared" ca="1" si="6"/>
        <v>17.114023223564956</v>
      </c>
      <c r="W24" s="426">
        <f t="shared" ca="1" si="7"/>
        <v>18.47204932850385</v>
      </c>
      <c r="X24" s="233">
        <f t="shared" si="8"/>
        <v>4.9134900620851578</v>
      </c>
      <c r="Y24" s="233">
        <f t="shared" si="9"/>
        <v>7.4069678237708345</v>
      </c>
      <c r="Z24" s="233">
        <f t="shared" si="10"/>
        <v>4.9134900620851578</v>
      </c>
      <c r="AA24" s="233">
        <f t="shared" si="11"/>
        <v>5.8541530263871024</v>
      </c>
      <c r="AB24" s="233">
        <f t="shared" si="12"/>
        <v>11.34525780307578</v>
      </c>
      <c r="AC24" s="233">
        <f t="shared" si="13"/>
        <v>2.9270765131935512</v>
      </c>
      <c r="AD24" s="233">
        <f t="shared" si="14"/>
        <v>3.6268035793542586</v>
      </c>
      <c r="AE24" s="233">
        <f t="shared" si="15"/>
        <v>4.288507449562645</v>
      </c>
      <c r="AF24" s="233">
        <f t="shared" si="16"/>
        <v>8.2026213916237882</v>
      </c>
      <c r="AG24" s="233">
        <f t="shared" si="17"/>
        <v>2.1442537247813225</v>
      </c>
      <c r="AH24" s="233">
        <f t="shared" si="18"/>
        <v>5.8668881430730657</v>
      </c>
      <c r="AI24" s="233">
        <f t="shared" si="19"/>
        <v>10.437637178829718</v>
      </c>
      <c r="AJ24" s="233">
        <f t="shared" si="20"/>
        <v>4.6969367304733725</v>
      </c>
      <c r="AK24" s="233">
        <f t="shared" si="21"/>
        <v>2.5448579737485768</v>
      </c>
      <c r="AL24" s="233">
        <f t="shared" si="22"/>
        <v>9.3699315882085585</v>
      </c>
      <c r="AM24" s="233">
        <f t="shared" si="23"/>
        <v>8.5543243835191376</v>
      </c>
      <c r="AN24" s="233">
        <f t="shared" si="24"/>
        <v>8.0324425245776521</v>
      </c>
      <c r="AO24" s="233">
        <f t="shared" si="25"/>
        <v>3.1705380531136558</v>
      </c>
      <c r="AP24" s="233">
        <f t="shared" si="26"/>
        <v>2.005994247285825</v>
      </c>
      <c r="AQ24" s="233">
        <f t="shared" si="27"/>
        <v>3.0632196068304607</v>
      </c>
      <c r="AR24" s="233">
        <f t="shared" si="28"/>
        <v>6.7390831350270135</v>
      </c>
      <c r="AS24" s="233">
        <f t="shared" si="29"/>
        <v>1.5316098034152303</v>
      </c>
      <c r="AT24" s="233">
        <f t="shared" si="30"/>
        <v>14.385304953405127</v>
      </c>
      <c r="AU24" s="233">
        <f t="shared" si="31"/>
        <v>1.7192835143998517</v>
      </c>
      <c r="AV24" s="233">
        <f t="shared" si="32"/>
        <v>3.3058305363012042</v>
      </c>
      <c r="AW24" s="233">
        <f t="shared" si="33"/>
        <v>0.85964175719992586</v>
      </c>
      <c r="AX24" s="233">
        <f t="shared" si="34"/>
        <v>2.1442537247813225</v>
      </c>
      <c r="AY24" s="233">
        <f t="shared" si="35"/>
        <v>4.5381031212303125</v>
      </c>
      <c r="AZ24" s="233">
        <f t="shared" si="36"/>
        <v>1.0721268623906612</v>
      </c>
      <c r="BA24" s="233">
        <f t="shared" si="37"/>
        <v>15.238670501488482</v>
      </c>
      <c r="BB24" s="233">
        <f t="shared" si="38"/>
        <v>3.3459902241781729</v>
      </c>
      <c r="BC24" s="233">
        <f t="shared" si="39"/>
        <v>6.5962170494947561</v>
      </c>
      <c r="BD24" s="233">
        <f t="shared" si="40"/>
        <v>1.6729951120890865</v>
      </c>
      <c r="BE24" s="233">
        <f t="shared" si="41"/>
        <v>3.301470020695052</v>
      </c>
      <c r="BF24" s="233">
        <f t="shared" si="42"/>
        <v>3.9481497154703713</v>
      </c>
      <c r="BG24" s="233">
        <f t="shared" si="43"/>
        <v>13.425268711811352</v>
      </c>
      <c r="BH24" s="233">
        <f t="shared" si="44"/>
        <v>13.31279418693437</v>
      </c>
      <c r="BI24" s="233">
        <f t="shared" si="45"/>
        <v>3.1872871305412636</v>
      </c>
      <c r="BJ24" s="233">
        <f t="shared" si="46"/>
        <v>5.5024500344917531</v>
      </c>
      <c r="BK24" s="233">
        <f t="shared" si="47"/>
        <v>2.995148060012006</v>
      </c>
      <c r="BL24" s="233">
        <f t="shared" si="48"/>
        <v>5.8059334610671121</v>
      </c>
      <c r="BM24" s="233">
        <f t="shared" si="49"/>
        <v>13.382705319888235</v>
      </c>
      <c r="BN24" s="233">
        <f t="shared" si="50"/>
        <v>0.68771340575994067</v>
      </c>
      <c r="BO24" s="233">
        <f t="shared" si="51"/>
        <v>2.0421464045536402</v>
      </c>
      <c r="BP24" s="233">
        <f t="shared" si="52"/>
        <v>0.77147753060915314</v>
      </c>
      <c r="BQ24" s="233">
        <f t="shared" si="53"/>
        <v>4.6477945029539871</v>
      </c>
      <c r="BR24" s="233">
        <f t="shared" si="54"/>
        <v>19.717681534755457</v>
      </c>
      <c r="BS24" s="233">
        <f t="shared" si="55"/>
        <v>1.7854098034152308</v>
      </c>
      <c r="BT24" s="233">
        <f t="shared" si="56"/>
        <v>3.2220532160735211</v>
      </c>
      <c r="BU24" s="233">
        <f t="shared" si="57"/>
        <v>2.7682429039504903</v>
      </c>
      <c r="BV24" s="233">
        <f t="shared" si="58"/>
        <v>6.9335950781772597</v>
      </c>
      <c r="BW24" s="233">
        <f t="shared" si="59"/>
        <v>16.995025645807967</v>
      </c>
      <c r="BX24" s="233">
        <f t="shared" si="60"/>
        <v>1.6002561941721696</v>
      </c>
      <c r="BY24" s="233">
        <f t="shared" si="61"/>
        <v>3.2220532160735211</v>
      </c>
      <c r="BZ24" s="233">
        <f t="shared" si="62"/>
        <v>2.7682429039504903</v>
      </c>
      <c r="CA24" s="233">
        <f t="shared" si="63"/>
        <v>9.6156010864392325</v>
      </c>
      <c r="CB24" s="233">
        <f t="shared" si="64"/>
        <v>13.739025733752825</v>
      </c>
      <c r="CC24" s="233">
        <f t="shared" si="65"/>
        <v>1.9573381548552158</v>
      </c>
      <c r="CD24" s="233">
        <f t="shared" si="66"/>
        <v>6.186900223604324</v>
      </c>
      <c r="CE24" s="233">
        <f t="shared" si="67"/>
        <v>6.8627693154024829</v>
      </c>
      <c r="CF24" s="233">
        <f t="shared" si="68"/>
        <v>12.973570286263332</v>
      </c>
      <c r="CG24" s="233">
        <f t="shared" si="69"/>
        <v>6.8627693154024829</v>
      </c>
      <c r="CH24" s="233">
        <f t="shared" si="70"/>
        <v>7.8528456113162122</v>
      </c>
      <c r="CI24" s="233">
        <f t="shared" si="71"/>
        <v>14.815377932410746</v>
      </c>
      <c r="CJ24" s="233">
        <f t="shared" si="72"/>
        <v>7.8528456113162122</v>
      </c>
      <c r="CK24" s="233">
        <f t="shared" si="73"/>
        <v>3.8096676253721204</v>
      </c>
    </row>
    <row r="25" spans="1:89" x14ac:dyDescent="0.25">
      <c r="A25" t="str">
        <f>PLANTILLA!D26</f>
        <v>L. Bauman</v>
      </c>
      <c r="B25" s="589">
        <f>PLANTILLA!E26</f>
        <v>35</v>
      </c>
      <c r="C25" s="298">
        <f ca="1">PLANTILLA!F26</f>
        <v>43</v>
      </c>
      <c r="D25" s="589">
        <f>PLANTILLA!G26</f>
        <v>0</v>
      </c>
      <c r="E25" s="518">
        <v>36526</v>
      </c>
      <c r="F25" s="298">
        <f>PLANTILLA!Q26</f>
        <v>5</v>
      </c>
      <c r="G25" s="346">
        <f t="shared" si="0"/>
        <v>0.84515425472851657</v>
      </c>
      <c r="H25" s="346">
        <f t="shared" si="1"/>
        <v>0.92504826128926143</v>
      </c>
      <c r="I25" s="425">
        <f>PLANTILLA!P26</f>
        <v>1.5</v>
      </c>
      <c r="J25" s="426">
        <f>PLANTILLA!I26</f>
        <v>12</v>
      </c>
      <c r="K25" s="152">
        <f>PLANTILLA!X26</f>
        <v>0</v>
      </c>
      <c r="L25" s="152">
        <f>PLANTILLA!Y26</f>
        <v>5.95</v>
      </c>
      <c r="M25" s="152">
        <f>PLANTILLA!Z26</f>
        <v>14.1</v>
      </c>
      <c r="N25" s="152">
        <f>PLANTILLA!AA26</f>
        <v>2.95</v>
      </c>
      <c r="O25" s="152">
        <f>PLANTILLA!AB26</f>
        <v>8.9499999999999993</v>
      </c>
      <c r="P25" s="152">
        <f>PLANTILLA!AC26</f>
        <v>5.95</v>
      </c>
      <c r="Q25" s="152">
        <f>PLANTILLA!AD26</f>
        <v>16.95</v>
      </c>
      <c r="R25" s="426">
        <f t="shared" si="2"/>
        <v>3.3562499999999997</v>
      </c>
      <c r="S25" s="426">
        <f t="shared" si="3"/>
        <v>18.094487405020338</v>
      </c>
      <c r="T25" s="152">
        <f t="shared" si="4"/>
        <v>0.80600000000000005</v>
      </c>
      <c r="U25" s="152">
        <f t="shared" si="5"/>
        <v>0.74649999999999994</v>
      </c>
      <c r="V25" s="426">
        <f t="shared" ca="1" si="6"/>
        <v>16.386618368004036</v>
      </c>
      <c r="W25" s="426">
        <f t="shared" ca="1" si="7"/>
        <v>17.935675937172022</v>
      </c>
      <c r="X25" s="233">
        <f t="shared" si="8"/>
        <v>4.2078669703994356</v>
      </c>
      <c r="Y25" s="233">
        <f t="shared" si="9"/>
        <v>6.322880651529978</v>
      </c>
      <c r="Z25" s="233">
        <f t="shared" si="10"/>
        <v>4.2078669703994356</v>
      </c>
      <c r="AA25" s="233">
        <f t="shared" si="11"/>
        <v>4.5866766972807662</v>
      </c>
      <c r="AB25" s="233">
        <f t="shared" si="12"/>
        <v>8.8889083280635006</v>
      </c>
      <c r="AC25" s="233">
        <f t="shared" si="13"/>
        <v>2.2933383486403831</v>
      </c>
      <c r="AD25" s="233">
        <f t="shared" si="14"/>
        <v>4.0552601820791123</v>
      </c>
      <c r="AE25" s="233">
        <f t="shared" si="15"/>
        <v>3.3600073480080033</v>
      </c>
      <c r="AF25" s="233">
        <f t="shared" si="16"/>
        <v>6.4266807211899106</v>
      </c>
      <c r="AG25" s="233">
        <f t="shared" si="17"/>
        <v>1.6800036740040016</v>
      </c>
      <c r="AH25" s="233">
        <f t="shared" si="18"/>
        <v>6.5599797063044472</v>
      </c>
      <c r="AI25" s="233">
        <f t="shared" si="19"/>
        <v>8.1777956618184202</v>
      </c>
      <c r="AJ25" s="233">
        <f t="shared" si="20"/>
        <v>3.6800080478182893</v>
      </c>
      <c r="AK25" s="233">
        <f t="shared" si="21"/>
        <v>2.8454976907866047</v>
      </c>
      <c r="AL25" s="233">
        <f t="shared" si="22"/>
        <v>3.4626780969013375</v>
      </c>
      <c r="AM25" s="233">
        <f t="shared" si="23"/>
        <v>6.7022368793598792</v>
      </c>
      <c r="AN25" s="233">
        <f t="shared" si="24"/>
        <v>6.2933470962689579</v>
      </c>
      <c r="AO25" s="233">
        <f t="shared" si="25"/>
        <v>3.3214476907866048</v>
      </c>
      <c r="AP25" s="233">
        <f t="shared" si="26"/>
        <v>1.8130055984822875</v>
      </c>
      <c r="AQ25" s="233">
        <f t="shared" si="27"/>
        <v>2.4000052485771453</v>
      </c>
      <c r="AR25" s="233">
        <f t="shared" si="28"/>
        <v>5.2800115468697193</v>
      </c>
      <c r="AS25" s="233">
        <f t="shared" si="29"/>
        <v>1.2000026242885726</v>
      </c>
      <c r="AT25" s="233">
        <f t="shared" si="30"/>
        <v>16.084729461691943</v>
      </c>
      <c r="AU25" s="233">
        <f t="shared" si="31"/>
        <v>1.5455580826482549</v>
      </c>
      <c r="AV25" s="233">
        <f t="shared" si="32"/>
        <v>2.9644501401226053</v>
      </c>
      <c r="AW25" s="233">
        <f t="shared" si="33"/>
        <v>0.77277904132412745</v>
      </c>
      <c r="AX25" s="233">
        <f t="shared" si="34"/>
        <v>1.6800036740040016</v>
      </c>
      <c r="AY25" s="233">
        <f t="shared" si="35"/>
        <v>3.5555633312254002</v>
      </c>
      <c r="AZ25" s="233">
        <f t="shared" si="36"/>
        <v>0.84000183700200082</v>
      </c>
      <c r="BA25" s="233">
        <f t="shared" si="37"/>
        <v>17.038908328063499</v>
      </c>
      <c r="BB25" s="233">
        <f t="shared" si="38"/>
        <v>3.0078938070000651</v>
      </c>
      <c r="BC25" s="233">
        <f t="shared" si="39"/>
        <v>5.9207884887629882</v>
      </c>
      <c r="BD25" s="233">
        <f t="shared" si="40"/>
        <v>1.5039469035000326</v>
      </c>
      <c r="BE25" s="233">
        <f t="shared" si="41"/>
        <v>2.5866723234664786</v>
      </c>
      <c r="BF25" s="233">
        <f t="shared" si="42"/>
        <v>3.0933400981660979</v>
      </c>
      <c r="BG25" s="233">
        <f t="shared" si="43"/>
        <v>15.011278237023943</v>
      </c>
      <c r="BH25" s="233">
        <f t="shared" si="44"/>
        <v>7.1252395036484515</v>
      </c>
      <c r="BI25" s="233">
        <f t="shared" si="45"/>
        <v>2.865226907063303</v>
      </c>
      <c r="BJ25" s="233">
        <f t="shared" si="46"/>
        <v>4.3111205391107976</v>
      </c>
      <c r="BK25" s="233">
        <f t="shared" si="47"/>
        <v>2.3466717986087642</v>
      </c>
      <c r="BL25" s="233">
        <f t="shared" si="48"/>
        <v>6.491824072992193</v>
      </c>
      <c r="BM25" s="233">
        <f t="shared" si="49"/>
        <v>6.3529058787274995</v>
      </c>
      <c r="BN25" s="233">
        <f t="shared" si="50"/>
        <v>0.61822323305930194</v>
      </c>
      <c r="BO25" s="233">
        <f t="shared" si="51"/>
        <v>1.60000349905143</v>
      </c>
      <c r="BP25" s="233">
        <f t="shared" si="52"/>
        <v>0.60444576630831803</v>
      </c>
      <c r="BQ25" s="233">
        <f t="shared" si="53"/>
        <v>5.1968670400593675</v>
      </c>
      <c r="BR25" s="233">
        <f t="shared" si="54"/>
        <v>9.289136109889661</v>
      </c>
      <c r="BS25" s="233">
        <f t="shared" si="55"/>
        <v>1.6050026242885724</v>
      </c>
      <c r="BT25" s="233">
        <f t="shared" si="56"/>
        <v>2.5244499651700338</v>
      </c>
      <c r="BU25" s="233">
        <f t="shared" si="57"/>
        <v>2.1688936320474941</v>
      </c>
      <c r="BV25" s="233">
        <f t="shared" si="58"/>
        <v>7.7527032892688927</v>
      </c>
      <c r="BW25" s="233">
        <f t="shared" si="59"/>
        <v>7.988910427494357</v>
      </c>
      <c r="BX25" s="233">
        <f t="shared" si="60"/>
        <v>1.4385579076956834</v>
      </c>
      <c r="BY25" s="233">
        <f t="shared" si="61"/>
        <v>2.5244499651700338</v>
      </c>
      <c r="BZ25" s="233">
        <f t="shared" si="62"/>
        <v>2.1688936320474941</v>
      </c>
      <c r="CA25" s="233">
        <f t="shared" si="63"/>
        <v>10.751551155008068</v>
      </c>
      <c r="CB25" s="233">
        <f t="shared" si="64"/>
        <v>6.4285729536168326</v>
      </c>
      <c r="CC25" s="233">
        <f t="shared" si="65"/>
        <v>1.7595584325533977</v>
      </c>
      <c r="CD25" s="233">
        <f t="shared" si="66"/>
        <v>6.9177967811937808</v>
      </c>
      <c r="CE25" s="233">
        <f t="shared" si="67"/>
        <v>4.9491212389210837</v>
      </c>
      <c r="CF25" s="233">
        <f t="shared" si="68"/>
        <v>11.637910777399501</v>
      </c>
      <c r="CG25" s="233">
        <f t="shared" si="69"/>
        <v>4.9491212389210837</v>
      </c>
      <c r="CH25" s="233">
        <f t="shared" si="70"/>
        <v>5.1707898883835606</v>
      </c>
      <c r="CI25" s="233">
        <f t="shared" si="71"/>
        <v>13.275915501118931</v>
      </c>
      <c r="CJ25" s="233">
        <f t="shared" si="72"/>
        <v>5.1707898883835606</v>
      </c>
      <c r="CK25" s="233">
        <f t="shared" si="73"/>
        <v>4.2597270820158748</v>
      </c>
    </row>
    <row r="26" spans="1:89" x14ac:dyDescent="0.25">
      <c r="A26" t="str">
        <f>PLANTILLA!D27</f>
        <v>J. Limon</v>
      </c>
      <c r="B26" s="589">
        <f>PLANTILLA!E27</f>
        <v>34</v>
      </c>
      <c r="C26" s="298">
        <f ca="1">PLANTILLA!F27</f>
        <v>80</v>
      </c>
      <c r="D26" s="589" t="str">
        <f>PLANTILLA!G27</f>
        <v>RAP</v>
      </c>
      <c r="E26" s="518">
        <v>36526</v>
      </c>
      <c r="F26" s="298">
        <f>PLANTILLA!Q27</f>
        <v>5</v>
      </c>
      <c r="G26" s="346">
        <f t="shared" si="0"/>
        <v>0.84515425472851657</v>
      </c>
      <c r="H26" s="346">
        <f t="shared" si="1"/>
        <v>0.92504826128926143</v>
      </c>
      <c r="I26" s="425">
        <f>PLANTILLA!P27</f>
        <v>1.5</v>
      </c>
      <c r="J26" s="426">
        <f>PLANTILLA!I27</f>
        <v>14.3</v>
      </c>
      <c r="K26" s="152">
        <f>PLANTILLA!X27</f>
        <v>0</v>
      </c>
      <c r="L26" s="152">
        <f>PLANTILLA!Y27</f>
        <v>6.8376190476190493</v>
      </c>
      <c r="M26" s="152">
        <f>PLANTILLA!Z27</f>
        <v>8.9499999999999993</v>
      </c>
      <c r="N26" s="152">
        <f>PLANTILLA!AA27</f>
        <v>8.7399999999999967</v>
      </c>
      <c r="O26" s="152">
        <f>PLANTILLA!AB27</f>
        <v>9.9499999999999993</v>
      </c>
      <c r="P26" s="152">
        <f>PLANTILLA!AC27</f>
        <v>7.95</v>
      </c>
      <c r="Q26" s="152">
        <f>PLANTILLA!AD27</f>
        <v>18.999999999999993</v>
      </c>
      <c r="R26" s="426">
        <f t="shared" si="2"/>
        <v>3.7172023809523811</v>
      </c>
      <c r="S26" s="426">
        <f t="shared" si="3"/>
        <v>22.766390190397047</v>
      </c>
      <c r="T26" s="152">
        <f t="shared" si="4"/>
        <v>0.96749999999999969</v>
      </c>
      <c r="U26" s="152">
        <f t="shared" si="5"/>
        <v>0.84350476190476176</v>
      </c>
      <c r="V26" s="426">
        <f t="shared" ca="1" si="6"/>
        <v>18.205001318176702</v>
      </c>
      <c r="W26" s="426">
        <f t="shared" ca="1" si="7"/>
        <v>19.925954016001061</v>
      </c>
      <c r="X26" s="233">
        <f t="shared" si="8"/>
        <v>4.5414940047521899</v>
      </c>
      <c r="Y26" s="233">
        <f t="shared" si="9"/>
        <v>6.8312065277279563</v>
      </c>
      <c r="Z26" s="233">
        <f t="shared" si="10"/>
        <v>4.5414940047521899</v>
      </c>
      <c r="AA26" s="233">
        <f t="shared" si="11"/>
        <v>5.0970826223473926</v>
      </c>
      <c r="AB26" s="233">
        <f t="shared" si="12"/>
        <v>9.8780670975724654</v>
      </c>
      <c r="AC26" s="233">
        <f t="shared" si="13"/>
        <v>2.5485413111736963</v>
      </c>
      <c r="AD26" s="233">
        <f t="shared" si="14"/>
        <v>2.8537266358889126</v>
      </c>
      <c r="AE26" s="233">
        <f t="shared" si="15"/>
        <v>3.7339093628823918</v>
      </c>
      <c r="AF26" s="233">
        <f t="shared" si="16"/>
        <v>7.1418425115448922</v>
      </c>
      <c r="AG26" s="233">
        <f t="shared" si="17"/>
        <v>1.8669546814411959</v>
      </c>
      <c r="AH26" s="233">
        <f t="shared" si="18"/>
        <v>4.6163224992320648</v>
      </c>
      <c r="AI26" s="233">
        <f t="shared" si="19"/>
        <v>9.0878217297666684</v>
      </c>
      <c r="AJ26" s="233">
        <f t="shared" si="20"/>
        <v>4.0895197783950001</v>
      </c>
      <c r="AK26" s="233">
        <f t="shared" si="21"/>
        <v>2.0024048243422206</v>
      </c>
      <c r="AL26" s="233">
        <f t="shared" si="22"/>
        <v>6.9269034533726055</v>
      </c>
      <c r="AM26" s="233">
        <f t="shared" si="23"/>
        <v>7.4480625915696388</v>
      </c>
      <c r="AN26" s="233">
        <f t="shared" si="24"/>
        <v>6.9936715050813048</v>
      </c>
      <c r="AO26" s="233">
        <f t="shared" si="25"/>
        <v>3.6807548243422192</v>
      </c>
      <c r="AP26" s="233">
        <f t="shared" si="26"/>
        <v>1.9462033241008694</v>
      </c>
      <c r="AQ26" s="233">
        <f t="shared" si="27"/>
        <v>2.667078116344566</v>
      </c>
      <c r="AR26" s="233">
        <f t="shared" si="28"/>
        <v>5.8675718559580439</v>
      </c>
      <c r="AS26" s="233">
        <f t="shared" si="29"/>
        <v>1.333539058172283</v>
      </c>
      <c r="AT26" s="233">
        <f t="shared" si="30"/>
        <v>11.318982959156022</v>
      </c>
      <c r="AU26" s="233">
        <f t="shared" si="31"/>
        <v>1.6887582464939439</v>
      </c>
      <c r="AV26" s="233">
        <f t="shared" si="32"/>
        <v>3.4602012786363501</v>
      </c>
      <c r="AW26" s="233">
        <f t="shared" si="33"/>
        <v>0.84437912324697195</v>
      </c>
      <c r="AX26" s="233">
        <f t="shared" si="34"/>
        <v>1.8669546814411959</v>
      </c>
      <c r="AY26" s="233">
        <f t="shared" si="35"/>
        <v>3.9512268390289864</v>
      </c>
      <c r="AZ26" s="233">
        <f t="shared" si="36"/>
        <v>0.93347734072059796</v>
      </c>
      <c r="BA26" s="233">
        <f t="shared" si="37"/>
        <v>11.990448049953415</v>
      </c>
      <c r="BB26" s="233">
        <f t="shared" si="38"/>
        <v>3.2865833566382139</v>
      </c>
      <c r="BC26" s="233">
        <f t="shared" si="39"/>
        <v>6.7377368755243321</v>
      </c>
      <c r="BD26" s="233">
        <f t="shared" si="40"/>
        <v>1.6432916783191069</v>
      </c>
      <c r="BE26" s="233">
        <f t="shared" si="41"/>
        <v>2.8745175253935873</v>
      </c>
      <c r="BF26" s="233">
        <f t="shared" si="42"/>
        <v>3.4375673499552177</v>
      </c>
      <c r="BG26" s="233">
        <f t="shared" si="43"/>
        <v>10.563584732008959</v>
      </c>
      <c r="BH26" s="233">
        <f t="shared" si="44"/>
        <v>10.853968316408583</v>
      </c>
      <c r="BI26" s="233">
        <f t="shared" si="45"/>
        <v>3.1306979800387729</v>
      </c>
      <c r="BJ26" s="233">
        <f t="shared" si="46"/>
        <v>4.7908625423226452</v>
      </c>
      <c r="BK26" s="233">
        <f t="shared" si="47"/>
        <v>2.607809713759131</v>
      </c>
      <c r="BL26" s="233">
        <f t="shared" si="48"/>
        <v>4.5683607070322507</v>
      </c>
      <c r="BM26" s="233">
        <f t="shared" si="49"/>
        <v>10.539321595659283</v>
      </c>
      <c r="BN26" s="233">
        <f t="shared" si="50"/>
        <v>0.67550329859757752</v>
      </c>
      <c r="BO26" s="233">
        <f t="shared" si="51"/>
        <v>1.7780520775630437</v>
      </c>
      <c r="BP26" s="233">
        <f t="shared" si="52"/>
        <v>0.67170856263492773</v>
      </c>
      <c r="BQ26" s="233">
        <f t="shared" si="53"/>
        <v>3.6570866552357915</v>
      </c>
      <c r="BR26" s="233">
        <f t="shared" si="54"/>
        <v>15.495716192240089</v>
      </c>
      <c r="BS26" s="233">
        <f t="shared" si="55"/>
        <v>1.753710486743711</v>
      </c>
      <c r="BT26" s="233">
        <f t="shared" si="56"/>
        <v>2.8053710557105798</v>
      </c>
      <c r="BU26" s="233">
        <f t="shared" si="57"/>
        <v>2.4102483718076817</v>
      </c>
      <c r="BV26" s="233">
        <f t="shared" si="58"/>
        <v>5.4556538627288038</v>
      </c>
      <c r="BW26" s="233">
        <f t="shared" si="59"/>
        <v>13.347976439348383</v>
      </c>
      <c r="BX26" s="233">
        <f t="shared" si="60"/>
        <v>1.5718442140443631</v>
      </c>
      <c r="BY26" s="233">
        <f t="shared" si="61"/>
        <v>2.8053710557105798</v>
      </c>
      <c r="BZ26" s="233">
        <f t="shared" si="62"/>
        <v>2.4102483718076817</v>
      </c>
      <c r="CA26" s="233">
        <f t="shared" si="63"/>
        <v>7.5659727195206044</v>
      </c>
      <c r="CB26" s="233">
        <f t="shared" si="64"/>
        <v>10.777031004708304</v>
      </c>
      <c r="CC26" s="233">
        <f t="shared" si="65"/>
        <v>1.9225863113931052</v>
      </c>
      <c r="CD26" s="233">
        <f t="shared" si="66"/>
        <v>4.8681219082810863</v>
      </c>
      <c r="CE26" s="233">
        <f t="shared" si="67"/>
        <v>6.339783434025728</v>
      </c>
      <c r="CF26" s="233">
        <f t="shared" si="68"/>
        <v>13.461244504247546</v>
      </c>
      <c r="CG26" s="233">
        <f t="shared" si="69"/>
        <v>6.339783434025728</v>
      </c>
      <c r="CH26" s="233">
        <f t="shared" si="70"/>
        <v>7.1756391351209761</v>
      </c>
      <c r="CI26" s="233">
        <f t="shared" si="71"/>
        <v>15.783923380386224</v>
      </c>
      <c r="CJ26" s="233">
        <f t="shared" si="72"/>
        <v>7.1756391351209761</v>
      </c>
      <c r="CK26" s="233">
        <f t="shared" si="73"/>
        <v>2.9976120124883536</v>
      </c>
    </row>
    <row r="27" spans="1:89" x14ac:dyDescent="0.25">
      <c r="A27" t="str">
        <f>PLANTILLA!D28</f>
        <v>P .Trivadi</v>
      </c>
      <c r="B27" s="589">
        <f>PLANTILLA!E28</f>
        <v>31</v>
      </c>
      <c r="C27" s="298">
        <f ca="1">PLANTILLA!F28</f>
        <v>111</v>
      </c>
      <c r="D27" s="589">
        <f>PLANTILLA!G28</f>
        <v>0</v>
      </c>
      <c r="E27" s="518">
        <v>36526</v>
      </c>
      <c r="F27" s="298">
        <f>PLANTILLA!Q28</f>
        <v>4</v>
      </c>
      <c r="G27" s="346">
        <f t="shared" si="0"/>
        <v>0.7559289460184544</v>
      </c>
      <c r="H27" s="346">
        <f t="shared" si="1"/>
        <v>0.84430867747355465</v>
      </c>
      <c r="I27" s="425">
        <f>PLANTILLA!P28</f>
        <v>1.5</v>
      </c>
      <c r="J27" s="426">
        <f>PLANTILLA!I28</f>
        <v>6.2</v>
      </c>
      <c r="K27" s="152">
        <f>PLANTILLA!X28</f>
        <v>0</v>
      </c>
      <c r="L27" s="152">
        <f>PLANTILLA!Y28</f>
        <v>4.0199999999999996</v>
      </c>
      <c r="M27" s="152">
        <f>PLANTILLA!Z28</f>
        <v>5.95</v>
      </c>
      <c r="N27" s="152">
        <f>PLANTILLA!AA28</f>
        <v>5.5099999999999989</v>
      </c>
      <c r="O27" s="152">
        <f>PLANTILLA!AB28</f>
        <v>10.95</v>
      </c>
      <c r="P27" s="152">
        <f>PLANTILLA!AC28</f>
        <v>7.95</v>
      </c>
      <c r="Q27" s="152">
        <f>PLANTILLA!AD28</f>
        <v>14</v>
      </c>
      <c r="R27" s="426">
        <f t="shared" si="2"/>
        <v>3.6149999999999998</v>
      </c>
      <c r="S27" s="426">
        <f t="shared" si="3"/>
        <v>18.946914178388191</v>
      </c>
      <c r="T27" s="152">
        <f t="shared" si="4"/>
        <v>0.81750000000000012</v>
      </c>
      <c r="U27" s="152">
        <f t="shared" si="5"/>
        <v>0.58079999999999998</v>
      </c>
      <c r="V27" s="426">
        <f t="shared" ca="1" si="6"/>
        <v>12.137589943178412</v>
      </c>
      <c r="W27" s="426">
        <f t="shared" ca="1" si="7"/>
        <v>13.556661067971726</v>
      </c>
      <c r="X27" s="233">
        <f t="shared" si="8"/>
        <v>3.3413639265759674</v>
      </c>
      <c r="Y27" s="233">
        <f t="shared" si="9"/>
        <v>5.0089702281896606</v>
      </c>
      <c r="Z27" s="233">
        <f t="shared" si="10"/>
        <v>3.3413639265759674</v>
      </c>
      <c r="AA27" s="233">
        <f t="shared" si="11"/>
        <v>3.3934854823747984</v>
      </c>
      <c r="AB27" s="233">
        <f t="shared" si="12"/>
        <v>6.5765222526643381</v>
      </c>
      <c r="AC27" s="233">
        <f t="shared" si="13"/>
        <v>1.6967427411873992</v>
      </c>
      <c r="AD27" s="233">
        <f t="shared" si="14"/>
        <v>2.0245522961341127</v>
      </c>
      <c r="AE27" s="233">
        <f t="shared" si="15"/>
        <v>2.4859254115071199</v>
      </c>
      <c r="AF27" s="233">
        <f t="shared" si="16"/>
        <v>4.754825588676316</v>
      </c>
      <c r="AG27" s="233">
        <f t="shared" si="17"/>
        <v>1.2429627057535599</v>
      </c>
      <c r="AH27" s="233">
        <f t="shared" si="18"/>
        <v>3.2750110672757708</v>
      </c>
      <c r="AI27" s="233">
        <f t="shared" si="19"/>
        <v>6.0504004724511917</v>
      </c>
      <c r="AJ27" s="233">
        <f t="shared" si="20"/>
        <v>2.7226802126030361</v>
      </c>
      <c r="AK27" s="233">
        <f t="shared" si="21"/>
        <v>1.4205892161949447</v>
      </c>
      <c r="AL27" s="233">
        <f t="shared" si="22"/>
        <v>4.7431150845666306</v>
      </c>
      <c r="AM27" s="233">
        <f t="shared" si="23"/>
        <v>4.9586977785089106</v>
      </c>
      <c r="AN27" s="233">
        <f t="shared" si="24"/>
        <v>4.6561777548863512</v>
      </c>
      <c r="AO27" s="233">
        <f t="shared" si="25"/>
        <v>2.7649392161949442</v>
      </c>
      <c r="AP27" s="233">
        <f t="shared" si="26"/>
        <v>1.7773984087673294</v>
      </c>
      <c r="AQ27" s="233">
        <f t="shared" si="27"/>
        <v>1.7756610082193713</v>
      </c>
      <c r="AR27" s="233">
        <f t="shared" si="28"/>
        <v>3.9064542180826165</v>
      </c>
      <c r="AS27" s="233">
        <f t="shared" si="29"/>
        <v>0.88783050410968567</v>
      </c>
      <c r="AT27" s="233">
        <f t="shared" si="30"/>
        <v>8.030157006515136</v>
      </c>
      <c r="AU27" s="233">
        <f t="shared" si="31"/>
        <v>1.7558478928463639</v>
      </c>
      <c r="AV27" s="233">
        <f t="shared" si="32"/>
        <v>3.4384110200306508</v>
      </c>
      <c r="AW27" s="233">
        <f t="shared" si="33"/>
        <v>0.87792394642318194</v>
      </c>
      <c r="AX27" s="233">
        <f t="shared" si="34"/>
        <v>1.2429627057535599</v>
      </c>
      <c r="AY27" s="233">
        <f t="shared" si="35"/>
        <v>2.6306089010657354</v>
      </c>
      <c r="AZ27" s="233">
        <f t="shared" si="36"/>
        <v>0.62148135287677997</v>
      </c>
      <c r="BA27" s="233">
        <f t="shared" si="37"/>
        <v>8.5065222526643396</v>
      </c>
      <c r="BB27" s="233">
        <f t="shared" si="38"/>
        <v>3.4171501299240776</v>
      </c>
      <c r="BC27" s="233">
        <f t="shared" si="39"/>
        <v>6.8120937612180503</v>
      </c>
      <c r="BD27" s="233">
        <f t="shared" si="40"/>
        <v>1.7085750649620388</v>
      </c>
      <c r="BE27" s="233">
        <f t="shared" si="41"/>
        <v>1.9137679755253223</v>
      </c>
      <c r="BF27" s="233">
        <f t="shared" si="42"/>
        <v>2.2886297439271894</v>
      </c>
      <c r="BG27" s="233">
        <f t="shared" si="43"/>
        <v>7.4942461045972832</v>
      </c>
      <c r="BH27" s="233">
        <f t="shared" si="44"/>
        <v>8.8847382826185957</v>
      </c>
      <c r="BI27" s="233">
        <f t="shared" si="45"/>
        <v>3.2550718628921054</v>
      </c>
      <c r="BJ27" s="233">
        <f t="shared" si="46"/>
        <v>3.1896132925422038</v>
      </c>
      <c r="BK27" s="233">
        <f t="shared" si="47"/>
        <v>1.7362018747033854</v>
      </c>
      <c r="BL27" s="233">
        <f t="shared" si="48"/>
        <v>3.2409849782651134</v>
      </c>
      <c r="BM27" s="233">
        <f t="shared" si="49"/>
        <v>8.143580448828633</v>
      </c>
      <c r="BN27" s="233">
        <f t="shared" si="50"/>
        <v>0.70233915713854556</v>
      </c>
      <c r="BO27" s="233">
        <f t="shared" si="51"/>
        <v>1.1837740054795809</v>
      </c>
      <c r="BP27" s="233">
        <f t="shared" si="52"/>
        <v>0.44720351318117502</v>
      </c>
      <c r="BQ27" s="233">
        <f t="shared" si="53"/>
        <v>2.5944892870626237</v>
      </c>
      <c r="BR27" s="233">
        <f t="shared" si="54"/>
        <v>11.929387616926338</v>
      </c>
      <c r="BS27" s="233">
        <f t="shared" si="55"/>
        <v>1.8233805041096858</v>
      </c>
      <c r="BT27" s="233">
        <f t="shared" si="56"/>
        <v>1.8677323197566718</v>
      </c>
      <c r="BU27" s="233">
        <f t="shared" si="57"/>
        <v>1.6046714296500986</v>
      </c>
      <c r="BV27" s="233">
        <f t="shared" si="58"/>
        <v>3.8704676249622745</v>
      </c>
      <c r="BW27" s="233">
        <f t="shared" si="59"/>
        <v>10.265066655952086</v>
      </c>
      <c r="BX27" s="233">
        <f t="shared" si="60"/>
        <v>1.6342891925723848</v>
      </c>
      <c r="BY27" s="233">
        <f t="shared" si="61"/>
        <v>1.8677323197566718</v>
      </c>
      <c r="BZ27" s="233">
        <f t="shared" si="62"/>
        <v>1.6046714296500986</v>
      </c>
      <c r="CA27" s="233">
        <f t="shared" si="63"/>
        <v>5.3676155414311983</v>
      </c>
      <c r="CB27" s="233">
        <f t="shared" si="64"/>
        <v>8.269457416134582</v>
      </c>
      <c r="CC27" s="233">
        <f t="shared" si="65"/>
        <v>1.9989652933943218</v>
      </c>
      <c r="CD27" s="233">
        <f t="shared" si="66"/>
        <v>3.4536480345817222</v>
      </c>
      <c r="CE27" s="233">
        <f t="shared" si="67"/>
        <v>5.87253809363812</v>
      </c>
      <c r="CF27" s="233">
        <f t="shared" si="68"/>
        <v>13.459344056500044</v>
      </c>
      <c r="CG27" s="233">
        <f t="shared" si="69"/>
        <v>5.87253809363812</v>
      </c>
      <c r="CH27" s="233">
        <f t="shared" si="70"/>
        <v>6.302323363409883</v>
      </c>
      <c r="CI27" s="233">
        <f t="shared" si="71"/>
        <v>15.490428963897479</v>
      </c>
      <c r="CJ27" s="233">
        <f t="shared" si="72"/>
        <v>6.302323363409883</v>
      </c>
      <c r="CK27" s="233">
        <f t="shared" si="73"/>
        <v>2.1266305631660849</v>
      </c>
    </row>
    <row r="28" spans="1:89" x14ac:dyDescent="0.25">
      <c r="D28" s="416"/>
    </row>
    <row r="29" spans="1:89" ht="18.75" x14ac:dyDescent="0.3">
      <c r="A29" s="375" t="s">
        <v>471</v>
      </c>
      <c r="B29" s="375" t="s">
        <v>171</v>
      </c>
      <c r="C29" s="375"/>
      <c r="D29" s="376"/>
      <c r="L29" s="47"/>
      <c r="M29" s="47"/>
    </row>
    <row r="30" spans="1:89" x14ac:dyDescent="0.25">
      <c r="A30" s="227" t="s">
        <v>476</v>
      </c>
      <c r="B30" s="377">
        <v>1</v>
      </c>
      <c r="C30" s="427">
        <v>0.624</v>
      </c>
      <c r="D30" s="428">
        <v>0.245</v>
      </c>
    </row>
    <row r="31" spans="1:89" x14ac:dyDescent="0.25">
      <c r="A31" s="227" t="s">
        <v>477</v>
      </c>
      <c r="B31" s="377">
        <v>1</v>
      </c>
      <c r="C31" s="427">
        <v>1.002</v>
      </c>
      <c r="D31" s="428">
        <v>0.34</v>
      </c>
    </row>
    <row r="32" spans="1:89" x14ac:dyDescent="0.25">
      <c r="A32" s="227" t="s">
        <v>478</v>
      </c>
      <c r="B32" s="377">
        <v>1</v>
      </c>
      <c r="C32" s="427">
        <v>0.46800000000000003</v>
      </c>
      <c r="D32" s="428">
        <v>0.125</v>
      </c>
    </row>
    <row r="33" spans="1:4" x14ac:dyDescent="0.25">
      <c r="A33" s="227" t="s">
        <v>479</v>
      </c>
      <c r="B33" s="377">
        <v>1</v>
      </c>
      <c r="C33" s="427">
        <v>0.877</v>
      </c>
      <c r="D33" s="428">
        <v>0.25</v>
      </c>
    </row>
    <row r="34" spans="1:4" x14ac:dyDescent="0.25">
      <c r="A34" s="227" t="s">
        <v>480</v>
      </c>
      <c r="B34" s="377">
        <v>1</v>
      </c>
      <c r="C34" s="427">
        <v>0.59299999999999997</v>
      </c>
      <c r="D34" s="428">
        <v>0.19</v>
      </c>
    </row>
  </sheetData>
  <conditionalFormatting sqref="V3:W27">
    <cfRule type="cellIs" dxfId="130" priority="27" operator="greaterThan">
      <formula>15</formula>
    </cfRule>
  </conditionalFormatting>
  <conditionalFormatting sqref="R3:R27">
    <cfRule type="cellIs" dxfId="129" priority="26" operator="greaterThan">
      <formula>3.2</formula>
    </cfRule>
  </conditionalFormatting>
  <conditionalFormatting sqref="T3:U27">
    <cfRule type="cellIs" dxfId="128" priority="25" operator="greaterThan">
      <formula>0.6</formula>
    </cfRule>
  </conditionalFormatting>
  <conditionalFormatting sqref="AC3:AH27 BH3:BK27 BB3:BE27 AP3:AS27 X3:AA27 AJ3:AJ27 BM3:CK27 AU3:AZ27 AL3:AN27">
    <cfRule type="cellIs" dxfId="127" priority="24" operator="greaterThan">
      <formula>12.5</formula>
    </cfRule>
  </conditionalFormatting>
  <conditionalFormatting sqref="J3:J27">
    <cfRule type="cellIs" dxfId="126" priority="21" operator="greaterThan">
      <formula>7</formula>
    </cfRule>
  </conditionalFormatting>
  <conditionalFormatting sqref="AB3:AB27 AI3:AI27 AT3:AT27 BA3:BA27 BL3:BL27 BG3:BG27">
    <cfRule type="cellIs" dxfId="125" priority="9" operator="greaterThan">
      <formula>12</formula>
    </cfRule>
  </conditionalFormatting>
  <conditionalFormatting sqref="K3:Q27">
    <cfRule type="colorScale" priority="3435">
      <colorScale>
        <cfvo type="min"/>
        <cfvo type="max"/>
        <color rgb="FFFCFCFF"/>
        <color rgb="FFF8696B"/>
      </colorScale>
    </cfRule>
  </conditionalFormatting>
  <conditionalFormatting sqref="S3:S27">
    <cfRule type="colorScale" priority="3436">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CG27"/>
  <sheetViews>
    <sheetView workbookViewId="0">
      <pane xSplit="14" ySplit="2" topLeftCell="O3" activePane="bottomRight" state="frozen"/>
      <selection pane="topRight" activeCell="R1" sqref="R1"/>
      <selection pane="bottomLeft" activeCell="A3" sqref="A3"/>
      <selection pane="bottomRight" activeCell="O6" sqref="O6"/>
    </sheetView>
  </sheetViews>
  <sheetFormatPr baseColWidth="10" defaultColWidth="11.42578125" defaultRowHeight="15" x14ac:dyDescent="0.25"/>
  <cols>
    <col min="1" max="1" width="19" bestFit="1" customWidth="1"/>
    <col min="2" max="2" width="5.42578125" bestFit="1" customWidth="1"/>
    <col min="3" max="3" width="4.7109375" bestFit="1" customWidth="1"/>
    <col min="4" max="4" width="4.5703125" bestFit="1" customWidth="1"/>
    <col min="5" max="5" width="13" bestFit="1" customWidth="1"/>
    <col min="6" max="6" width="7.42578125" bestFit="1" customWidth="1"/>
    <col min="7" max="7" width="4.5703125" bestFit="1" customWidth="1"/>
    <col min="8" max="14" width="5.5703125" bestFit="1" customWidth="1"/>
    <col min="15" max="15" width="4.85546875" bestFit="1" customWidth="1"/>
    <col min="16" max="16" width="7.85546875" bestFit="1" customWidth="1"/>
    <col min="17" max="18" width="6.140625" bestFit="1" customWidth="1"/>
    <col min="19" max="19" width="7.85546875" bestFit="1" customWidth="1"/>
    <col min="20" max="22" width="7.85546875" hidden="1" customWidth="1"/>
    <col min="23" max="23" width="10" hidden="1" customWidth="1"/>
    <col min="24" max="30" width="7.85546875" hidden="1" customWidth="1"/>
    <col min="31" max="31" width="9.7109375" style="4" hidden="1" customWidth="1"/>
    <col min="32" max="33" width="7.85546875" hidden="1" customWidth="1"/>
    <col min="34" max="34" width="8.140625" style="4" hidden="1" customWidth="1"/>
    <col min="35" max="72" width="7.85546875" hidden="1" customWidth="1"/>
    <col min="73" max="73" width="7.42578125" hidden="1" customWidth="1"/>
    <col min="74" max="74" width="7.85546875" hidden="1" customWidth="1"/>
    <col min="75" max="75" width="5.5703125" hidden="1" customWidth="1"/>
    <col min="76" max="76" width="6.42578125" hidden="1" customWidth="1"/>
    <col min="77" max="77" width="6.85546875" hidden="1" customWidth="1"/>
    <col min="78" max="78" width="5.140625" customWidth="1"/>
    <col min="79" max="79" width="6.42578125" customWidth="1"/>
    <col min="80" max="80" width="6.85546875" customWidth="1"/>
    <col min="81" max="82" width="6.42578125" customWidth="1"/>
    <col min="83" max="83" width="6.85546875" customWidth="1"/>
    <col min="84" max="84" width="6.42578125" customWidth="1"/>
    <col min="85" max="85" width="5.140625" customWidth="1"/>
  </cols>
  <sheetData>
    <row r="1" spans="1:85" x14ac:dyDescent="0.25">
      <c r="A1" s="258"/>
      <c r="D1" s="527"/>
      <c r="T1" t="s">
        <v>528</v>
      </c>
      <c r="W1" t="s">
        <v>529</v>
      </c>
      <c r="AA1" t="s">
        <v>530</v>
      </c>
      <c r="AE1" s="4" t="s">
        <v>531</v>
      </c>
      <c r="AI1" t="s">
        <v>532</v>
      </c>
      <c r="AM1" t="s">
        <v>527</v>
      </c>
      <c r="AT1" t="s">
        <v>533</v>
      </c>
      <c r="BA1" t="s">
        <v>411</v>
      </c>
      <c r="BF1" t="s">
        <v>534</v>
      </c>
      <c r="BK1" t="s">
        <v>488</v>
      </c>
      <c r="BP1" t="s">
        <v>640</v>
      </c>
      <c r="BU1" t="s">
        <v>485</v>
      </c>
      <c r="BZ1" t="s">
        <v>468</v>
      </c>
      <c r="CD1" t="s">
        <v>66</v>
      </c>
    </row>
    <row r="2" spans="1:85" x14ac:dyDescent="0.25">
      <c r="A2" s="417" t="s">
        <v>174</v>
      </c>
      <c r="B2" s="417" t="s">
        <v>535</v>
      </c>
      <c r="C2" s="417" t="s">
        <v>62</v>
      </c>
      <c r="D2" s="418" t="s">
        <v>536</v>
      </c>
      <c r="E2" s="417" t="s">
        <v>537</v>
      </c>
      <c r="F2" s="420" t="s">
        <v>541</v>
      </c>
      <c r="G2" s="421" t="s">
        <v>542</v>
      </c>
      <c r="H2" s="421" t="s">
        <v>1</v>
      </c>
      <c r="I2" s="421" t="s">
        <v>2</v>
      </c>
      <c r="J2" s="421" t="s">
        <v>543</v>
      </c>
      <c r="K2" s="421" t="s">
        <v>65</v>
      </c>
      <c r="L2" s="421" t="s">
        <v>453</v>
      </c>
      <c r="M2" s="421" t="s">
        <v>544</v>
      </c>
      <c r="N2" s="421" t="s">
        <v>0</v>
      </c>
      <c r="O2" s="422" t="s">
        <v>448</v>
      </c>
      <c r="P2" s="422" t="s">
        <v>659</v>
      </c>
      <c r="Q2" s="422" t="s">
        <v>545</v>
      </c>
      <c r="R2" s="422" t="s">
        <v>546</v>
      </c>
      <c r="S2" s="422" t="s">
        <v>456</v>
      </c>
      <c r="T2" s="423" t="s">
        <v>547</v>
      </c>
      <c r="U2" s="423" t="s">
        <v>548</v>
      </c>
      <c r="V2" s="423" t="s">
        <v>547</v>
      </c>
      <c r="W2" s="424" t="s">
        <v>547</v>
      </c>
      <c r="X2" s="424" t="s">
        <v>548</v>
      </c>
      <c r="Y2" s="424" t="s">
        <v>547</v>
      </c>
      <c r="Z2" s="424" t="s">
        <v>64</v>
      </c>
      <c r="AA2" s="424" t="s">
        <v>547</v>
      </c>
      <c r="AB2" s="424" t="s">
        <v>548</v>
      </c>
      <c r="AC2" s="424" t="s">
        <v>547</v>
      </c>
      <c r="AD2" s="424" t="s">
        <v>64</v>
      </c>
      <c r="AE2" s="423" t="s">
        <v>547</v>
      </c>
      <c r="AF2" s="423" t="s">
        <v>548</v>
      </c>
      <c r="AG2" s="423" t="s">
        <v>64</v>
      </c>
      <c r="AH2" s="423" t="s">
        <v>549</v>
      </c>
      <c r="AI2" s="423" t="s">
        <v>547</v>
      </c>
      <c r="AJ2" s="423" t="s">
        <v>548</v>
      </c>
      <c r="AK2" s="423" t="s">
        <v>64</v>
      </c>
      <c r="AL2" s="423" t="s">
        <v>549</v>
      </c>
      <c r="AM2" s="423" t="s">
        <v>547</v>
      </c>
      <c r="AN2" s="423" t="s">
        <v>548</v>
      </c>
      <c r="AO2" s="423" t="s">
        <v>547</v>
      </c>
      <c r="AP2" s="423" t="s">
        <v>64</v>
      </c>
      <c r="AQ2" s="423" t="s">
        <v>549</v>
      </c>
      <c r="AR2" s="423" t="s">
        <v>550</v>
      </c>
      <c r="AS2" s="423" t="s">
        <v>549</v>
      </c>
      <c r="AT2" s="423" t="s">
        <v>547</v>
      </c>
      <c r="AU2" s="423" t="s">
        <v>548</v>
      </c>
      <c r="AV2" s="423" t="s">
        <v>547</v>
      </c>
      <c r="AW2" s="423" t="s">
        <v>64</v>
      </c>
      <c r="AX2" s="423" t="s">
        <v>549</v>
      </c>
      <c r="AY2" s="423" t="s">
        <v>550</v>
      </c>
      <c r="AZ2" s="423" t="s">
        <v>549</v>
      </c>
      <c r="BA2" s="424" t="s">
        <v>547</v>
      </c>
      <c r="BB2" s="424" t="s">
        <v>548</v>
      </c>
      <c r="BC2" s="424" t="s">
        <v>64</v>
      </c>
      <c r="BD2" s="424" t="s">
        <v>549</v>
      </c>
      <c r="BE2" s="424" t="s">
        <v>550</v>
      </c>
      <c r="BF2" s="424" t="s">
        <v>547</v>
      </c>
      <c r="BG2" s="424" t="s">
        <v>548</v>
      </c>
      <c r="BH2" s="424" t="s">
        <v>64</v>
      </c>
      <c r="BI2" s="424" t="s">
        <v>549</v>
      </c>
      <c r="BJ2" s="424" t="s">
        <v>550</v>
      </c>
      <c r="BK2" s="423" t="s">
        <v>547</v>
      </c>
      <c r="BL2" s="423" t="s">
        <v>548</v>
      </c>
      <c r="BM2" s="423" t="s">
        <v>64</v>
      </c>
      <c r="BN2" s="423" t="s">
        <v>549</v>
      </c>
      <c r="BO2" s="423" t="s">
        <v>550</v>
      </c>
      <c r="BP2" s="423" t="s">
        <v>547</v>
      </c>
      <c r="BQ2" s="423" t="s">
        <v>548</v>
      </c>
      <c r="BR2" s="423" t="s">
        <v>64</v>
      </c>
      <c r="BS2" s="423" t="s">
        <v>549</v>
      </c>
      <c r="BT2" s="423" t="s">
        <v>550</v>
      </c>
      <c r="BU2" s="423" t="s">
        <v>547</v>
      </c>
      <c r="BV2" s="423" t="s">
        <v>548</v>
      </c>
      <c r="BW2" s="423" t="s">
        <v>64</v>
      </c>
      <c r="BX2" s="423" t="s">
        <v>549</v>
      </c>
      <c r="BY2" s="423" t="s">
        <v>550</v>
      </c>
      <c r="BZ2" s="424" t="s">
        <v>64</v>
      </c>
      <c r="CA2" s="424" t="s">
        <v>549</v>
      </c>
      <c r="CB2" s="424" t="s">
        <v>550</v>
      </c>
      <c r="CC2" s="424" t="s">
        <v>549</v>
      </c>
      <c r="CD2" s="423" t="s">
        <v>549</v>
      </c>
      <c r="CE2" s="423" t="s">
        <v>550</v>
      </c>
      <c r="CF2" s="423" t="s">
        <v>549</v>
      </c>
      <c r="CG2" s="423" t="s">
        <v>64</v>
      </c>
    </row>
    <row r="3" spans="1:85" x14ac:dyDescent="0.25">
      <c r="A3" t="str">
        <f>PLANTILLA!D4</f>
        <v>D. Gehmacher</v>
      </c>
      <c r="B3" s="527">
        <f>PLANTILLA!E4</f>
        <v>34</v>
      </c>
      <c r="C3" s="298">
        <f ca="1">PLANTILLA!F4</f>
        <v>108</v>
      </c>
      <c r="D3" s="589">
        <f>PLANTILLA!G4</f>
        <v>0</v>
      </c>
      <c r="E3" s="258">
        <f>PLANTILLA!O4</f>
        <v>42468</v>
      </c>
      <c r="F3" s="425">
        <f ca="1">PLANTILLA!P4</f>
        <v>1</v>
      </c>
      <c r="G3" s="426">
        <f>PLANTILLA!I4</f>
        <v>23.7</v>
      </c>
      <c r="H3" s="152">
        <f>PLANTILLA!X4</f>
        <v>16.666666666666668</v>
      </c>
      <c r="I3" s="152">
        <f>PLANTILLA!Y4</f>
        <v>11.95</v>
      </c>
      <c r="J3" s="152">
        <f>PLANTILLA!Z4</f>
        <v>2.0699999999999985</v>
      </c>
      <c r="K3" s="152">
        <f>PLANTILLA!AA4</f>
        <v>2.149999999999999</v>
      </c>
      <c r="L3" s="152">
        <f>PLANTILLA!AB4</f>
        <v>0.95</v>
      </c>
      <c r="M3" s="152">
        <f>PLANTILLA!AC4</f>
        <v>0</v>
      </c>
      <c r="N3" s="152">
        <f>PLANTILLA!AD4</f>
        <v>18.2</v>
      </c>
      <c r="O3" s="426">
        <f>((2*(L3+1))+(I3+1))/8</f>
        <v>2.1062499999999997</v>
      </c>
      <c r="P3" s="426">
        <f ca="1">1.66*(M3+(LOG(G3)*4/3)+F3)+0.55*(N3+(LOG(G3)*4/3)+F3)-7.6</f>
        <v>8.6709251262431071</v>
      </c>
      <c r="Q3" s="426">
        <f>(0.5*M3+ 0.3*N3)/10</f>
        <v>0.54600000000000004</v>
      </c>
      <c r="R3" s="426">
        <f>(0.4*I3+0.3*N3)/10</f>
        <v>1.024</v>
      </c>
      <c r="S3" s="426">
        <f ca="1">IF(TODAY()-E3&gt;335,(N3+1+(LOG(G3)*4/3)),(N3+((TODAY()-E3)^0.5)/(336^0.5)+(LOG(G3)*4/3)))</f>
        <v>21.032997794680139</v>
      </c>
      <c r="T3" s="233">
        <f ca="1">((H3+F3+(LOG(G3)*4/3))*0.597)+((I3+F3+(LOG(G3)*4/3))*0.276)</f>
        <v>15.721407074755762</v>
      </c>
      <c r="U3" s="233">
        <f ca="1">((H3+F3+(LOG(G3)*4/3))*0.866)+((I3+F3+(LOG(G3)*4/3))*0.425)</f>
        <v>23.169483486265392</v>
      </c>
      <c r="V3" s="233">
        <f ca="1">T3</f>
        <v>15.721407074755762</v>
      </c>
      <c r="W3" s="233">
        <f ca="1">((I3+F3+(LOG(G3)*4/3))*0.516)</f>
        <v>7.6280268620549521</v>
      </c>
      <c r="X3" s="233">
        <f ca="1">(I3+F3+(LOG(G3)*4/3))*1</f>
        <v>14.782997794680139</v>
      </c>
      <c r="Y3" s="233">
        <f ca="1">W3/2</f>
        <v>3.814013431027476</v>
      </c>
      <c r="Z3" s="233">
        <f ca="1">(J3+F3+(LOG(G3)*4/3))*0.238</f>
        <v>1.1669134751338726</v>
      </c>
      <c r="AA3" s="233">
        <f ca="1">((I3+F3+(LOG(G3)*4/3))*0.378)</f>
        <v>5.5879731663890926</v>
      </c>
      <c r="AB3" s="233">
        <f ca="1">(I3+F3+(LOG(G3)*4/3))*0.723</f>
        <v>10.68810740555374</v>
      </c>
      <c r="AC3" s="233">
        <f ca="1">AA3/2</f>
        <v>2.7939865831945463</v>
      </c>
      <c r="AD3" s="233">
        <f ca="1">(J3+F3+(LOG(G3)*4/3))*0.385</f>
        <v>1.8876541509518527</v>
      </c>
      <c r="AE3" s="596">
        <f ca="1">((I3+F3+(LOG(G3)*4/3))*0.92)</f>
        <v>13.600357971105728</v>
      </c>
      <c r="AF3" s="233">
        <f ca="1">(I3+F3+(LOG(G3)*4/3))*0.414</f>
        <v>6.1201610869975767</v>
      </c>
      <c r="AG3" s="233">
        <f ca="1">((J3+F3+(LOG(G3)*4/3))*0.167)</f>
        <v>0.8188006317115829</v>
      </c>
      <c r="AH3" s="596">
        <f ca="1">(K3+F3+(LOG(G3)*4/3))*0.588</f>
        <v>2.9300027032719207</v>
      </c>
      <c r="AI3" s="233">
        <f ca="1">((I3+F3+(LOG(G3)*4/3))*0.754)</f>
        <v>11.146380337188825</v>
      </c>
      <c r="AJ3" s="233">
        <f ca="1">((I3+F3+(LOG(G3)*4/3))*0.708)</f>
        <v>10.466362438633537</v>
      </c>
      <c r="AK3" s="233">
        <f ca="1">((N3+F3+(LOG(G3)*4/3))*0.167)</f>
        <v>3.5125106317115833</v>
      </c>
      <c r="AL3" s="233">
        <f ca="1">((O3+F3+(LOG(G3)*4/3))*0.288)</f>
        <v>1.4225033648678798</v>
      </c>
      <c r="AM3" s="233">
        <f ca="1">((I3+F3+(LOG(G3)*4/3))*0.27)</f>
        <v>3.9914094045636377</v>
      </c>
      <c r="AN3" s="233">
        <f ca="1">((I3+F3+(LOG(G3)*4/3))*0.594)</f>
        <v>8.7811006900400024</v>
      </c>
      <c r="AO3" s="233">
        <f ca="1">AM3/2</f>
        <v>1.9957047022818188</v>
      </c>
      <c r="AP3" s="233">
        <f ca="1">((J3+F3+(LOG(G3)*4/3))*0.944)</f>
        <v>4.6284299181780488</v>
      </c>
      <c r="AQ3" s="233">
        <f ca="1">((L3+F3+(LOG(G3)*4/3))*0.13)</f>
        <v>0.49178971330841803</v>
      </c>
      <c r="AR3" s="233">
        <f ca="1">((M3+F3+(LOG(G3)*4/3))*0.173)+((L3+F3+(LOG(G3)*4/3))*0.12)</f>
        <v>0.94406835384128052</v>
      </c>
      <c r="AS3" s="233">
        <f ca="1">AQ3/2</f>
        <v>0.24589485665420902</v>
      </c>
      <c r="AT3" s="233">
        <f ca="1">((I3+F3+(LOG(G3)*4/3))*0.189)</f>
        <v>2.7939865831945463</v>
      </c>
      <c r="AU3" s="233">
        <f ca="1">((I3+F3+(LOG(G3)*4/3))*0.4)</f>
        <v>5.9131991178720558</v>
      </c>
      <c r="AV3" s="233">
        <f ca="1">AT3/2</f>
        <v>1.3969932915972731</v>
      </c>
      <c r="AW3" s="233">
        <f ca="1">((J3+F3+(LOG(G3)*4/3))*1)</f>
        <v>4.9029977946801369</v>
      </c>
      <c r="AX3" s="233">
        <f ca="1">((L3+F3+(LOG(G3)*4/3))*0.253)</f>
        <v>0.95709844205407502</v>
      </c>
      <c r="AY3" s="233">
        <f ca="1">((M3+F3+(LOG(G3)*4/3))*0.21)+((L3+F3+(LOG(G3)*4/3))*0.341)</f>
        <v>1.8849317848687566</v>
      </c>
      <c r="AZ3" s="233">
        <f ca="1">AX3/2</f>
        <v>0.47854922102703751</v>
      </c>
      <c r="BA3" s="233">
        <f ca="1">((I3+F3+(LOG(G3)*4/3))*0.291)</f>
        <v>4.3018523582519199</v>
      </c>
      <c r="BB3" s="233">
        <f ca="1">((I3+F3+(LOG(G3)*4/3))*0.348)</f>
        <v>5.144483232548688</v>
      </c>
      <c r="BC3" s="233">
        <f ca="1">((J3+F3+(LOG(G3)*4/3))*0.881)</f>
        <v>4.3195410571132005</v>
      </c>
      <c r="BD3" s="233">
        <f ca="1">((K3+F3+(LOG(G3)*4/3))*0.574)+((L3+F3+(LOG(G3)*4/3))*0.315)</f>
        <v>4.0518850394706423</v>
      </c>
      <c r="BE3" s="233">
        <f ca="1">((L3+F3+(LOG(G3)*4/3))*0.241)</f>
        <v>0.91170246851791337</v>
      </c>
      <c r="BF3" s="233">
        <f ca="1">((I3+F3+(LOG(G3)*4/3))*0.485)</f>
        <v>7.1697539304198674</v>
      </c>
      <c r="BG3" s="233">
        <f ca="1">((I3+F3+(LOG(G3)*4/3))*0.264)</f>
        <v>3.9027114177955569</v>
      </c>
      <c r="BH3" s="233">
        <f ca="1">((J3+F3+(LOG(G3)*4/3))*0.381)</f>
        <v>1.8680421597731323</v>
      </c>
      <c r="BI3" s="233">
        <f ca="1">((K3+F3+(LOG(G3)*4/3))*0.673)+((L3+F3+(LOG(G3)*4/3))*0.201)</f>
        <v>4.1139400725504407</v>
      </c>
      <c r="BJ3" s="233">
        <f ca="1">((L3+F3+(LOG(G3)*4/3))*0.052)</f>
        <v>0.1967158853233672</v>
      </c>
      <c r="BK3" s="233">
        <f ca="1">((I3+F3+(LOG(G3)*4/3))*0.18)</f>
        <v>2.6609396030424248</v>
      </c>
      <c r="BL3" s="233">
        <f ca="1">(I3+F3+(LOG(G3)*4/3))*0.068</f>
        <v>1.0052438500382495</v>
      </c>
      <c r="BM3" s="233">
        <f ca="1">((J3+F3+(LOG(G3)*4/3))*0.305)</f>
        <v>1.4954143273774416</v>
      </c>
      <c r="BN3" s="233">
        <f ca="1">((K3+F3+(LOG(G3)*4/3))*1)+((L3+F3+(LOG(G3)*4/3))*0.286)</f>
        <v>6.0649351639586575</v>
      </c>
      <c r="BO3" s="233">
        <f ca="1">((L3+F3+(LOG(G3)*4/3))*0.135)</f>
        <v>0.51070470228181875</v>
      </c>
      <c r="BP3" s="233">
        <f ca="1">((I3+F3+(LOG(G3)*4/3))*0.284)</f>
        <v>4.1983713736891586</v>
      </c>
      <c r="BQ3" s="233">
        <f ca="1">(I3+F3+(LOG(G3)*4/3))*0.244</f>
        <v>3.6070514619019538</v>
      </c>
      <c r="BR3" s="233">
        <f ca="1">((J3+F3+(LOG(G3)*4/3))*0.455)</f>
        <v>2.2308639965794623</v>
      </c>
      <c r="BS3" s="233">
        <f ca="1">((K3+F3+(LOG(G3)*4/3))*0.864)+((L3+F3+(LOG(G3)*4/3))*0.244)</f>
        <v>5.2283615565055932</v>
      </c>
      <c r="BT3" s="233">
        <f ca="1">((L3+F3+(LOG(G3)*4/3))*0.121)</f>
        <v>0.45774273315629677</v>
      </c>
      <c r="BU3" s="233">
        <f ca="1">((I3+F3+(LOG(G3)*4/3))*0.284)</f>
        <v>4.1983713736891586</v>
      </c>
      <c r="BV3" s="233">
        <f ca="1">((I3+F3+(LOG(G3)*4/3))*0.244)</f>
        <v>3.6070514619019538</v>
      </c>
      <c r="BW3" s="233">
        <f ca="1">((J3+F3+(LOG(G3)*4/3))*0.631)</f>
        <v>3.0937916084431665</v>
      </c>
      <c r="BX3" s="233">
        <f ca="1">((K3+F3+(LOG(G3)*4/3))*0.702)+((L3+F3+(LOG(G3)*4/3))*0.193)</f>
        <v>4.2281830262387228</v>
      </c>
      <c r="BY3" s="233">
        <f ca="1">((L3+F3+(LOG(G3)*4/3))*0.148)</f>
        <v>0.55988367361266045</v>
      </c>
      <c r="BZ3" s="233">
        <f ca="1">((J3+F3+(LOG(G3)*4/3))*0.406)</f>
        <v>1.9906171046401357</v>
      </c>
      <c r="CA3" s="233">
        <f ca="1">IF(D3="TEC",((K3+F3+(LOG(G3)*4/3))*0.15)+((L3+F3+(LOG(G3)*4/3))*0.324)+((M3+F3+(LOG(G3)*4/3))*0.127),(((K3+F3+(LOG(G3)*4/3))*0.144)+((L3+F3+(LOG(G3)*4/3))*0.25)+((M3+F3+(LOG(G3)*4/3))*0.127)))</f>
        <v>2.0230918510283522</v>
      </c>
      <c r="CB3" s="233">
        <f ca="1">((L3+F3+(LOG(G3)*4/3))*0.543)+((M3+F3+(LOG(G3)*4/3))*0.583)</f>
        <v>3.7058055168098356</v>
      </c>
      <c r="CC3" s="233">
        <f ca="1">CA3</f>
        <v>2.0230918510283522</v>
      </c>
      <c r="CD3" s="233">
        <f ca="1">((M3+1+(LOG(G3)*4/3))*0.26)+((K3+F3+(LOG(G3)*4/3))*0.221)+((L3+F3+(LOG(G3)*4/3))*0.142)</f>
        <v>2.375007626085726</v>
      </c>
      <c r="CE3" s="233">
        <f ca="1">((M3+F3+(LOG(G3)*4/3))*1)+((L3+F3+(LOG(G3)*4/3))*0.369)</f>
        <v>4.2289239809171093</v>
      </c>
      <c r="CF3" s="233">
        <f ca="1">CD3</f>
        <v>2.375007626085726</v>
      </c>
      <c r="CG3" s="233">
        <f ca="1">((J3+F3+(LOG(G3)*4/3))*0.25)</f>
        <v>1.2257494486700342</v>
      </c>
    </row>
    <row r="4" spans="1:85" x14ac:dyDescent="0.25">
      <c r="A4" t="str">
        <f>PLANTILLA!D5</f>
        <v>T. Hammond</v>
      </c>
      <c r="B4" s="589">
        <f>PLANTILLA!E5</f>
        <v>39</v>
      </c>
      <c r="C4" s="298">
        <f ca="1">PLANTILLA!F5</f>
        <v>5</v>
      </c>
      <c r="D4" s="589" t="str">
        <f>PLANTILLA!G5</f>
        <v>CAB</v>
      </c>
      <c r="E4" s="258">
        <v>36526</v>
      </c>
      <c r="F4" s="425">
        <f>PLANTILLA!P5</f>
        <v>1.5</v>
      </c>
      <c r="G4" s="426">
        <f>PLANTILLA!I5</f>
        <v>8.4</v>
      </c>
      <c r="H4" s="152">
        <f>PLANTILLA!X5</f>
        <v>7.95</v>
      </c>
      <c r="I4" s="152">
        <f>PLANTILLA!Y5</f>
        <v>7.95</v>
      </c>
      <c r="J4" s="152">
        <f>PLANTILLA!Z5</f>
        <v>0.95</v>
      </c>
      <c r="K4" s="152">
        <f>PLANTILLA!AA5</f>
        <v>0.95</v>
      </c>
      <c r="L4" s="152">
        <f>PLANTILLA!AB5</f>
        <v>1.95</v>
      </c>
      <c r="M4" s="152">
        <f>PLANTILLA!AC5</f>
        <v>0</v>
      </c>
      <c r="N4" s="152">
        <f>PLANTILLA!AD5</f>
        <v>14.95</v>
      </c>
      <c r="O4" s="426">
        <f t="shared" ref="O4:O27" si="0">((2*(L4+1))+(I4+1))/8</f>
        <v>1.85625</v>
      </c>
      <c r="P4" s="426">
        <f t="shared" ref="P4:P27" si="1">1.66*(M4+(LOG(G4)*4/3)+F4)+0.55*(N4+(LOG(G4)*4/3)+F4)-7.6</f>
        <v>6.6610429629290131</v>
      </c>
      <c r="Q4" s="426">
        <f t="shared" ref="Q4:Q27" si="2">(0.5*M4+ 0.3*N4)/10</f>
        <v>0.44849999999999995</v>
      </c>
      <c r="R4" s="426">
        <f t="shared" ref="R4:R27" si="3">(0.4*I4+0.3*N4)/10</f>
        <v>0.76649999999999996</v>
      </c>
      <c r="S4" s="426">
        <f t="shared" ref="S4:S27" ca="1" si="4">IF(TODAY()-E4&gt;335,(N4+1+(LOG(G4)*4/3)),(N4+((TODAY()-E4)^0.5)/(336^0.5)+(LOG(G4)*4/3)))</f>
        <v>17.182372381415842</v>
      </c>
      <c r="T4" s="233">
        <f t="shared" ref="T4:T27" si="5">((H4+F4+(LOG(G4)*4/3))*0.597)+((I4+F4+(LOG(G4)*4/3))*0.276)</f>
        <v>9.3257110889760302</v>
      </c>
      <c r="U4" s="233">
        <f t="shared" ref="U4:U27" si="6">((H4+F4+(LOG(G4)*4/3))*0.866)+((I4+F4+(LOG(G4)*4/3))*0.425)</f>
        <v>13.790942744407852</v>
      </c>
      <c r="V4" s="233">
        <f t="shared" ref="V4:V27" si="7">T4</f>
        <v>9.3257110889760302</v>
      </c>
      <c r="W4" s="233">
        <f t="shared" ref="W4:W27" si="8">((I4+F4+(LOG(G4)*4/3))*0.516)</f>
        <v>5.5121041488105744</v>
      </c>
      <c r="X4" s="233">
        <f t="shared" ref="X4:X27" si="9">(I4+F4+(LOG(G4)*4/3))*1</f>
        <v>10.682372381415842</v>
      </c>
      <c r="Y4" s="233">
        <f t="shared" ref="Y4:Y27" si="10">W4/2</f>
        <v>2.7560520744052872</v>
      </c>
      <c r="Z4" s="233">
        <f t="shared" ref="Z4:Z27" si="11">(J4+F4+(LOG(G4)*4/3))*0.238</f>
        <v>0.87640462677697051</v>
      </c>
      <c r="AA4" s="233">
        <f t="shared" ref="AA4:AA27" si="12">((I4+F4+(LOG(G4)*4/3))*0.378)</f>
        <v>4.0379367601751879</v>
      </c>
      <c r="AB4" s="233">
        <f t="shared" ref="AB4:AB27" si="13">(I4+F4+(LOG(G4)*4/3))*0.723</f>
        <v>7.7233552317636534</v>
      </c>
      <c r="AC4" s="233">
        <f t="shared" ref="AC4:AC27" si="14">AA4/2</f>
        <v>2.0189683800875939</v>
      </c>
      <c r="AD4" s="233">
        <f t="shared" ref="AD4:AD27" si="15">(J4+F4+(LOG(G4)*4/3))*0.385</f>
        <v>1.4177133668450994</v>
      </c>
      <c r="AE4" s="596">
        <f t="shared" ref="AE4:AE27" si="16">((I4+F4+(LOG(G4)*4/3))*0.92)</f>
        <v>9.8277825909025758</v>
      </c>
      <c r="AF4" s="233">
        <f t="shared" ref="AF4:AF27" si="17">(I4+F4+(LOG(G4)*4/3))*0.414</f>
        <v>4.4225021659061587</v>
      </c>
      <c r="AG4" s="233">
        <f t="shared" ref="AG4:AG27" si="18">((J4+F4+(LOG(G4)*4/3))*0.167)</f>
        <v>0.61495618769644578</v>
      </c>
      <c r="AH4" s="596">
        <f t="shared" ref="AH4:AH27" si="19">(K4+F4+(LOG(G4)*4/3))*0.588</f>
        <v>2.1652349602725152</v>
      </c>
      <c r="AI4" s="233">
        <f t="shared" ref="AI4:AI27" si="20">((I4+F4+(LOG(G4)*4/3))*0.754)</f>
        <v>8.0545087755875446</v>
      </c>
      <c r="AJ4" s="233">
        <f t="shared" ref="AJ4:AJ27" si="21">((I4+F4+(LOG(G4)*4/3))*0.708)</f>
        <v>7.5631196460424155</v>
      </c>
      <c r="AK4" s="233">
        <f t="shared" ref="AK4:AK27" si="22">((N4+F4+(LOG(G4)*4/3))*0.167)</f>
        <v>2.9529561876964459</v>
      </c>
      <c r="AL4" s="233">
        <f t="shared" ref="AL4:AL27" si="23">((O4+F4+(LOG(G4)*4/3))*0.288)</f>
        <v>1.3215232458477624</v>
      </c>
      <c r="AM4" s="233">
        <f t="shared" ref="AM4:AM27" si="24">((I4+F4+(LOG(G4)*4/3))*0.27)</f>
        <v>2.8842405429822775</v>
      </c>
      <c r="AN4" s="233">
        <f t="shared" ref="AN4:AN27" si="25">((I4+F4+(LOG(G4)*4/3))*0.594)</f>
        <v>6.3453291945610095</v>
      </c>
      <c r="AO4" s="233">
        <f t="shared" ref="AO4:AO27" si="26">AM4/2</f>
        <v>1.4421202714911387</v>
      </c>
      <c r="AP4" s="233">
        <f t="shared" ref="AP4:AP27" si="27">((J4+F4+(LOG(G4)*4/3))*0.944)</f>
        <v>3.4761595280565549</v>
      </c>
      <c r="AQ4" s="233">
        <f t="shared" ref="AQ4:AQ27" si="28">((L4+F4+(LOG(G4)*4/3))*0.13)</f>
        <v>0.60870840958405947</v>
      </c>
      <c r="AR4" s="233">
        <f t="shared" ref="AR4:AR27" si="29">((M4+F4+(LOG(G4)*4/3))*0.173)+((L4+F4+(LOG(G4)*4/3))*0.12)</f>
        <v>1.0345851077548418</v>
      </c>
      <c r="AS4" s="233">
        <f t="shared" ref="AS4:AS27" si="30">AQ4/2</f>
        <v>0.30435420479202974</v>
      </c>
      <c r="AT4" s="233">
        <f t="shared" ref="AT4:AT27" si="31">((I4+F4+(LOG(G4)*4/3))*0.189)</f>
        <v>2.0189683800875939</v>
      </c>
      <c r="AU4" s="233">
        <f t="shared" ref="AU4:AU27" si="32">((I4+F4+(LOG(G4)*4/3))*0.4)</f>
        <v>4.2729489525663373</v>
      </c>
      <c r="AV4" s="233">
        <f t="shared" ref="AV4:AV27" si="33">AT4/2</f>
        <v>1.009484190043797</v>
      </c>
      <c r="AW4" s="233">
        <f t="shared" ref="AW4:AW27" si="34">((J4+F4+(LOG(G4)*4/3))*1)</f>
        <v>3.6823723814158424</v>
      </c>
      <c r="AX4" s="233">
        <f t="shared" ref="AX4:AX27" si="35">((L4+F4+(LOG(G4)*4/3))*0.253)</f>
        <v>1.1846402124982081</v>
      </c>
      <c r="AY4" s="233">
        <f t="shared" ref="AY4:AY27" si="36">((M4+F4+(LOG(G4)*4/3))*0.21)+((L4+F4+(LOG(G4)*4/3))*0.341)</f>
        <v>2.1704871821601293</v>
      </c>
      <c r="AZ4" s="233">
        <f t="shared" ref="AZ4:AZ27" si="37">AX4/2</f>
        <v>0.59232010624910403</v>
      </c>
      <c r="BA4" s="233">
        <f t="shared" ref="BA4:BA27" si="38">((I4+F4+(LOG(G4)*4/3))*0.291)</f>
        <v>3.1085703629920096</v>
      </c>
      <c r="BB4" s="233">
        <f t="shared" ref="BB4:BB27" si="39">((I4+F4+(LOG(G4)*4/3))*0.348)</f>
        <v>3.7174655887327126</v>
      </c>
      <c r="BC4" s="233">
        <f t="shared" ref="BC4:BC27" si="40">((J4+F4+(LOG(G4)*4/3))*0.881)</f>
        <v>3.2441700680273571</v>
      </c>
      <c r="BD4" s="233">
        <f t="shared" ref="BD4:BD27" si="41">((K4+F4+(LOG(G4)*4/3))*0.574)+((L4+F4+(LOG(G4)*4/3))*0.315)</f>
        <v>3.5886290470786841</v>
      </c>
      <c r="BE4" s="233">
        <f t="shared" ref="BE4:BE27" si="42">((L4+F4+(LOG(G4)*4/3))*0.241)</f>
        <v>1.1284517439212178</v>
      </c>
      <c r="BF4" s="233">
        <f t="shared" ref="BF4:BF27" si="43">((I4+F4+(LOG(G4)*4/3))*0.485)</f>
        <v>5.1809506049866831</v>
      </c>
      <c r="BG4" s="233">
        <f t="shared" ref="BG4:BG27" si="44">((I4+F4+(LOG(G4)*4/3))*0.264)</f>
        <v>2.8201463086937824</v>
      </c>
      <c r="BH4" s="233">
        <f t="shared" ref="BH4:BH27" si="45">((J4+F4+(LOG(G4)*4/3))*0.381)</f>
        <v>1.4029838773194361</v>
      </c>
      <c r="BI4" s="233">
        <f t="shared" ref="BI4:BI27" si="46">((K4+F4+(LOG(G4)*4/3))*0.673)+((L4+F4+(LOG(G4)*4/3))*0.201)</f>
        <v>3.4193934613574464</v>
      </c>
      <c r="BJ4" s="233">
        <f t="shared" ref="BJ4:BJ27" si="47">((L4+F4+(LOG(G4)*4/3))*0.052)</f>
        <v>0.24348336383362376</v>
      </c>
      <c r="BK4" s="233">
        <f t="shared" ref="BK4:BK27" si="48">((I4+F4+(LOG(G4)*4/3))*0.18)</f>
        <v>1.9228270286548514</v>
      </c>
      <c r="BL4" s="233">
        <f t="shared" ref="BL4:BL27" si="49">(I4+F4+(LOG(G4)*4/3))*0.068</f>
        <v>0.72640132193627727</v>
      </c>
      <c r="BM4" s="233">
        <f t="shared" ref="BM4:BM27" si="50">((J4+F4+(LOG(G4)*4/3))*0.305)</f>
        <v>1.1231235763318319</v>
      </c>
      <c r="BN4" s="233">
        <f t="shared" ref="BN4:BN27" si="51">((K4+F4+(LOG(G4)*4/3))*1)+((L4+F4+(LOG(G4)*4/3))*0.286)</f>
        <v>5.0215308825007732</v>
      </c>
      <c r="BO4" s="233">
        <f t="shared" ref="BO4:BO27" si="52">((L4+F4+(LOG(G4)*4/3))*0.135)</f>
        <v>0.6321202714911387</v>
      </c>
      <c r="BP4" s="233">
        <f t="shared" ref="BP4:BP27" si="53">((I4+F4+(LOG(G4)*4/3))*0.284)</f>
        <v>3.0337937563220989</v>
      </c>
      <c r="BQ4" s="233">
        <f t="shared" ref="BQ4:BQ27" si="54">(I4+F4+(LOG(G4)*4/3))*0.244</f>
        <v>2.6064988610654654</v>
      </c>
      <c r="BR4" s="233">
        <f t="shared" ref="BR4:BR27" si="55">((J4+F4+(LOG(G4)*4/3))*0.455)</f>
        <v>1.6754794335442085</v>
      </c>
      <c r="BS4" s="233">
        <f t="shared" ref="BS4:BS27" si="56">((K4+F4+(LOG(G4)*4/3))*0.864)+((L4+F4+(LOG(G4)*4/3))*0.244)</f>
        <v>4.3240685986087533</v>
      </c>
      <c r="BT4" s="233">
        <f t="shared" ref="BT4:BT27" si="57">((L4+F4+(LOG(G4)*4/3))*0.121)</f>
        <v>0.56656705815131692</v>
      </c>
      <c r="BU4" s="233">
        <f t="shared" ref="BU4:BU27" si="58">((I4+F4+(LOG(G4)*4/3))*0.284)</f>
        <v>3.0337937563220989</v>
      </c>
      <c r="BV4" s="233">
        <f t="shared" ref="BV4:BV27" si="59">((I4+F4+(LOG(G4)*4/3))*0.244)</f>
        <v>2.6064988610654654</v>
      </c>
      <c r="BW4" s="233">
        <f t="shared" ref="BW4:BW27" si="60">((J4+F4+(LOG(G4)*4/3))*0.631)</f>
        <v>2.3235769726733966</v>
      </c>
      <c r="BX4" s="233">
        <f t="shared" ref="BX4:BX27" si="61">((K4+F4+(LOG(G4)*4/3))*0.702)+((L4+F4+(LOG(G4)*4/3))*0.193)</f>
        <v>3.4887232813671787</v>
      </c>
      <c r="BY4" s="233">
        <f t="shared" ref="BY4:BY27" si="62">((L4+F4+(LOG(G4)*4/3))*0.148)</f>
        <v>0.69299111244954459</v>
      </c>
      <c r="BZ4" s="233">
        <f t="shared" ref="BZ4:BZ27" si="63">((J4+F4+(LOG(G4)*4/3))*0.406)</f>
        <v>1.4950431868548322</v>
      </c>
      <c r="CA4" s="233">
        <f t="shared" ref="CA4:CA27" si="64">IF(D4="TEC",((K4+F4+(LOG(G4)*4/3))*0.15)+((L4+F4+(LOG(G4)*4/3))*0.324)+((M4+F4+(LOG(G4)*4/3))*0.127),(((K4+F4+(LOG(G4)*4/3))*0.144)+((L4+F4+(LOG(G4)*4/3))*0.25)+((M4+F4+(LOG(G4)*4/3))*0.127)))</f>
        <v>2.0478660107176538</v>
      </c>
      <c r="CB4" s="233">
        <f t="shared" ref="CB4:CB27" si="65">((L4+F4+(LOG(G4)*4/3))*0.543)+((M4+F4+(LOG(G4)*4/3))*0.583)</f>
        <v>4.135501301474239</v>
      </c>
      <c r="CC4" s="233">
        <f t="shared" ref="CC4:CC27" si="66">CA4</f>
        <v>2.0478660107176538</v>
      </c>
      <c r="CD4" s="233">
        <f t="shared" ref="CD4:CD27" si="67">((M4+1+(LOG(G4)*4/3))*0.26)+((K4+F4+(LOG(G4)*4/3))*0.221)+((L4+F4+(LOG(G4)*4/3))*0.142)</f>
        <v>2.0591179936220696</v>
      </c>
      <c r="CE4" s="233">
        <f t="shared" ref="CE4:CE27" si="68">((M4+F4+(LOG(G4)*4/3))*1)+((L4+F4+(LOG(G4)*4/3))*0.369)</f>
        <v>4.4601677901582875</v>
      </c>
      <c r="CF4" s="233">
        <f t="shared" ref="CF4:CF27" si="69">CD4</f>
        <v>2.0591179936220696</v>
      </c>
      <c r="CG4" s="233">
        <f t="shared" ref="CG4:CG27" si="70">((J4+F4+(LOG(G4)*4/3))*0.25)</f>
        <v>0.92059309535396061</v>
      </c>
    </row>
    <row r="5" spans="1:85" x14ac:dyDescent="0.25">
      <c r="A5" t="str">
        <f>PLANTILLA!D6</f>
        <v>E. Toney</v>
      </c>
      <c r="B5" s="589">
        <f>PLANTILLA!E6</f>
        <v>36</v>
      </c>
      <c r="C5" s="298">
        <f ca="1">PLANTILLA!F6</f>
        <v>7</v>
      </c>
      <c r="D5" s="589">
        <f>PLANTILLA!G6</f>
        <v>0</v>
      </c>
      <c r="E5" s="258">
        <v>36526</v>
      </c>
      <c r="F5" s="425">
        <f>PLANTILLA!P6</f>
        <v>1.5</v>
      </c>
      <c r="G5" s="426">
        <f>PLANTILLA!I6</f>
        <v>18</v>
      </c>
      <c r="H5" s="152">
        <f>PLANTILLA!X6</f>
        <v>0</v>
      </c>
      <c r="I5" s="152">
        <f>PLANTILLA!Y6</f>
        <v>11.95</v>
      </c>
      <c r="J5" s="152">
        <f>PLANTILLA!Z6</f>
        <v>12.95</v>
      </c>
      <c r="K5" s="152">
        <f>PLANTILLA!AA6</f>
        <v>8.9499999999999993</v>
      </c>
      <c r="L5" s="152">
        <f>PLANTILLA!AB6</f>
        <v>8.9499999999999993</v>
      </c>
      <c r="M5" s="152">
        <f>PLANTILLA!AC6</f>
        <v>1.95</v>
      </c>
      <c r="N5" s="152">
        <f>PLANTILLA!AD6</f>
        <v>17.177777777777774</v>
      </c>
      <c r="O5" s="426">
        <f t="shared" si="0"/>
        <v>4.1062499999999993</v>
      </c>
      <c r="P5" s="426">
        <f t="shared" si="1"/>
        <v>12.098647426148853</v>
      </c>
      <c r="Q5" s="426">
        <f t="shared" si="2"/>
        <v>0.61283333333333312</v>
      </c>
      <c r="R5" s="426">
        <f t="shared" si="3"/>
        <v>0.99333333333333318</v>
      </c>
      <c r="S5" s="426">
        <f t="shared" ca="1" si="4"/>
        <v>19.851474451248848</v>
      </c>
      <c r="T5" s="233">
        <f t="shared" si="5"/>
        <v>6.0688371959402483</v>
      </c>
      <c r="U5" s="233">
        <f t="shared" si="6"/>
        <v>9.1759924054511579</v>
      </c>
      <c r="V5" s="233">
        <f t="shared" si="7"/>
        <v>6.0688371959402483</v>
      </c>
      <c r="W5" s="233">
        <f t="shared" si="8"/>
        <v>7.8038274835110739</v>
      </c>
      <c r="X5" s="233">
        <f t="shared" si="9"/>
        <v>15.123696673471073</v>
      </c>
      <c r="Y5" s="233">
        <f t="shared" si="10"/>
        <v>3.901913741755537</v>
      </c>
      <c r="Z5" s="233">
        <f t="shared" si="11"/>
        <v>3.8374398082861152</v>
      </c>
      <c r="AA5" s="233">
        <f t="shared" si="12"/>
        <v>5.7167573425720661</v>
      </c>
      <c r="AB5" s="233">
        <f t="shared" si="13"/>
        <v>10.934432694919586</v>
      </c>
      <c r="AC5" s="233">
        <f t="shared" si="14"/>
        <v>2.8583786712860331</v>
      </c>
      <c r="AD5" s="233">
        <f t="shared" si="15"/>
        <v>6.2076232192863632</v>
      </c>
      <c r="AE5" s="596">
        <f t="shared" si="16"/>
        <v>13.913800939593388</v>
      </c>
      <c r="AF5" s="233">
        <f t="shared" si="17"/>
        <v>6.2612104228170242</v>
      </c>
      <c r="AG5" s="233">
        <f t="shared" si="18"/>
        <v>2.6926573444696693</v>
      </c>
      <c r="AH5" s="596">
        <f t="shared" si="19"/>
        <v>7.1287336440009907</v>
      </c>
      <c r="AI5" s="233">
        <f t="shared" si="20"/>
        <v>11.403267291797189</v>
      </c>
      <c r="AJ5" s="233">
        <f t="shared" si="21"/>
        <v>10.70757724481752</v>
      </c>
      <c r="AK5" s="233">
        <f t="shared" si="22"/>
        <v>3.398696233358558</v>
      </c>
      <c r="AL5" s="233">
        <f t="shared" si="23"/>
        <v>2.0966246419596692</v>
      </c>
      <c r="AM5" s="233">
        <f t="shared" si="24"/>
        <v>4.0833981018371901</v>
      </c>
      <c r="AN5" s="233">
        <f t="shared" si="25"/>
        <v>8.9834758240418164</v>
      </c>
      <c r="AO5" s="233">
        <f t="shared" si="26"/>
        <v>2.041699050918595</v>
      </c>
      <c r="AP5" s="233">
        <f t="shared" si="27"/>
        <v>15.220769659756693</v>
      </c>
      <c r="AQ5" s="233">
        <f t="shared" si="28"/>
        <v>1.5760805675512395</v>
      </c>
      <c r="AR5" s="233">
        <f t="shared" si="29"/>
        <v>2.3412431253270247</v>
      </c>
      <c r="AS5" s="233">
        <f t="shared" si="30"/>
        <v>0.78804028377561974</v>
      </c>
      <c r="AT5" s="233">
        <f t="shared" si="31"/>
        <v>2.8583786712860331</v>
      </c>
      <c r="AU5" s="233">
        <f t="shared" si="32"/>
        <v>6.0494786693884297</v>
      </c>
      <c r="AV5" s="233">
        <f t="shared" si="33"/>
        <v>1.4291893356430165</v>
      </c>
      <c r="AW5" s="233">
        <f t="shared" si="34"/>
        <v>16.123696673471073</v>
      </c>
      <c r="AX5" s="233">
        <f t="shared" si="35"/>
        <v>3.0672952583881816</v>
      </c>
      <c r="AY5" s="233">
        <f t="shared" si="36"/>
        <v>5.2101568670825618</v>
      </c>
      <c r="AZ5" s="233">
        <f t="shared" si="37"/>
        <v>1.5336476291940908</v>
      </c>
      <c r="BA5" s="233">
        <f t="shared" si="38"/>
        <v>4.4009957319800819</v>
      </c>
      <c r="BB5" s="233">
        <f t="shared" si="39"/>
        <v>5.2630464423679335</v>
      </c>
      <c r="BC5" s="233">
        <f t="shared" si="40"/>
        <v>14.204976769328015</v>
      </c>
      <c r="BD5" s="233">
        <f t="shared" si="41"/>
        <v>10.777966342715784</v>
      </c>
      <c r="BE5" s="233">
        <f t="shared" si="42"/>
        <v>2.9218108983065285</v>
      </c>
      <c r="BF5" s="233">
        <f t="shared" si="43"/>
        <v>7.3349928866334704</v>
      </c>
      <c r="BG5" s="233">
        <f t="shared" si="44"/>
        <v>3.9926559217963637</v>
      </c>
      <c r="BH5" s="233">
        <f t="shared" si="45"/>
        <v>6.1431284325924791</v>
      </c>
      <c r="BI5" s="233">
        <f t="shared" si="46"/>
        <v>10.596110892613719</v>
      </c>
      <c r="BJ5" s="233">
        <f t="shared" si="47"/>
        <v>0.63043222702049584</v>
      </c>
      <c r="BK5" s="233">
        <f t="shared" si="48"/>
        <v>2.7222654012247931</v>
      </c>
      <c r="BL5" s="233">
        <f t="shared" si="49"/>
        <v>1.028411373796033</v>
      </c>
      <c r="BM5" s="233">
        <f t="shared" si="50"/>
        <v>4.917727485408677</v>
      </c>
      <c r="BN5" s="233">
        <f t="shared" si="51"/>
        <v>15.591073922083801</v>
      </c>
      <c r="BO5" s="233">
        <f t="shared" si="52"/>
        <v>1.636699050918595</v>
      </c>
      <c r="BP5" s="233">
        <f t="shared" si="53"/>
        <v>4.2951298552657846</v>
      </c>
      <c r="BQ5" s="233">
        <f t="shared" si="54"/>
        <v>3.690181988326942</v>
      </c>
      <c r="BR5" s="233">
        <f t="shared" si="55"/>
        <v>7.3362819864293387</v>
      </c>
      <c r="BS5" s="233">
        <f t="shared" si="56"/>
        <v>13.43305591420595</v>
      </c>
      <c r="BT5" s="233">
        <f t="shared" si="57"/>
        <v>1.4669672974899999</v>
      </c>
      <c r="BU5" s="233">
        <f t="shared" si="58"/>
        <v>4.2951298552657846</v>
      </c>
      <c r="BV5" s="233">
        <f t="shared" si="59"/>
        <v>3.690181988326942</v>
      </c>
      <c r="BW5" s="233">
        <f t="shared" si="60"/>
        <v>10.174052600960247</v>
      </c>
      <c r="BX5" s="233">
        <f t="shared" si="61"/>
        <v>10.85070852275661</v>
      </c>
      <c r="BY5" s="233">
        <f t="shared" si="62"/>
        <v>1.7943071076737187</v>
      </c>
      <c r="BZ5" s="233">
        <f t="shared" si="63"/>
        <v>6.5462208494292566</v>
      </c>
      <c r="CA5" s="233">
        <f t="shared" si="64"/>
        <v>5.4274459668784294</v>
      </c>
      <c r="CB5" s="233">
        <f t="shared" si="65"/>
        <v>9.5702824543284297</v>
      </c>
      <c r="CC5" s="233">
        <f t="shared" si="66"/>
        <v>5.4274459668784294</v>
      </c>
      <c r="CD5" s="233">
        <f t="shared" si="67"/>
        <v>5.6030630275724791</v>
      </c>
      <c r="CE5" s="233">
        <f t="shared" si="68"/>
        <v>9.5973407459819011</v>
      </c>
      <c r="CF5" s="233">
        <f t="shared" si="69"/>
        <v>5.6030630275724791</v>
      </c>
      <c r="CG5" s="233">
        <f t="shared" si="70"/>
        <v>4.0309241683677683</v>
      </c>
    </row>
    <row r="6" spans="1:85" x14ac:dyDescent="0.25">
      <c r="A6" t="str">
        <f>PLANTILLA!D7</f>
        <v>B. Bartolache</v>
      </c>
      <c r="B6" s="589">
        <f>PLANTILLA!E7</f>
        <v>35</v>
      </c>
      <c r="C6" s="298">
        <f ca="1">PLANTILLA!F7</f>
        <v>104</v>
      </c>
      <c r="D6" s="589">
        <f>PLANTILLA!G7</f>
        <v>0</v>
      </c>
      <c r="E6" s="258">
        <v>36526</v>
      </c>
      <c r="F6" s="425">
        <f>PLANTILLA!P7</f>
        <v>1.5</v>
      </c>
      <c r="G6" s="426">
        <f>PLANTILLA!I7</f>
        <v>11.8</v>
      </c>
      <c r="H6" s="152">
        <f>PLANTILLA!X7</f>
        <v>0</v>
      </c>
      <c r="I6" s="152">
        <f>PLANTILLA!Y7</f>
        <v>11.95</v>
      </c>
      <c r="J6" s="152">
        <f>PLANTILLA!Z7</f>
        <v>5.95</v>
      </c>
      <c r="K6" s="152">
        <f>PLANTILLA!AA7</f>
        <v>6.95</v>
      </c>
      <c r="L6" s="152">
        <f>PLANTILLA!AB7</f>
        <v>7.95</v>
      </c>
      <c r="M6" s="152">
        <f>PLANTILLA!AC7</f>
        <v>2.95</v>
      </c>
      <c r="N6" s="152">
        <f>PLANTILLA!AD7</f>
        <v>16</v>
      </c>
      <c r="O6" s="426">
        <f t="shared" si="0"/>
        <v>3.8562499999999997</v>
      </c>
      <c r="P6" s="426">
        <f t="shared" si="1"/>
        <v>12.570478981528717</v>
      </c>
      <c r="Q6" s="426">
        <f t="shared" si="2"/>
        <v>0.62750000000000006</v>
      </c>
      <c r="R6" s="426">
        <f t="shared" si="3"/>
        <v>0.95799999999999996</v>
      </c>
      <c r="S6" s="426">
        <f t="shared" ca="1" si="4"/>
        <v>18.4291760097415</v>
      </c>
      <c r="T6" s="233">
        <f t="shared" si="5"/>
        <v>5.8553706565043298</v>
      </c>
      <c r="U6" s="233">
        <f t="shared" si="6"/>
        <v>8.8603162285762771</v>
      </c>
      <c r="V6" s="233">
        <f t="shared" si="7"/>
        <v>5.8553706565043298</v>
      </c>
      <c r="W6" s="233">
        <f t="shared" si="8"/>
        <v>7.6776548210266142</v>
      </c>
      <c r="X6" s="233">
        <f t="shared" si="9"/>
        <v>14.879176009741499</v>
      </c>
      <c r="Y6" s="233">
        <f t="shared" si="10"/>
        <v>3.8388274105133071</v>
      </c>
      <c r="Z6" s="233">
        <f t="shared" si="11"/>
        <v>2.1132438903184774</v>
      </c>
      <c r="AA6" s="233">
        <f t="shared" si="12"/>
        <v>5.6243285316822869</v>
      </c>
      <c r="AB6" s="233">
        <f t="shared" si="13"/>
        <v>10.757644255043104</v>
      </c>
      <c r="AC6" s="233">
        <f t="shared" si="14"/>
        <v>2.8121642658411434</v>
      </c>
      <c r="AD6" s="233">
        <f t="shared" si="15"/>
        <v>3.418482763750478</v>
      </c>
      <c r="AE6" s="596">
        <f t="shared" si="16"/>
        <v>13.68884192896218</v>
      </c>
      <c r="AF6" s="233">
        <f t="shared" si="17"/>
        <v>6.1599788680329803</v>
      </c>
      <c r="AG6" s="233">
        <f t="shared" si="18"/>
        <v>1.4828223936268308</v>
      </c>
      <c r="AH6" s="596">
        <f t="shared" si="19"/>
        <v>5.8089554937280017</v>
      </c>
      <c r="AI6" s="233">
        <f t="shared" si="20"/>
        <v>11.218898711345091</v>
      </c>
      <c r="AJ6" s="233">
        <f t="shared" si="21"/>
        <v>10.534456614896982</v>
      </c>
      <c r="AK6" s="233">
        <f t="shared" si="22"/>
        <v>3.1611723936268308</v>
      </c>
      <c r="AL6" s="233">
        <f t="shared" si="23"/>
        <v>1.9542026908055519</v>
      </c>
      <c r="AM6" s="233">
        <f t="shared" si="24"/>
        <v>4.0173775226302046</v>
      </c>
      <c r="AN6" s="233">
        <f t="shared" si="25"/>
        <v>8.8382305497864504</v>
      </c>
      <c r="AO6" s="233">
        <f t="shared" si="26"/>
        <v>2.0086887613151023</v>
      </c>
      <c r="AP6" s="233">
        <f t="shared" si="27"/>
        <v>8.3819421531959772</v>
      </c>
      <c r="AQ6" s="233">
        <f t="shared" si="28"/>
        <v>1.4142928812663949</v>
      </c>
      <c r="AR6" s="233">
        <f t="shared" si="29"/>
        <v>2.3225985708542596</v>
      </c>
      <c r="AS6" s="233">
        <f t="shared" si="30"/>
        <v>0.70714644063319743</v>
      </c>
      <c r="AT6" s="233">
        <f t="shared" si="31"/>
        <v>2.8121642658411434</v>
      </c>
      <c r="AU6" s="233">
        <f t="shared" si="32"/>
        <v>5.9516704038965997</v>
      </c>
      <c r="AV6" s="233">
        <f t="shared" si="33"/>
        <v>1.4060821329205717</v>
      </c>
      <c r="AW6" s="233">
        <f t="shared" si="34"/>
        <v>8.8791760097415011</v>
      </c>
      <c r="AX6" s="233">
        <f t="shared" si="35"/>
        <v>2.7524315304645994</v>
      </c>
      <c r="AY6" s="233">
        <f t="shared" si="36"/>
        <v>4.9444259813675666</v>
      </c>
      <c r="AZ6" s="233">
        <f t="shared" si="37"/>
        <v>1.3762157652322997</v>
      </c>
      <c r="BA6" s="233">
        <f t="shared" si="38"/>
        <v>4.329840218834776</v>
      </c>
      <c r="BB6" s="233">
        <f t="shared" si="39"/>
        <v>5.1779532513900417</v>
      </c>
      <c r="BC6" s="233">
        <f t="shared" si="40"/>
        <v>7.8225540645822624</v>
      </c>
      <c r="BD6" s="233">
        <f t="shared" si="41"/>
        <v>9.0975874726601926</v>
      </c>
      <c r="BE6" s="233">
        <f t="shared" si="42"/>
        <v>2.6218814183477011</v>
      </c>
      <c r="BF6" s="233">
        <f t="shared" si="43"/>
        <v>7.2164003647246266</v>
      </c>
      <c r="BG6" s="233">
        <f t="shared" si="44"/>
        <v>3.9281024665717559</v>
      </c>
      <c r="BH6" s="233">
        <f t="shared" si="45"/>
        <v>3.3829660597115119</v>
      </c>
      <c r="BI6" s="233">
        <f t="shared" si="46"/>
        <v>8.8353998325140708</v>
      </c>
      <c r="BJ6" s="233">
        <f t="shared" si="47"/>
        <v>0.56571715250655796</v>
      </c>
      <c r="BK6" s="233">
        <f t="shared" si="48"/>
        <v>2.6782516817534696</v>
      </c>
      <c r="BL6" s="233">
        <f t="shared" si="49"/>
        <v>1.0117839686624219</v>
      </c>
      <c r="BM6" s="233">
        <f t="shared" si="50"/>
        <v>2.7081486829711579</v>
      </c>
      <c r="BN6" s="233">
        <f t="shared" si="51"/>
        <v>12.990620348527568</v>
      </c>
      <c r="BO6" s="233">
        <f t="shared" si="52"/>
        <v>1.4686887613151025</v>
      </c>
      <c r="BP6" s="233">
        <f t="shared" si="53"/>
        <v>4.2256859867665852</v>
      </c>
      <c r="BQ6" s="233">
        <f t="shared" si="54"/>
        <v>3.6305189463769256</v>
      </c>
      <c r="BR6" s="233">
        <f t="shared" si="55"/>
        <v>4.0400250844323828</v>
      </c>
      <c r="BS6" s="233">
        <f t="shared" si="56"/>
        <v>11.190127018793582</v>
      </c>
      <c r="BT6" s="233">
        <f t="shared" si="57"/>
        <v>1.3163802971787213</v>
      </c>
      <c r="BU6" s="233">
        <f t="shared" si="58"/>
        <v>4.2256859867665852</v>
      </c>
      <c r="BV6" s="233">
        <f t="shared" si="59"/>
        <v>3.6305189463769256</v>
      </c>
      <c r="BW6" s="233">
        <f t="shared" si="60"/>
        <v>5.6027600621468876</v>
      </c>
      <c r="BX6" s="233">
        <f t="shared" si="61"/>
        <v>9.0348625287186408</v>
      </c>
      <c r="BY6" s="233">
        <f t="shared" si="62"/>
        <v>1.6101180494417417</v>
      </c>
      <c r="BZ6" s="233">
        <f t="shared" si="63"/>
        <v>3.6049454599550499</v>
      </c>
      <c r="CA6" s="233">
        <f t="shared" si="64"/>
        <v>4.8890507010753215</v>
      </c>
      <c r="CB6" s="233">
        <f t="shared" si="65"/>
        <v>9.3349521869689287</v>
      </c>
      <c r="CC6" s="233">
        <f t="shared" si="66"/>
        <v>4.8890507010753215</v>
      </c>
      <c r="CD6" s="233">
        <f t="shared" si="67"/>
        <v>5.1267266540689542</v>
      </c>
      <c r="CE6" s="233">
        <f t="shared" si="68"/>
        <v>9.8935919573361133</v>
      </c>
      <c r="CF6" s="233">
        <f t="shared" si="69"/>
        <v>5.1267266540689542</v>
      </c>
      <c r="CG6" s="233">
        <f t="shared" si="70"/>
        <v>2.2197940024353753</v>
      </c>
    </row>
    <row r="7" spans="1:85" x14ac:dyDescent="0.25">
      <c r="A7" t="str">
        <f>PLANTILLA!D8</f>
        <v>F. Lasprilla</v>
      </c>
      <c r="B7" s="589">
        <f>PLANTILLA!E8</f>
        <v>32</v>
      </c>
      <c r="C7" s="298">
        <f ca="1">PLANTILLA!F8</f>
        <v>15</v>
      </c>
      <c r="D7" s="589">
        <f>PLANTILLA!G8</f>
        <v>0</v>
      </c>
      <c r="E7" s="258">
        <v>36526</v>
      </c>
      <c r="F7" s="425">
        <f>PLANTILLA!P8</f>
        <v>1.5</v>
      </c>
      <c r="G7" s="426">
        <f>PLANTILLA!I8</f>
        <v>6.3</v>
      </c>
      <c r="H7" s="152">
        <f>PLANTILLA!X8</f>
        <v>0</v>
      </c>
      <c r="I7" s="152">
        <f>PLANTILLA!Y8</f>
        <v>9.6046666666666667</v>
      </c>
      <c r="J7" s="152">
        <f>PLANTILLA!Z8</f>
        <v>7.7607222222222223</v>
      </c>
      <c r="K7" s="152">
        <f>PLANTILLA!AA8</f>
        <v>6.1599999999999984</v>
      </c>
      <c r="L7" s="152">
        <f>PLANTILLA!AB8</f>
        <v>8.8633333333333315</v>
      </c>
      <c r="M7" s="152">
        <f>PLANTILLA!AC8</f>
        <v>2.95</v>
      </c>
      <c r="N7" s="152">
        <f>PLANTILLA!AD8</f>
        <v>13.33611111111111</v>
      </c>
      <c r="O7" s="426">
        <f t="shared" si="0"/>
        <v>3.7914166666666662</v>
      </c>
      <c r="P7" s="426">
        <f t="shared" si="1"/>
        <v>10.302251263501001</v>
      </c>
      <c r="Q7" s="426">
        <f t="shared" si="2"/>
        <v>0.5475833333333332</v>
      </c>
      <c r="R7" s="426">
        <f t="shared" si="3"/>
        <v>0.78426999999999991</v>
      </c>
      <c r="S7" s="426">
        <f t="shared" ca="1" si="4"/>
        <v>15.401898510382553</v>
      </c>
      <c r="T7" s="233">
        <f t="shared" si="5"/>
        <v>4.8908203995639692</v>
      </c>
      <c r="U7" s="233">
        <f t="shared" si="6"/>
        <v>7.3944148657927649</v>
      </c>
      <c r="V7" s="233">
        <f t="shared" si="7"/>
        <v>4.8908203995639692</v>
      </c>
      <c r="W7" s="233">
        <f t="shared" si="8"/>
        <v>6.279954298024065</v>
      </c>
      <c r="X7" s="233">
        <f t="shared" si="9"/>
        <v>12.17045406593811</v>
      </c>
      <c r="Y7" s="233">
        <f t="shared" si="10"/>
        <v>3.1399771490120325</v>
      </c>
      <c r="Z7" s="233">
        <f t="shared" si="11"/>
        <v>2.457709289915492</v>
      </c>
      <c r="AA7" s="233">
        <f t="shared" si="12"/>
        <v>4.600431636924605</v>
      </c>
      <c r="AB7" s="233">
        <f t="shared" si="13"/>
        <v>8.7992382896732533</v>
      </c>
      <c r="AC7" s="233">
        <f t="shared" si="14"/>
        <v>2.3002158184623025</v>
      </c>
      <c r="AD7" s="233">
        <f t="shared" si="15"/>
        <v>3.9757062042750611</v>
      </c>
      <c r="AE7" s="596">
        <f t="shared" si="16"/>
        <v>11.196817740663061</v>
      </c>
      <c r="AF7" s="233">
        <f t="shared" si="17"/>
        <v>5.0385679832983774</v>
      </c>
      <c r="AG7" s="233">
        <f t="shared" si="18"/>
        <v>1.7245271067894421</v>
      </c>
      <c r="AH7" s="596">
        <f t="shared" si="19"/>
        <v>5.1307629907716068</v>
      </c>
      <c r="AI7" s="233">
        <f t="shared" si="20"/>
        <v>9.176522365717334</v>
      </c>
      <c r="AJ7" s="233">
        <f t="shared" si="21"/>
        <v>8.6166814786841819</v>
      </c>
      <c r="AK7" s="233">
        <f t="shared" si="22"/>
        <v>2.6556170512338864</v>
      </c>
      <c r="AL7" s="233">
        <f t="shared" si="23"/>
        <v>1.8308747709901751</v>
      </c>
      <c r="AM7" s="233">
        <f t="shared" si="24"/>
        <v>3.28602259780329</v>
      </c>
      <c r="AN7" s="233">
        <f t="shared" si="25"/>
        <v>7.2292497151672368</v>
      </c>
      <c r="AO7" s="233">
        <f t="shared" si="26"/>
        <v>1.643011298901645</v>
      </c>
      <c r="AP7" s="233">
        <f t="shared" si="27"/>
        <v>9.7482250826900199</v>
      </c>
      <c r="AQ7" s="233">
        <f t="shared" si="28"/>
        <v>1.4857856952386208</v>
      </c>
      <c r="AR7" s="233">
        <f t="shared" si="29"/>
        <v>2.3257257079865323</v>
      </c>
      <c r="AS7" s="233">
        <f t="shared" si="30"/>
        <v>0.7428928476193104</v>
      </c>
      <c r="AT7" s="233">
        <f t="shared" si="31"/>
        <v>2.3002158184623025</v>
      </c>
      <c r="AU7" s="233">
        <f t="shared" si="32"/>
        <v>4.868181626375244</v>
      </c>
      <c r="AV7" s="233">
        <f t="shared" si="33"/>
        <v>1.1501079092311512</v>
      </c>
      <c r="AW7" s="233">
        <f t="shared" si="34"/>
        <v>10.326509621493665</v>
      </c>
      <c r="AX7" s="233">
        <f t="shared" si="35"/>
        <v>2.891567545349008</v>
      </c>
      <c r="AY7" s="233">
        <f t="shared" si="36"/>
        <v>5.0556455236652313</v>
      </c>
      <c r="AZ7" s="233">
        <f t="shared" si="37"/>
        <v>1.445783772674504</v>
      </c>
      <c r="BA7" s="233">
        <f t="shared" si="38"/>
        <v>3.5416021331879897</v>
      </c>
      <c r="BB7" s="233">
        <f t="shared" si="39"/>
        <v>4.2353180149464622</v>
      </c>
      <c r="BC7" s="233">
        <f t="shared" si="40"/>
        <v>9.0976549765359191</v>
      </c>
      <c r="BD7" s="233">
        <f t="shared" si="41"/>
        <v>8.6087749979523114</v>
      </c>
      <c r="BE7" s="233">
        <f t="shared" si="42"/>
        <v>2.7544180965577505</v>
      </c>
      <c r="BF7" s="233">
        <f t="shared" si="43"/>
        <v>5.9026702219799834</v>
      </c>
      <c r="BG7" s="233">
        <f t="shared" si="44"/>
        <v>3.2129998734076612</v>
      </c>
      <c r="BH7" s="233">
        <f t="shared" si="45"/>
        <v>3.9344001657890866</v>
      </c>
      <c r="BI7" s="233">
        <f t="shared" si="46"/>
        <v>8.1697081869632395</v>
      </c>
      <c r="BJ7" s="233">
        <f t="shared" si="47"/>
        <v>0.59431427809544823</v>
      </c>
      <c r="BK7" s="233">
        <f t="shared" si="48"/>
        <v>2.1906817318688598</v>
      </c>
      <c r="BL7" s="233">
        <f t="shared" si="49"/>
        <v>0.82759087648379148</v>
      </c>
      <c r="BM7" s="233">
        <f t="shared" si="50"/>
        <v>3.1495854345555676</v>
      </c>
      <c r="BN7" s="233">
        <f t="shared" si="51"/>
        <v>11.994515928796407</v>
      </c>
      <c r="BO7" s="233">
        <f t="shared" si="52"/>
        <v>1.5429312989016446</v>
      </c>
      <c r="BP7" s="233">
        <f t="shared" si="53"/>
        <v>3.456408954726423</v>
      </c>
      <c r="BQ7" s="233">
        <f t="shared" si="54"/>
        <v>2.9695907920888986</v>
      </c>
      <c r="BR7" s="233">
        <f t="shared" si="55"/>
        <v>4.6985618777796176</v>
      </c>
      <c r="BS7" s="233">
        <f t="shared" si="56"/>
        <v>10.32778577172609</v>
      </c>
      <c r="BT7" s="233">
        <f t="shared" si="57"/>
        <v>1.3829236086451777</v>
      </c>
      <c r="BU7" s="233">
        <f t="shared" si="58"/>
        <v>3.456408954726423</v>
      </c>
      <c r="BV7" s="233">
        <f t="shared" si="59"/>
        <v>2.9695907920888986</v>
      </c>
      <c r="BW7" s="233">
        <f t="shared" si="60"/>
        <v>6.5160275711625024</v>
      </c>
      <c r="BX7" s="233">
        <f t="shared" si="61"/>
        <v>8.3313230556812741</v>
      </c>
      <c r="BY7" s="233">
        <f t="shared" si="62"/>
        <v>1.6915098684255065</v>
      </c>
      <c r="BZ7" s="233">
        <f t="shared" si="63"/>
        <v>4.1925629063264287</v>
      </c>
      <c r="CA7" s="233">
        <f t="shared" si="64"/>
        <v>4.8142985683537542</v>
      </c>
      <c r="CB7" s="233">
        <f t="shared" si="65"/>
        <v>9.4217166115796438</v>
      </c>
      <c r="CC7" s="233">
        <f t="shared" si="66"/>
        <v>4.8142985683537542</v>
      </c>
      <c r="CD7" s="233">
        <f t="shared" si="67"/>
        <v>4.855438883079441</v>
      </c>
      <c r="CE7" s="233">
        <f t="shared" si="68"/>
        <v>9.733132949602604</v>
      </c>
      <c r="CF7" s="233">
        <f t="shared" si="69"/>
        <v>4.855438883079441</v>
      </c>
      <c r="CG7" s="233">
        <f t="shared" si="70"/>
        <v>2.5816274053734163</v>
      </c>
    </row>
    <row r="8" spans="1:85" x14ac:dyDescent="0.25">
      <c r="A8" t="str">
        <f>PLANTILLA!D9</f>
        <v>E. Romweber</v>
      </c>
      <c r="B8" s="589">
        <f>PLANTILLA!E9</f>
        <v>35</v>
      </c>
      <c r="C8" s="298">
        <f ca="1">PLANTILLA!F9</f>
        <v>81</v>
      </c>
      <c r="D8" s="589" t="str">
        <f>PLANTILLA!G9</f>
        <v>IMP</v>
      </c>
      <c r="E8" s="258">
        <v>36526</v>
      </c>
      <c r="F8" s="425">
        <f>PLANTILLA!P9</f>
        <v>1.5</v>
      </c>
      <c r="G8" s="426">
        <f>PLANTILLA!I9</f>
        <v>17.100000000000001</v>
      </c>
      <c r="H8" s="152">
        <f>PLANTILLA!X9</f>
        <v>0</v>
      </c>
      <c r="I8" s="152">
        <f>PLANTILLA!Y9</f>
        <v>11.95</v>
      </c>
      <c r="J8" s="152">
        <f>PLANTILLA!Z9</f>
        <v>12.614111111111114</v>
      </c>
      <c r="K8" s="152">
        <f>PLANTILLA!AA9</f>
        <v>12.95</v>
      </c>
      <c r="L8" s="152">
        <f>PLANTILLA!AB9</f>
        <v>10.95</v>
      </c>
      <c r="M8" s="152">
        <f>PLANTILLA!AC9</f>
        <v>5.95</v>
      </c>
      <c r="N8" s="152">
        <f>PLANTILLA!AD9</f>
        <v>17.529999999999998</v>
      </c>
      <c r="O8" s="426">
        <f t="shared" si="0"/>
        <v>4.6062499999999993</v>
      </c>
      <c r="P8" s="426">
        <f t="shared" si="1"/>
        <v>18.866728538622212</v>
      </c>
      <c r="Q8" s="426">
        <f t="shared" si="2"/>
        <v>0.82340000000000002</v>
      </c>
      <c r="R8" s="426">
        <f t="shared" si="3"/>
        <v>1.0039</v>
      </c>
      <c r="S8" s="426">
        <f t="shared" ca="1" si="4"/>
        <v>20.173994813856204</v>
      </c>
      <c r="T8" s="233">
        <f t="shared" si="5"/>
        <v>6.0429074724964664</v>
      </c>
      <c r="U8" s="233">
        <f t="shared" si="6"/>
        <v>9.1376473046883611</v>
      </c>
      <c r="V8" s="233">
        <f t="shared" si="7"/>
        <v>6.0429074724964664</v>
      </c>
      <c r="W8" s="233">
        <f t="shared" si="8"/>
        <v>7.7885013239498013</v>
      </c>
      <c r="X8" s="233">
        <f t="shared" si="9"/>
        <v>15.093994813856204</v>
      </c>
      <c r="Y8" s="233">
        <f t="shared" si="10"/>
        <v>3.8942506619749007</v>
      </c>
      <c r="Z8" s="233">
        <f t="shared" si="11"/>
        <v>3.7504292101422219</v>
      </c>
      <c r="AA8" s="233">
        <f t="shared" si="12"/>
        <v>5.7055300396376456</v>
      </c>
      <c r="AB8" s="233">
        <f t="shared" si="13"/>
        <v>10.912958250418034</v>
      </c>
      <c r="AC8" s="233">
        <f t="shared" si="14"/>
        <v>2.8527650198188228</v>
      </c>
      <c r="AD8" s="233">
        <f t="shared" si="15"/>
        <v>6.0668707811124181</v>
      </c>
      <c r="AE8" s="596">
        <f t="shared" si="16"/>
        <v>13.886475228747708</v>
      </c>
      <c r="AF8" s="233">
        <f t="shared" si="17"/>
        <v>6.2489138529364681</v>
      </c>
      <c r="AG8" s="233">
        <f t="shared" si="18"/>
        <v>2.6316036894695425</v>
      </c>
      <c r="AH8" s="596">
        <f t="shared" si="19"/>
        <v>9.4632689505474481</v>
      </c>
      <c r="AI8" s="233">
        <f t="shared" si="20"/>
        <v>11.380872089647578</v>
      </c>
      <c r="AJ8" s="233">
        <f t="shared" si="21"/>
        <v>10.686548328210192</v>
      </c>
      <c r="AK8" s="233">
        <f t="shared" si="22"/>
        <v>3.4525571339139862</v>
      </c>
      <c r="AL8" s="233">
        <f t="shared" si="23"/>
        <v>2.2320705063905866</v>
      </c>
      <c r="AM8" s="233">
        <f t="shared" si="24"/>
        <v>4.0753785997411756</v>
      </c>
      <c r="AN8" s="233">
        <f t="shared" si="25"/>
        <v>8.9658329194305857</v>
      </c>
      <c r="AO8" s="233">
        <f t="shared" si="26"/>
        <v>2.0376892998705878</v>
      </c>
      <c r="AP8" s="233">
        <f t="shared" si="27"/>
        <v>14.875651993169148</v>
      </c>
      <c r="AQ8" s="233">
        <f t="shared" si="28"/>
        <v>1.8322193258013066</v>
      </c>
      <c r="AR8" s="233">
        <f t="shared" si="29"/>
        <v>3.2645404804598677</v>
      </c>
      <c r="AS8" s="233">
        <f t="shared" si="30"/>
        <v>0.91610966290065332</v>
      </c>
      <c r="AT8" s="233">
        <f t="shared" si="31"/>
        <v>2.8527650198188228</v>
      </c>
      <c r="AU8" s="233">
        <f t="shared" si="32"/>
        <v>6.0375979255424816</v>
      </c>
      <c r="AV8" s="233">
        <f t="shared" si="33"/>
        <v>1.4263825099094114</v>
      </c>
      <c r="AW8" s="233">
        <f t="shared" si="34"/>
        <v>15.758105924967319</v>
      </c>
      <c r="AX8" s="233">
        <f t="shared" si="35"/>
        <v>3.5657806879056198</v>
      </c>
      <c r="AY8" s="233">
        <f t="shared" si="36"/>
        <v>6.7157911424347692</v>
      </c>
      <c r="AZ8" s="233">
        <f t="shared" si="37"/>
        <v>1.7828903439528099</v>
      </c>
      <c r="BA8" s="233">
        <f t="shared" si="38"/>
        <v>4.3923524908321552</v>
      </c>
      <c r="BB8" s="233">
        <f t="shared" si="39"/>
        <v>5.252710195221959</v>
      </c>
      <c r="BC8" s="233">
        <f t="shared" si="40"/>
        <v>13.882891319896208</v>
      </c>
      <c r="BD8" s="233">
        <f t="shared" si="41"/>
        <v>13.677561389518168</v>
      </c>
      <c r="BE8" s="233">
        <f t="shared" si="42"/>
        <v>3.3966527501393449</v>
      </c>
      <c r="BF8" s="233">
        <f t="shared" si="43"/>
        <v>7.3205874847202592</v>
      </c>
      <c r="BG8" s="233">
        <f t="shared" si="44"/>
        <v>3.9848146308580379</v>
      </c>
      <c r="BH8" s="233">
        <f t="shared" si="45"/>
        <v>6.0038383574125485</v>
      </c>
      <c r="BI8" s="233">
        <f t="shared" si="46"/>
        <v>13.664151467310324</v>
      </c>
      <c r="BJ8" s="233">
        <f t="shared" si="47"/>
        <v>0.73288773032052257</v>
      </c>
      <c r="BK8" s="233">
        <f t="shared" si="48"/>
        <v>2.7169190664941167</v>
      </c>
      <c r="BL8" s="233">
        <f t="shared" si="49"/>
        <v>1.0263916473422219</v>
      </c>
      <c r="BM8" s="233">
        <f t="shared" si="50"/>
        <v>4.8062223071150321</v>
      </c>
      <c r="BN8" s="233">
        <f t="shared" si="51"/>
        <v>20.124877330619078</v>
      </c>
      <c r="BO8" s="233">
        <f t="shared" si="52"/>
        <v>1.9026892998705878</v>
      </c>
      <c r="BP8" s="233">
        <f t="shared" si="53"/>
        <v>4.286694527135162</v>
      </c>
      <c r="BQ8" s="233">
        <f t="shared" si="54"/>
        <v>3.6829347345809138</v>
      </c>
      <c r="BR8" s="233">
        <f t="shared" si="55"/>
        <v>7.1699381958601309</v>
      </c>
      <c r="BS8" s="233">
        <f t="shared" si="56"/>
        <v>17.344146253752676</v>
      </c>
      <c r="BT8" s="233">
        <f t="shared" si="57"/>
        <v>1.7053733724766007</v>
      </c>
      <c r="BU8" s="233">
        <f t="shared" si="58"/>
        <v>4.286694527135162</v>
      </c>
      <c r="BV8" s="233">
        <f t="shared" si="59"/>
        <v>3.6829347345809138</v>
      </c>
      <c r="BW8" s="233">
        <f t="shared" si="60"/>
        <v>9.9433648386543787</v>
      </c>
      <c r="BX8" s="233">
        <f t="shared" si="61"/>
        <v>14.018125358401305</v>
      </c>
      <c r="BY8" s="233">
        <f t="shared" si="62"/>
        <v>2.0859112324507181</v>
      </c>
      <c r="BZ8" s="233">
        <f t="shared" si="63"/>
        <v>6.3977910055367317</v>
      </c>
      <c r="CA8" s="233">
        <f t="shared" si="64"/>
        <v>6.9959712980190831</v>
      </c>
      <c r="CB8" s="233">
        <f t="shared" si="65"/>
        <v>12.954838160402087</v>
      </c>
      <c r="CC8" s="233">
        <f t="shared" si="66"/>
        <v>6.9959712980190831</v>
      </c>
      <c r="CD8" s="233">
        <f t="shared" si="67"/>
        <v>7.7925587690324161</v>
      </c>
      <c r="CE8" s="233">
        <f t="shared" si="68"/>
        <v>14.294678900169146</v>
      </c>
      <c r="CF8" s="233">
        <f t="shared" si="69"/>
        <v>7.7925587690324161</v>
      </c>
      <c r="CG8" s="233">
        <f t="shared" si="70"/>
        <v>3.9395264812418298</v>
      </c>
    </row>
    <row r="9" spans="1:85" x14ac:dyDescent="0.25">
      <c r="A9" t="str">
        <f>PLANTILLA!D10</f>
        <v>S. Buschelman</v>
      </c>
      <c r="B9" s="589">
        <f>PLANTILLA!E10</f>
        <v>34</v>
      </c>
      <c r="C9" s="298">
        <f ca="1">PLANTILLA!F10</f>
        <v>40</v>
      </c>
      <c r="D9" s="589" t="str">
        <f>PLANTILLA!G10</f>
        <v>TEC</v>
      </c>
      <c r="E9" s="258">
        <v>36526</v>
      </c>
      <c r="F9" s="425">
        <f>PLANTILLA!P10</f>
        <v>1.5</v>
      </c>
      <c r="G9" s="426">
        <f>PLANTILLA!I10</f>
        <v>14.8</v>
      </c>
      <c r="H9" s="152">
        <f>PLANTILLA!X10</f>
        <v>0</v>
      </c>
      <c r="I9" s="152">
        <f>PLANTILLA!Y10</f>
        <v>9.3036666666666648</v>
      </c>
      <c r="J9" s="152">
        <f>PLANTILLA!Z10</f>
        <v>14</v>
      </c>
      <c r="K9" s="152">
        <f>PLANTILLA!AA10</f>
        <v>12.945</v>
      </c>
      <c r="L9" s="152">
        <f>PLANTILLA!AB10</f>
        <v>9.9499999999999993</v>
      </c>
      <c r="M9" s="152">
        <f>PLANTILLA!AC10</f>
        <v>3.95</v>
      </c>
      <c r="N9" s="152">
        <f>PLANTILLA!AD10</f>
        <v>16</v>
      </c>
      <c r="O9" s="426">
        <f t="shared" si="0"/>
        <v>4.0254583333333329</v>
      </c>
      <c r="P9" s="426">
        <f t="shared" si="1"/>
        <v>14.520371188030476</v>
      </c>
      <c r="Q9" s="426">
        <f t="shared" si="2"/>
        <v>0.67749999999999999</v>
      </c>
      <c r="R9" s="426">
        <f t="shared" si="3"/>
        <v>0.8521466666666665</v>
      </c>
      <c r="S9" s="426">
        <f t="shared" ca="1" si="4"/>
        <v>18.560348953859943</v>
      </c>
      <c r="T9" s="233">
        <f t="shared" si="5"/>
        <v>5.2394966367197302</v>
      </c>
      <c r="U9" s="233">
        <f t="shared" si="6"/>
        <v>7.9049688327665191</v>
      </c>
      <c r="V9" s="233">
        <f t="shared" si="7"/>
        <v>5.2394966367197302</v>
      </c>
      <c r="W9" s="233">
        <f t="shared" si="8"/>
        <v>6.3798320601917302</v>
      </c>
      <c r="X9" s="233">
        <f t="shared" si="9"/>
        <v>12.364015620526608</v>
      </c>
      <c r="Y9" s="233">
        <f t="shared" si="10"/>
        <v>3.1899160300958651</v>
      </c>
      <c r="Z9" s="233">
        <f t="shared" si="11"/>
        <v>4.0603630510186663</v>
      </c>
      <c r="AA9" s="233">
        <f t="shared" si="12"/>
        <v>4.6735979045590579</v>
      </c>
      <c r="AB9" s="233">
        <f t="shared" si="13"/>
        <v>8.9391832936407365</v>
      </c>
      <c r="AC9" s="233">
        <f t="shared" si="14"/>
        <v>2.3367989522795289</v>
      </c>
      <c r="AD9" s="233">
        <f t="shared" si="15"/>
        <v>6.5682343472360785</v>
      </c>
      <c r="AE9" s="596">
        <f t="shared" si="16"/>
        <v>11.37489437088448</v>
      </c>
      <c r="AF9" s="233">
        <f t="shared" si="17"/>
        <v>5.1187024668980152</v>
      </c>
      <c r="AG9" s="233">
        <f t="shared" si="18"/>
        <v>2.8490782752946107</v>
      </c>
      <c r="AH9" s="596">
        <f t="shared" si="19"/>
        <v>9.4111451848696461</v>
      </c>
      <c r="AI9" s="233">
        <f t="shared" si="20"/>
        <v>9.3224677778770619</v>
      </c>
      <c r="AJ9" s="233">
        <f t="shared" si="21"/>
        <v>8.7537230593328381</v>
      </c>
      <c r="AK9" s="233">
        <f t="shared" si="22"/>
        <v>3.1830782752946107</v>
      </c>
      <c r="AL9" s="233">
        <f t="shared" si="23"/>
        <v>2.0407124987116636</v>
      </c>
      <c r="AM9" s="233">
        <f t="shared" si="24"/>
        <v>3.3382842175421845</v>
      </c>
      <c r="AN9" s="233">
        <f t="shared" si="25"/>
        <v>7.3442252785928046</v>
      </c>
      <c r="AO9" s="233">
        <f t="shared" si="26"/>
        <v>1.6691421087710923</v>
      </c>
      <c r="AP9" s="233">
        <f t="shared" si="27"/>
        <v>16.104969412443786</v>
      </c>
      <c r="AQ9" s="233">
        <f t="shared" si="28"/>
        <v>1.6913453640017926</v>
      </c>
      <c r="AR9" s="233">
        <f t="shared" si="29"/>
        <v>2.7740322434809634</v>
      </c>
      <c r="AS9" s="233">
        <f t="shared" si="30"/>
        <v>0.84567268200089629</v>
      </c>
      <c r="AT9" s="233">
        <f t="shared" si="31"/>
        <v>2.3367989522795289</v>
      </c>
      <c r="AU9" s="233">
        <f t="shared" si="32"/>
        <v>4.9456062482106438</v>
      </c>
      <c r="AV9" s="233">
        <f t="shared" si="33"/>
        <v>1.1683994761397645</v>
      </c>
      <c r="AW9" s="233">
        <f t="shared" si="34"/>
        <v>17.060348953859943</v>
      </c>
      <c r="AX9" s="233">
        <f t="shared" si="35"/>
        <v>3.2916182853265656</v>
      </c>
      <c r="AY9" s="233">
        <f t="shared" si="36"/>
        <v>5.9087022735768286</v>
      </c>
      <c r="AZ9" s="233">
        <f t="shared" si="37"/>
        <v>1.6458091426632828</v>
      </c>
      <c r="BA9" s="233">
        <f t="shared" si="38"/>
        <v>3.5979285455732426</v>
      </c>
      <c r="BB9" s="233">
        <f t="shared" si="39"/>
        <v>4.3026774359432594</v>
      </c>
      <c r="BC9" s="233">
        <f t="shared" si="40"/>
        <v>15.030167428350611</v>
      </c>
      <c r="BD9" s="233">
        <f t="shared" si="41"/>
        <v>13.285330219981489</v>
      </c>
      <c r="BE9" s="233">
        <f t="shared" si="42"/>
        <v>3.1354940978802461</v>
      </c>
      <c r="BF9" s="233">
        <f t="shared" si="43"/>
        <v>5.9965475759554048</v>
      </c>
      <c r="BG9" s="233">
        <f t="shared" si="44"/>
        <v>3.2641001238190248</v>
      </c>
      <c r="BH9" s="233">
        <f t="shared" si="45"/>
        <v>6.4999929514206389</v>
      </c>
      <c r="BI9" s="233">
        <f t="shared" si="46"/>
        <v>13.386679985673592</v>
      </c>
      <c r="BJ9" s="233">
        <f t="shared" si="47"/>
        <v>0.67653814560071701</v>
      </c>
      <c r="BK9" s="233">
        <f t="shared" si="48"/>
        <v>2.2255228116947894</v>
      </c>
      <c r="BL9" s="233">
        <f t="shared" si="49"/>
        <v>0.84075306219580936</v>
      </c>
      <c r="BM9" s="233">
        <f t="shared" si="50"/>
        <v>5.2034064309272825</v>
      </c>
      <c r="BN9" s="233">
        <f t="shared" si="51"/>
        <v>19.726308754663886</v>
      </c>
      <c r="BO9" s="233">
        <f t="shared" si="52"/>
        <v>1.7563971087710923</v>
      </c>
      <c r="BP9" s="233">
        <f t="shared" si="53"/>
        <v>3.5113804362295564</v>
      </c>
      <c r="BQ9" s="233">
        <f t="shared" si="54"/>
        <v>3.0168198114084923</v>
      </c>
      <c r="BR9" s="233">
        <f t="shared" si="55"/>
        <v>7.7624587740062747</v>
      </c>
      <c r="BS9" s="233">
        <f t="shared" si="56"/>
        <v>17.003146640876817</v>
      </c>
      <c r="BT9" s="233">
        <f t="shared" si="57"/>
        <v>1.5742522234170531</v>
      </c>
      <c r="BU9" s="233">
        <f t="shared" si="58"/>
        <v>3.5113804362295564</v>
      </c>
      <c r="BV9" s="233">
        <f t="shared" si="59"/>
        <v>3.0168198114084923</v>
      </c>
      <c r="BW9" s="233">
        <f t="shared" si="60"/>
        <v>10.765080189885625</v>
      </c>
      <c r="BX9" s="233">
        <f t="shared" si="61"/>
        <v>13.746752313704649</v>
      </c>
      <c r="BY9" s="233">
        <f t="shared" si="62"/>
        <v>1.9255316451712714</v>
      </c>
      <c r="BZ9" s="233">
        <f t="shared" si="63"/>
        <v>6.9265016752671373</v>
      </c>
      <c r="CA9" s="233">
        <f t="shared" si="64"/>
        <v>7.5064697212698261</v>
      </c>
      <c r="CB9" s="233">
        <f t="shared" si="65"/>
        <v>11.151652922046296</v>
      </c>
      <c r="CC9" s="233">
        <f t="shared" si="66"/>
        <v>7.5064697212698261</v>
      </c>
      <c r="CD9" s="233">
        <f t="shared" si="67"/>
        <v>7.0773423982547445</v>
      </c>
      <c r="CE9" s="233">
        <f t="shared" si="68"/>
        <v>11.811167717834262</v>
      </c>
      <c r="CF9" s="233">
        <f t="shared" si="69"/>
        <v>7.0773423982547445</v>
      </c>
      <c r="CG9" s="233">
        <f t="shared" si="70"/>
        <v>4.2650872384649858</v>
      </c>
    </row>
    <row r="10" spans="1:85" x14ac:dyDescent="0.25">
      <c r="A10" t="str">
        <f>PLANTILLA!D11</f>
        <v>C. Rojas</v>
      </c>
      <c r="B10" s="589">
        <f>PLANTILLA!E11</f>
        <v>36</v>
      </c>
      <c r="C10" s="298">
        <f ca="1">PLANTILLA!F11</f>
        <v>74</v>
      </c>
      <c r="D10" s="589" t="str">
        <f>PLANTILLA!G11</f>
        <v>TEC</v>
      </c>
      <c r="E10" s="258">
        <v>36526</v>
      </c>
      <c r="F10" s="425">
        <f>PLANTILLA!P11</f>
        <v>1.5</v>
      </c>
      <c r="G10" s="426">
        <f>PLANTILLA!I11</f>
        <v>14.4</v>
      </c>
      <c r="H10" s="152">
        <f>PLANTILLA!X11</f>
        <v>0</v>
      </c>
      <c r="I10" s="152">
        <f>PLANTILLA!Y11</f>
        <v>7.95</v>
      </c>
      <c r="J10" s="152">
        <f>PLANTILLA!Z11</f>
        <v>13.95</v>
      </c>
      <c r="K10" s="152">
        <f>PLANTILLA!AA11</f>
        <v>8.9499999999999993</v>
      </c>
      <c r="L10" s="152">
        <f>PLANTILLA!AB11</f>
        <v>9.9499999999999993</v>
      </c>
      <c r="M10" s="152">
        <f>PLANTILLA!AC11</f>
        <v>1.95</v>
      </c>
      <c r="N10" s="152">
        <f>PLANTILLA!AD11</f>
        <v>16.95</v>
      </c>
      <c r="O10" s="426">
        <f t="shared" si="0"/>
        <v>3.8562499999999997</v>
      </c>
      <c r="P10" s="426">
        <f t="shared" si="1"/>
        <v>11.687808143374001</v>
      </c>
      <c r="Q10" s="426">
        <f t="shared" si="2"/>
        <v>0.60599999999999998</v>
      </c>
      <c r="R10" s="426">
        <f t="shared" si="3"/>
        <v>0.82650000000000001</v>
      </c>
      <c r="S10" s="426">
        <f t="shared" ca="1" si="4"/>
        <v>19.494483322793666</v>
      </c>
      <c r="T10" s="233">
        <f t="shared" si="5"/>
        <v>4.8520339407988704</v>
      </c>
      <c r="U10" s="233">
        <f t="shared" si="6"/>
        <v>7.3091779697266226</v>
      </c>
      <c r="V10" s="233">
        <f t="shared" si="7"/>
        <v>4.8520339407988704</v>
      </c>
      <c r="W10" s="233">
        <f t="shared" si="8"/>
        <v>5.673153394561532</v>
      </c>
      <c r="X10" s="233">
        <f t="shared" si="9"/>
        <v>10.994483322793666</v>
      </c>
      <c r="Y10" s="233">
        <f t="shared" si="10"/>
        <v>2.836576697280766</v>
      </c>
      <c r="Z10" s="233">
        <f t="shared" si="11"/>
        <v>4.0446870308248926</v>
      </c>
      <c r="AA10" s="233">
        <f t="shared" si="12"/>
        <v>4.1559146960160058</v>
      </c>
      <c r="AB10" s="233">
        <f t="shared" si="13"/>
        <v>7.9490114423798204</v>
      </c>
      <c r="AC10" s="233">
        <f t="shared" si="14"/>
        <v>2.0779573480080029</v>
      </c>
      <c r="AD10" s="233">
        <f t="shared" si="15"/>
        <v>6.5428760792755618</v>
      </c>
      <c r="AE10" s="596">
        <f t="shared" si="16"/>
        <v>10.114924656970173</v>
      </c>
      <c r="AF10" s="233">
        <f t="shared" si="17"/>
        <v>4.5517160956365776</v>
      </c>
      <c r="AG10" s="233">
        <f t="shared" si="18"/>
        <v>2.8380787149065423</v>
      </c>
      <c r="AH10" s="596">
        <f t="shared" si="19"/>
        <v>7.0527561938026757</v>
      </c>
      <c r="AI10" s="233">
        <f t="shared" si="20"/>
        <v>8.2898404253864246</v>
      </c>
      <c r="AJ10" s="233">
        <f t="shared" si="21"/>
        <v>7.784094192537915</v>
      </c>
      <c r="AK10" s="233">
        <f t="shared" si="22"/>
        <v>3.3390787149065426</v>
      </c>
      <c r="AL10" s="233">
        <f t="shared" si="23"/>
        <v>1.9874111969645756</v>
      </c>
      <c r="AM10" s="233">
        <f t="shared" si="24"/>
        <v>2.9685104971542899</v>
      </c>
      <c r="AN10" s="233">
        <f t="shared" si="25"/>
        <v>6.5307230937394376</v>
      </c>
      <c r="AO10" s="233">
        <f t="shared" si="26"/>
        <v>1.484255248577145</v>
      </c>
      <c r="AP10" s="233">
        <f t="shared" si="27"/>
        <v>16.04279225671722</v>
      </c>
      <c r="AQ10" s="233">
        <f t="shared" si="28"/>
        <v>1.6892828319631767</v>
      </c>
      <c r="AR10" s="233">
        <f t="shared" si="29"/>
        <v>2.4233836135785438</v>
      </c>
      <c r="AS10" s="233">
        <f t="shared" si="30"/>
        <v>0.84464141598158837</v>
      </c>
      <c r="AT10" s="233">
        <f t="shared" si="31"/>
        <v>2.0779573480080029</v>
      </c>
      <c r="AU10" s="233">
        <f t="shared" si="32"/>
        <v>4.3977933291174667</v>
      </c>
      <c r="AV10" s="233">
        <f t="shared" si="33"/>
        <v>1.0389786740040015</v>
      </c>
      <c r="AW10" s="233">
        <f t="shared" si="34"/>
        <v>16.994483322793666</v>
      </c>
      <c r="AX10" s="233">
        <f t="shared" si="35"/>
        <v>3.2876042806667978</v>
      </c>
      <c r="AY10" s="233">
        <f t="shared" si="36"/>
        <v>5.4799603108593109</v>
      </c>
      <c r="AZ10" s="233">
        <f t="shared" si="37"/>
        <v>1.6438021403333989</v>
      </c>
      <c r="BA10" s="233">
        <f t="shared" si="38"/>
        <v>3.1993946469329568</v>
      </c>
      <c r="BB10" s="233">
        <f t="shared" si="39"/>
        <v>3.8260801963321955</v>
      </c>
      <c r="BC10" s="233">
        <f t="shared" si="40"/>
        <v>14.97213980738122</v>
      </c>
      <c r="BD10" s="233">
        <f t="shared" si="41"/>
        <v>10.978095673963569</v>
      </c>
      <c r="BE10" s="233">
        <f t="shared" si="42"/>
        <v>3.1316704807932734</v>
      </c>
      <c r="BF10" s="233">
        <f t="shared" si="43"/>
        <v>5.3323244115549278</v>
      </c>
      <c r="BG10" s="233">
        <f t="shared" si="44"/>
        <v>2.902543597217528</v>
      </c>
      <c r="BH10" s="233">
        <f t="shared" si="45"/>
        <v>6.4748981459843868</v>
      </c>
      <c r="BI10" s="233">
        <f t="shared" si="46"/>
        <v>10.684178424121665</v>
      </c>
      <c r="BJ10" s="233">
        <f t="shared" si="47"/>
        <v>0.67571313278527056</v>
      </c>
      <c r="BK10" s="233">
        <f t="shared" si="48"/>
        <v>1.97900699810286</v>
      </c>
      <c r="BL10" s="233">
        <f t="shared" si="49"/>
        <v>0.74762486594996935</v>
      </c>
      <c r="BM10" s="233">
        <f t="shared" si="50"/>
        <v>5.1833174134520679</v>
      </c>
      <c r="BN10" s="233">
        <f t="shared" si="51"/>
        <v>15.710905553112655</v>
      </c>
      <c r="BO10" s="233">
        <f t="shared" si="52"/>
        <v>1.754255248577145</v>
      </c>
      <c r="BP10" s="233">
        <f t="shared" si="53"/>
        <v>3.1224332636734009</v>
      </c>
      <c r="BQ10" s="233">
        <f t="shared" si="54"/>
        <v>2.6826539307616546</v>
      </c>
      <c r="BR10" s="233">
        <f t="shared" si="55"/>
        <v>7.7324899118711183</v>
      </c>
      <c r="BS10" s="233">
        <f t="shared" si="56"/>
        <v>13.533887521655382</v>
      </c>
      <c r="BT10" s="233">
        <f t="shared" si="57"/>
        <v>1.5723324820580336</v>
      </c>
      <c r="BU10" s="233">
        <f t="shared" si="58"/>
        <v>3.1224332636734009</v>
      </c>
      <c r="BV10" s="233">
        <f t="shared" si="59"/>
        <v>2.6826539307616546</v>
      </c>
      <c r="BW10" s="233">
        <f t="shared" si="60"/>
        <v>10.723518976682804</v>
      </c>
      <c r="BX10" s="233">
        <f t="shared" si="61"/>
        <v>10.928062573900331</v>
      </c>
      <c r="BY10" s="233">
        <f t="shared" si="62"/>
        <v>1.9231835317734625</v>
      </c>
      <c r="BZ10" s="233">
        <f t="shared" si="63"/>
        <v>6.8997602290542286</v>
      </c>
      <c r="CA10" s="233">
        <f t="shared" si="64"/>
        <v>6.6436844769989927</v>
      </c>
      <c r="CB10" s="233">
        <f t="shared" si="65"/>
        <v>9.9677882214656695</v>
      </c>
      <c r="CC10" s="233">
        <f t="shared" si="66"/>
        <v>6.6436844769989927</v>
      </c>
      <c r="CD10" s="233">
        <f t="shared" si="67"/>
        <v>5.6645631101004543</v>
      </c>
      <c r="CE10" s="233">
        <f t="shared" si="68"/>
        <v>9.7894476689045291</v>
      </c>
      <c r="CF10" s="233">
        <f t="shared" si="69"/>
        <v>5.6645631101004543</v>
      </c>
      <c r="CG10" s="233">
        <f t="shared" si="70"/>
        <v>4.2486208306984166</v>
      </c>
    </row>
    <row r="11" spans="1:85" x14ac:dyDescent="0.25">
      <c r="A11" t="str">
        <f>PLANTILLA!D12</f>
        <v>E. Gross</v>
      </c>
      <c r="B11" s="589">
        <f>PLANTILLA!E12</f>
        <v>35</v>
      </c>
      <c r="C11" s="298">
        <f ca="1">PLANTILLA!F12</f>
        <v>68</v>
      </c>
      <c r="D11" s="589">
        <f>PLANTILLA!G12</f>
        <v>0</v>
      </c>
      <c r="E11" s="258">
        <v>36526</v>
      </c>
      <c r="F11" s="425">
        <f>PLANTILLA!P12</f>
        <v>1.5</v>
      </c>
      <c r="G11" s="426">
        <f>PLANTILLA!I12</f>
        <v>13.1</v>
      </c>
      <c r="H11" s="152">
        <f>PLANTILLA!X12</f>
        <v>0</v>
      </c>
      <c r="I11" s="152">
        <f>PLANTILLA!Y12</f>
        <v>10.549999999999995</v>
      </c>
      <c r="J11" s="152">
        <f>PLANTILLA!Z12</f>
        <v>12.95</v>
      </c>
      <c r="K11" s="152">
        <f>PLANTILLA!AA12</f>
        <v>4.95</v>
      </c>
      <c r="L11" s="152">
        <f>PLANTILLA!AB12</f>
        <v>8.9499999999999993</v>
      </c>
      <c r="M11" s="152">
        <f>PLANTILLA!AC12</f>
        <v>0.95</v>
      </c>
      <c r="N11" s="152">
        <f>PLANTILLA!AD12</f>
        <v>17.3</v>
      </c>
      <c r="O11" s="426">
        <f t="shared" si="0"/>
        <v>3.9312499999999995</v>
      </c>
      <c r="P11" s="426">
        <f t="shared" si="1"/>
        <v>10.099226084532321</v>
      </c>
      <c r="Q11" s="426">
        <f t="shared" si="2"/>
        <v>0.5665</v>
      </c>
      <c r="R11" s="426">
        <f t="shared" si="3"/>
        <v>0.94099999999999984</v>
      </c>
      <c r="S11" s="426">
        <f t="shared" ca="1" si="4"/>
        <v>19.789695060874354</v>
      </c>
      <c r="T11" s="233">
        <f t="shared" si="5"/>
        <v>5.5218037881433082</v>
      </c>
      <c r="U11" s="233">
        <f t="shared" si="6"/>
        <v>8.3434463235887861</v>
      </c>
      <c r="V11" s="233">
        <f t="shared" si="7"/>
        <v>5.5218037881433082</v>
      </c>
      <c r="W11" s="233">
        <f t="shared" si="8"/>
        <v>6.9864826514111638</v>
      </c>
      <c r="X11" s="233">
        <f t="shared" si="9"/>
        <v>13.539695060874347</v>
      </c>
      <c r="Y11" s="233">
        <f t="shared" si="10"/>
        <v>3.4932413257055819</v>
      </c>
      <c r="Z11" s="233">
        <f t="shared" si="11"/>
        <v>3.7936474244880953</v>
      </c>
      <c r="AA11" s="233">
        <f t="shared" si="12"/>
        <v>5.118004733010503</v>
      </c>
      <c r="AB11" s="233">
        <f t="shared" si="13"/>
        <v>9.7891995290121532</v>
      </c>
      <c r="AC11" s="233">
        <f t="shared" si="14"/>
        <v>2.5590023665052515</v>
      </c>
      <c r="AD11" s="233">
        <f t="shared" si="15"/>
        <v>6.1367825984366258</v>
      </c>
      <c r="AE11" s="596">
        <f t="shared" si="16"/>
        <v>12.456519456004401</v>
      </c>
      <c r="AF11" s="233">
        <f t="shared" si="17"/>
        <v>5.6054337552019797</v>
      </c>
      <c r="AG11" s="233">
        <f t="shared" si="18"/>
        <v>2.6619290751660167</v>
      </c>
      <c r="AH11" s="596">
        <f t="shared" si="19"/>
        <v>4.6685406957941185</v>
      </c>
      <c r="AI11" s="233">
        <f t="shared" si="20"/>
        <v>10.208930075899257</v>
      </c>
      <c r="AJ11" s="233">
        <f t="shared" si="21"/>
        <v>9.5861041030990375</v>
      </c>
      <c r="AK11" s="233">
        <f t="shared" si="22"/>
        <v>3.3883790751660174</v>
      </c>
      <c r="AL11" s="233">
        <f t="shared" si="23"/>
        <v>1.9932321775318131</v>
      </c>
      <c r="AM11" s="233">
        <f t="shared" si="24"/>
        <v>3.655717666436074</v>
      </c>
      <c r="AN11" s="233">
        <f t="shared" si="25"/>
        <v>8.0425788661593618</v>
      </c>
      <c r="AO11" s="233">
        <f t="shared" si="26"/>
        <v>1.827858833218037</v>
      </c>
      <c r="AP11" s="233">
        <f t="shared" si="27"/>
        <v>15.047072137465387</v>
      </c>
      <c r="AQ11" s="233">
        <f t="shared" si="28"/>
        <v>1.5521603579136658</v>
      </c>
      <c r="AR11" s="233">
        <f t="shared" si="29"/>
        <v>2.1143306528361849</v>
      </c>
      <c r="AS11" s="233">
        <f t="shared" si="30"/>
        <v>0.7760801789568329</v>
      </c>
      <c r="AT11" s="233">
        <f t="shared" si="31"/>
        <v>2.5590023665052515</v>
      </c>
      <c r="AU11" s="233">
        <f t="shared" si="32"/>
        <v>5.4158780243497393</v>
      </c>
      <c r="AV11" s="233">
        <f t="shared" si="33"/>
        <v>1.2795011832526257</v>
      </c>
      <c r="AW11" s="233">
        <f t="shared" si="34"/>
        <v>15.939695060874351</v>
      </c>
      <c r="AX11" s="233">
        <f t="shared" si="35"/>
        <v>3.020742850401211</v>
      </c>
      <c r="AY11" s="233">
        <f t="shared" si="36"/>
        <v>4.8987719785417685</v>
      </c>
      <c r="AZ11" s="233">
        <f t="shared" si="37"/>
        <v>1.5103714252006055</v>
      </c>
      <c r="BA11" s="233">
        <f t="shared" si="38"/>
        <v>3.9400512627144346</v>
      </c>
      <c r="BB11" s="233">
        <f t="shared" si="39"/>
        <v>4.7118138811842725</v>
      </c>
      <c r="BC11" s="233">
        <f t="shared" si="40"/>
        <v>14.042871348630303</v>
      </c>
      <c r="BD11" s="233">
        <f t="shared" si="41"/>
        <v>8.3183889091172976</v>
      </c>
      <c r="BE11" s="233">
        <f t="shared" si="42"/>
        <v>2.8774665096707186</v>
      </c>
      <c r="BF11" s="233">
        <f t="shared" si="43"/>
        <v>6.566752104524058</v>
      </c>
      <c r="BG11" s="233">
        <f t="shared" si="44"/>
        <v>3.5744794960708277</v>
      </c>
      <c r="BH11" s="233">
        <f t="shared" si="45"/>
        <v>6.0730238181931275</v>
      </c>
      <c r="BI11" s="233">
        <f t="shared" si="46"/>
        <v>7.7432934832041838</v>
      </c>
      <c r="BJ11" s="233">
        <f t="shared" si="47"/>
        <v>0.62086414316546623</v>
      </c>
      <c r="BK11" s="233">
        <f t="shared" si="48"/>
        <v>2.4371451109573825</v>
      </c>
      <c r="BL11" s="233">
        <f t="shared" si="49"/>
        <v>0.92069926413945569</v>
      </c>
      <c r="BM11" s="233">
        <f t="shared" si="50"/>
        <v>4.861606993566677</v>
      </c>
      <c r="BN11" s="233">
        <f t="shared" si="51"/>
        <v>11.354447848284416</v>
      </c>
      <c r="BO11" s="233">
        <f t="shared" si="52"/>
        <v>1.6118588332180375</v>
      </c>
      <c r="BP11" s="233">
        <f t="shared" si="53"/>
        <v>3.8452733972883144</v>
      </c>
      <c r="BQ11" s="233">
        <f t="shared" si="54"/>
        <v>3.3036855948533406</v>
      </c>
      <c r="BR11" s="233">
        <f t="shared" si="55"/>
        <v>7.2525612526978298</v>
      </c>
      <c r="BS11" s="233">
        <f t="shared" si="56"/>
        <v>9.7731821274487825</v>
      </c>
      <c r="BT11" s="233">
        <f t="shared" si="57"/>
        <v>1.4447031023657964</v>
      </c>
      <c r="BU11" s="233">
        <f t="shared" si="58"/>
        <v>3.8452733972883144</v>
      </c>
      <c r="BV11" s="233">
        <f t="shared" si="59"/>
        <v>3.3036855948533406</v>
      </c>
      <c r="BW11" s="233">
        <f t="shared" si="60"/>
        <v>10.057947583411716</v>
      </c>
      <c r="BX11" s="233">
        <f t="shared" si="61"/>
        <v>7.8780270794825444</v>
      </c>
      <c r="BY11" s="233">
        <f t="shared" si="62"/>
        <v>1.7670748690094038</v>
      </c>
      <c r="BZ11" s="233">
        <f t="shared" si="63"/>
        <v>6.4715161947149866</v>
      </c>
      <c r="CA11" s="233">
        <f t="shared" si="64"/>
        <v>4.6285811267155372</v>
      </c>
      <c r="CB11" s="233">
        <f t="shared" si="65"/>
        <v>8.7800966385445207</v>
      </c>
      <c r="CC11" s="233">
        <f t="shared" si="66"/>
        <v>4.6285811267155372</v>
      </c>
      <c r="CD11" s="233">
        <f t="shared" si="67"/>
        <v>4.3444300229247208</v>
      </c>
      <c r="CE11" s="233">
        <f t="shared" si="68"/>
        <v>8.3454425383369877</v>
      </c>
      <c r="CF11" s="233">
        <f t="shared" si="69"/>
        <v>4.3444300229247208</v>
      </c>
      <c r="CG11" s="233">
        <f t="shared" si="70"/>
        <v>3.9849237652185878</v>
      </c>
    </row>
    <row r="12" spans="1:85" x14ac:dyDescent="0.25">
      <c r="A12" t="str">
        <f>PLANTILLA!D13</f>
        <v>W. Gelifini</v>
      </c>
      <c r="B12" s="589">
        <f>PLANTILLA!E13</f>
        <v>33</v>
      </c>
      <c r="C12" s="298">
        <f ca="1">PLANTILLA!F13</f>
        <v>105</v>
      </c>
      <c r="D12" s="589">
        <f>PLANTILLA!G13</f>
        <v>0</v>
      </c>
      <c r="E12" s="258">
        <v>36526</v>
      </c>
      <c r="F12" s="425">
        <f>PLANTILLA!P13</f>
        <v>1.5</v>
      </c>
      <c r="G12" s="426">
        <f>PLANTILLA!I13</f>
        <v>4.5</v>
      </c>
      <c r="H12" s="152">
        <f>PLANTILLA!X13</f>
        <v>0</v>
      </c>
      <c r="I12" s="152">
        <f>PLANTILLA!Y13</f>
        <v>5.6515555555555519</v>
      </c>
      <c r="J12" s="152">
        <f>PLANTILLA!Z13</f>
        <v>8.9499999999999993</v>
      </c>
      <c r="K12" s="152">
        <f>PLANTILLA!AA13</f>
        <v>6.95</v>
      </c>
      <c r="L12" s="152">
        <f>PLANTILLA!AB13</f>
        <v>9.2666666666666639</v>
      </c>
      <c r="M12" s="152">
        <f>PLANTILLA!AC13</f>
        <v>2.95</v>
      </c>
      <c r="N12" s="152">
        <f>PLANTILLA!AD13</f>
        <v>12.847222222222223</v>
      </c>
      <c r="O12" s="426">
        <f t="shared" si="0"/>
        <v>3.3981111111111098</v>
      </c>
      <c r="P12" s="426">
        <f t="shared" si="1"/>
        <v>9.6027717628135694</v>
      </c>
      <c r="Q12" s="426">
        <f t="shared" si="2"/>
        <v>0.53291666666666671</v>
      </c>
      <c r="R12" s="426">
        <f t="shared" si="3"/>
        <v>0.61147888888888879</v>
      </c>
      <c r="S12" s="426">
        <f t="shared" ca="1" si="4"/>
        <v>14.718172240589348</v>
      </c>
      <c r="T12" s="233">
        <f t="shared" si="5"/>
        <v>3.6296686993678327</v>
      </c>
      <c r="U12" s="233">
        <f t="shared" si="6"/>
        <v>5.4628075848230679</v>
      </c>
      <c r="V12" s="233">
        <f t="shared" si="7"/>
        <v>3.6296686993678327</v>
      </c>
      <c r="W12" s="233">
        <f t="shared" si="8"/>
        <v>4.1396128761441018</v>
      </c>
      <c r="X12" s="233">
        <f t="shared" si="9"/>
        <v>8.0225055739226772</v>
      </c>
      <c r="Y12" s="233">
        <f t="shared" si="10"/>
        <v>2.0698064380720509</v>
      </c>
      <c r="Z12" s="233">
        <f t="shared" si="11"/>
        <v>2.6943861043713757</v>
      </c>
      <c r="AA12" s="233">
        <f t="shared" si="12"/>
        <v>3.0325071069427718</v>
      </c>
      <c r="AB12" s="233">
        <f t="shared" si="13"/>
        <v>5.8002715299460954</v>
      </c>
      <c r="AC12" s="233">
        <f t="shared" si="14"/>
        <v>1.5162535534713859</v>
      </c>
      <c r="AD12" s="233">
        <f t="shared" si="15"/>
        <v>4.358565757071343</v>
      </c>
      <c r="AE12" s="596">
        <f t="shared" si="16"/>
        <v>7.3807051280088629</v>
      </c>
      <c r="AF12" s="233">
        <f t="shared" si="17"/>
        <v>3.3213173076039881</v>
      </c>
      <c r="AG12" s="233">
        <f t="shared" si="18"/>
        <v>1.89059865306731</v>
      </c>
      <c r="AH12" s="596">
        <f t="shared" si="19"/>
        <v>5.4807186107998689</v>
      </c>
      <c r="AI12" s="233">
        <f t="shared" si="20"/>
        <v>6.0489692027376982</v>
      </c>
      <c r="AJ12" s="233">
        <f t="shared" si="21"/>
        <v>5.6799339463372549</v>
      </c>
      <c r="AK12" s="233">
        <f t="shared" si="22"/>
        <v>2.5414347641784212</v>
      </c>
      <c r="AL12" s="233">
        <f t="shared" si="23"/>
        <v>1.6614896052897317</v>
      </c>
      <c r="AM12" s="233">
        <f t="shared" si="24"/>
        <v>2.1660765049591229</v>
      </c>
      <c r="AN12" s="233">
        <f t="shared" si="25"/>
        <v>4.7653683109100697</v>
      </c>
      <c r="AO12" s="233">
        <f t="shared" si="26"/>
        <v>1.0830382524795614</v>
      </c>
      <c r="AP12" s="233">
        <f t="shared" si="27"/>
        <v>10.686976817338564</v>
      </c>
      <c r="AQ12" s="233">
        <f t="shared" si="28"/>
        <v>1.5128901690543926</v>
      </c>
      <c r="AR12" s="233">
        <f t="shared" si="29"/>
        <v>2.3170383553815674</v>
      </c>
      <c r="AS12" s="233">
        <f t="shared" si="30"/>
        <v>0.75644508452719628</v>
      </c>
      <c r="AT12" s="233">
        <f t="shared" si="31"/>
        <v>1.5162535534713859</v>
      </c>
      <c r="AU12" s="233">
        <f t="shared" si="32"/>
        <v>3.2090022295690712</v>
      </c>
      <c r="AV12" s="233">
        <f t="shared" si="33"/>
        <v>0.75812677673569295</v>
      </c>
      <c r="AW12" s="233">
        <f t="shared" si="34"/>
        <v>11.320950018367125</v>
      </c>
      <c r="AX12" s="233">
        <f t="shared" si="35"/>
        <v>2.9443170213135486</v>
      </c>
      <c r="AY12" s="233">
        <f t="shared" si="36"/>
        <v>5.0858267934536183</v>
      </c>
      <c r="AZ12" s="233">
        <f t="shared" si="37"/>
        <v>1.4721585106567743</v>
      </c>
      <c r="BA12" s="233">
        <f t="shared" si="38"/>
        <v>2.3345491220114991</v>
      </c>
      <c r="BB12" s="233">
        <f t="shared" si="39"/>
        <v>2.7918319397250912</v>
      </c>
      <c r="BC12" s="233">
        <f t="shared" si="40"/>
        <v>9.9737569661814369</v>
      </c>
      <c r="BD12" s="233">
        <f t="shared" si="41"/>
        <v>9.0160745663283723</v>
      </c>
      <c r="BE12" s="233">
        <f t="shared" si="42"/>
        <v>2.8046656210931431</v>
      </c>
      <c r="BF12" s="233">
        <f t="shared" si="43"/>
        <v>3.8909152033524985</v>
      </c>
      <c r="BG12" s="233">
        <f t="shared" si="44"/>
        <v>2.1179414715155866</v>
      </c>
      <c r="BH12" s="233">
        <f t="shared" si="45"/>
        <v>4.3132819569978746</v>
      </c>
      <c r="BI12" s="233">
        <f t="shared" si="46"/>
        <v>8.6121603160528668</v>
      </c>
      <c r="BJ12" s="233">
        <f t="shared" si="47"/>
        <v>0.605156067621757</v>
      </c>
      <c r="BK12" s="233">
        <f t="shared" si="48"/>
        <v>1.4440510033060818</v>
      </c>
      <c r="BL12" s="233">
        <f t="shared" si="49"/>
        <v>0.54553037902674206</v>
      </c>
      <c r="BM12" s="233">
        <f t="shared" si="50"/>
        <v>3.4528897556019729</v>
      </c>
      <c r="BN12" s="233">
        <f t="shared" si="51"/>
        <v>12.649308390286787</v>
      </c>
      <c r="BO12" s="233">
        <f t="shared" si="52"/>
        <v>1.5710782524795617</v>
      </c>
      <c r="BP12" s="233">
        <f t="shared" si="53"/>
        <v>2.2783915829940402</v>
      </c>
      <c r="BQ12" s="233">
        <f t="shared" si="54"/>
        <v>1.9574913600371331</v>
      </c>
      <c r="BR12" s="233">
        <f t="shared" si="55"/>
        <v>5.1510322583570423</v>
      </c>
      <c r="BS12" s="233">
        <f t="shared" si="56"/>
        <v>10.89287928701744</v>
      </c>
      <c r="BT12" s="233">
        <f t="shared" si="57"/>
        <v>1.4081516188890884</v>
      </c>
      <c r="BU12" s="233">
        <f t="shared" si="58"/>
        <v>2.2783915829940402</v>
      </c>
      <c r="BV12" s="233">
        <f t="shared" si="59"/>
        <v>1.9574913600371331</v>
      </c>
      <c r="BW12" s="233">
        <f t="shared" si="60"/>
        <v>7.1435194615896558</v>
      </c>
      <c r="BX12" s="233">
        <f t="shared" si="61"/>
        <v>8.7893669331052422</v>
      </c>
      <c r="BY12" s="233">
        <f t="shared" si="62"/>
        <v>1.7223672693850007</v>
      </c>
      <c r="BZ12" s="233">
        <f t="shared" si="63"/>
        <v>4.596305707457053</v>
      </c>
      <c r="CA12" s="233">
        <f t="shared" si="64"/>
        <v>4.9273816262359373</v>
      </c>
      <c r="CB12" s="233">
        <f t="shared" si="65"/>
        <v>9.4213397206813809</v>
      </c>
      <c r="CC12" s="233">
        <f t="shared" si="66"/>
        <v>4.9273816262359373</v>
      </c>
      <c r="CD12" s="233">
        <f t="shared" si="67"/>
        <v>4.9659185281093858</v>
      </c>
      <c r="CE12" s="233">
        <f t="shared" si="68"/>
        <v>9.6152305751445937</v>
      </c>
      <c r="CF12" s="233">
        <f t="shared" si="69"/>
        <v>4.9659185281093858</v>
      </c>
      <c r="CG12" s="233">
        <f t="shared" si="70"/>
        <v>2.8302375045917811</v>
      </c>
    </row>
    <row r="13" spans="1:85" x14ac:dyDescent="0.25">
      <c r="A13" t="str">
        <f>PLANTILLA!D14</f>
        <v>I. Vanags</v>
      </c>
      <c r="B13" s="589">
        <f>PLANTILLA!E14</f>
        <v>18</v>
      </c>
      <c r="C13" s="298">
        <f ca="1">PLANTILLA!F14</f>
        <v>63</v>
      </c>
      <c r="D13" s="589" t="str">
        <f>PLANTILLA!G14</f>
        <v>CAB</v>
      </c>
      <c r="E13" s="258">
        <f>PLANTILLA!O14</f>
        <v>43626</v>
      </c>
      <c r="F13" s="425">
        <f ca="1">PLANTILLA!P14</f>
        <v>9.1436681135175488E-2</v>
      </c>
      <c r="G13" s="426">
        <f>PLANTILLA!I14</f>
        <v>0.4</v>
      </c>
      <c r="H13" s="152">
        <f>PLANTILLA!X14</f>
        <v>0</v>
      </c>
      <c r="I13" s="152">
        <f>PLANTILLA!Y14</f>
        <v>4</v>
      </c>
      <c r="J13" s="152">
        <f>PLANTILLA!Z14</f>
        <v>7.2</v>
      </c>
      <c r="K13" s="152">
        <f>PLANTILLA!AA14</f>
        <v>3</v>
      </c>
      <c r="L13" s="152">
        <f>PLANTILLA!AB14</f>
        <v>4</v>
      </c>
      <c r="M13" s="152">
        <f>PLANTILLA!AC14</f>
        <v>7</v>
      </c>
      <c r="N13" s="152">
        <f>PLANTILLA!AD14</f>
        <v>6</v>
      </c>
      <c r="O13" s="426">
        <f t="shared" si="0"/>
        <v>1.875</v>
      </c>
      <c r="P13" s="426">
        <f t="shared" ca="1" si="1"/>
        <v>6.3494785064218</v>
      </c>
      <c r="Q13" s="426">
        <f t="shared" si="2"/>
        <v>0.53</v>
      </c>
      <c r="R13" s="426">
        <f t="shared" si="3"/>
        <v>0.33999999999999997</v>
      </c>
      <c r="S13" s="426">
        <f t="shared" ca="1" si="4"/>
        <v>5.6237166717327085</v>
      </c>
      <c r="T13" s="233">
        <f t="shared" ca="1" si="5"/>
        <v>0.7206220525367566</v>
      </c>
      <c r="U13" s="233">
        <f t="shared" ca="1" si="6"/>
        <v>1.1330573537513775</v>
      </c>
      <c r="V13" s="233">
        <f t="shared" ca="1" si="7"/>
        <v>0.7206220525367566</v>
      </c>
      <c r="W13" s="233">
        <f t="shared" ca="1" si="8"/>
        <v>1.8373986014993888</v>
      </c>
      <c r="X13" s="233">
        <f t="shared" ca="1" si="9"/>
        <v>3.5608500029057923</v>
      </c>
      <c r="Y13" s="233">
        <f t="shared" ca="1" si="10"/>
        <v>0.91869930074969441</v>
      </c>
      <c r="Z13" s="233">
        <f t="shared" ca="1" si="11"/>
        <v>1.6090823006915786</v>
      </c>
      <c r="AA13" s="233">
        <f t="shared" ca="1" si="12"/>
        <v>1.3460013010983896</v>
      </c>
      <c r="AB13" s="233">
        <f t="shared" ca="1" si="13"/>
        <v>2.5744945521008877</v>
      </c>
      <c r="AC13" s="233">
        <f t="shared" ca="1" si="14"/>
        <v>0.67300065054919478</v>
      </c>
      <c r="AD13" s="233">
        <f t="shared" ca="1" si="15"/>
        <v>2.60292725111873</v>
      </c>
      <c r="AE13" s="596">
        <f t="shared" ca="1" si="16"/>
        <v>3.2759820026733291</v>
      </c>
      <c r="AF13" s="233">
        <f t="shared" ca="1" si="17"/>
        <v>1.474191901202998</v>
      </c>
      <c r="AG13" s="233">
        <f t="shared" ca="1" si="18"/>
        <v>1.1290619504852675</v>
      </c>
      <c r="AH13" s="596">
        <f t="shared" ca="1" si="19"/>
        <v>1.5057798017086059</v>
      </c>
      <c r="AI13" s="233">
        <f t="shared" ca="1" si="20"/>
        <v>2.6848809021909674</v>
      </c>
      <c r="AJ13" s="233">
        <f t="shared" ca="1" si="21"/>
        <v>2.5210818020573007</v>
      </c>
      <c r="AK13" s="233">
        <f t="shared" ca="1" si="22"/>
        <v>0.92866195048526734</v>
      </c>
      <c r="AL13" s="233">
        <f t="shared" ca="1" si="23"/>
        <v>0.41352480083686805</v>
      </c>
      <c r="AM13" s="233">
        <f t="shared" ca="1" si="24"/>
        <v>0.96142950078456402</v>
      </c>
      <c r="AN13" s="233">
        <f t="shared" ca="1" si="25"/>
        <v>2.1151449017260404</v>
      </c>
      <c r="AO13" s="233">
        <f t="shared" ca="1" si="26"/>
        <v>0.48071475039228201</v>
      </c>
      <c r="AP13" s="233">
        <f t="shared" ca="1" si="27"/>
        <v>6.382242402743068</v>
      </c>
      <c r="AQ13" s="233">
        <f t="shared" ca="1" si="28"/>
        <v>0.462910500377753</v>
      </c>
      <c r="AR13" s="233">
        <f t="shared" ca="1" si="29"/>
        <v>1.5623290508513972</v>
      </c>
      <c r="AS13" s="233">
        <f t="shared" ca="1" si="30"/>
        <v>0.2314552501888765</v>
      </c>
      <c r="AT13" s="233">
        <f t="shared" ca="1" si="31"/>
        <v>0.67300065054919478</v>
      </c>
      <c r="AU13" s="233">
        <f t="shared" ca="1" si="32"/>
        <v>1.4243400011623171</v>
      </c>
      <c r="AV13" s="233">
        <f t="shared" ca="1" si="33"/>
        <v>0.33650032527459739</v>
      </c>
      <c r="AW13" s="233">
        <f t="shared" ca="1" si="34"/>
        <v>6.7608500029057925</v>
      </c>
      <c r="AX13" s="233">
        <f t="shared" ca="1" si="35"/>
        <v>0.90089505073516551</v>
      </c>
      <c r="AY13" s="233">
        <f t="shared" ca="1" si="36"/>
        <v>2.5920283516010914</v>
      </c>
      <c r="AZ13" s="233">
        <f t="shared" ca="1" si="37"/>
        <v>0.45044752536758276</v>
      </c>
      <c r="BA13" s="233">
        <f t="shared" ca="1" si="38"/>
        <v>1.0362073508455856</v>
      </c>
      <c r="BB13" s="233">
        <f t="shared" ca="1" si="39"/>
        <v>1.2391758010112157</v>
      </c>
      <c r="BC13" s="233">
        <f t="shared" ca="1" si="40"/>
        <v>5.956308852560003</v>
      </c>
      <c r="BD13" s="233">
        <f t="shared" ca="1" si="41"/>
        <v>2.5915956525832495</v>
      </c>
      <c r="BE13" s="233">
        <f t="shared" ca="1" si="42"/>
        <v>0.85816485070029591</v>
      </c>
      <c r="BF13" s="233">
        <f t="shared" ca="1" si="43"/>
        <v>1.7270122514093091</v>
      </c>
      <c r="BG13" s="233">
        <f t="shared" ca="1" si="44"/>
        <v>0.94006440076712927</v>
      </c>
      <c r="BH13" s="233">
        <f t="shared" ca="1" si="45"/>
        <v>2.5758838511071072</v>
      </c>
      <c r="BI13" s="233">
        <f t="shared" ca="1" si="46"/>
        <v>2.4391829025396623</v>
      </c>
      <c r="BJ13" s="233">
        <f t="shared" ca="1" si="47"/>
        <v>0.18516420015110119</v>
      </c>
      <c r="BK13" s="233">
        <f t="shared" ca="1" si="48"/>
        <v>0.6409530005230426</v>
      </c>
      <c r="BL13" s="233">
        <f t="shared" ca="1" si="49"/>
        <v>0.2421378001975939</v>
      </c>
      <c r="BM13" s="233">
        <f t="shared" ca="1" si="50"/>
        <v>2.0620592508862665</v>
      </c>
      <c r="BN13" s="233">
        <f t="shared" ca="1" si="51"/>
        <v>3.5792531037368489</v>
      </c>
      <c r="BO13" s="233">
        <f t="shared" ca="1" si="52"/>
        <v>0.48071475039228201</v>
      </c>
      <c r="BP13" s="233">
        <f t="shared" ca="1" si="53"/>
        <v>1.0112814008252449</v>
      </c>
      <c r="BQ13" s="233">
        <f t="shared" ca="1" si="54"/>
        <v>0.86884740070901334</v>
      </c>
      <c r="BR13" s="233">
        <f t="shared" ca="1" si="55"/>
        <v>3.0761867513221355</v>
      </c>
      <c r="BS13" s="233">
        <f t="shared" ca="1" si="56"/>
        <v>3.0814218032196177</v>
      </c>
      <c r="BT13" s="233">
        <f t="shared" ca="1" si="57"/>
        <v>0.43086285035160088</v>
      </c>
      <c r="BU13" s="233">
        <f t="shared" ca="1" si="58"/>
        <v>1.0112814008252449</v>
      </c>
      <c r="BV13" s="233">
        <f t="shared" ca="1" si="59"/>
        <v>0.86884740070901334</v>
      </c>
      <c r="BW13" s="233">
        <f t="shared" ca="1" si="60"/>
        <v>4.2660963518335553</v>
      </c>
      <c r="BX13" s="233">
        <f t="shared" ca="1" si="61"/>
        <v>2.4849607526006841</v>
      </c>
      <c r="BY13" s="233">
        <f t="shared" ca="1" si="62"/>
        <v>0.52700580043005729</v>
      </c>
      <c r="BZ13" s="233">
        <f t="shared" ca="1" si="63"/>
        <v>2.7449051011797518</v>
      </c>
      <c r="CA13" s="233">
        <f t="shared" ca="1" si="64"/>
        <v>2.0922028515139175</v>
      </c>
      <c r="CB13" s="233">
        <f t="shared" ca="1" si="65"/>
        <v>5.758517103271922</v>
      </c>
      <c r="CC13" s="233">
        <f t="shared" ca="1" si="66"/>
        <v>2.0922028515139175</v>
      </c>
      <c r="CD13" s="233">
        <f t="shared" ca="1" si="67"/>
        <v>3.0136360147151633</v>
      </c>
      <c r="CE13" s="233">
        <f t="shared" ca="1" si="68"/>
        <v>7.8748036539780299</v>
      </c>
      <c r="CF13" s="233">
        <f t="shared" ca="1" si="69"/>
        <v>3.0136360147151633</v>
      </c>
      <c r="CG13" s="233">
        <f t="shared" ca="1" si="70"/>
        <v>1.6902125007264481</v>
      </c>
    </row>
    <row r="14" spans="1:85" x14ac:dyDescent="0.25">
      <c r="A14" t="str">
        <f>PLANTILLA!D15</f>
        <v>I. Stone</v>
      </c>
      <c r="B14" s="589">
        <f>PLANTILLA!E15</f>
        <v>18</v>
      </c>
      <c r="C14" s="298">
        <f ca="1">PLANTILLA!F15</f>
        <v>6</v>
      </c>
      <c r="D14" s="589" t="str">
        <f>PLANTILLA!G15</f>
        <v>RAP</v>
      </c>
      <c r="E14" s="258">
        <f>PLANTILLA!O15</f>
        <v>43633</v>
      </c>
      <c r="F14" s="425">
        <f ca="1">PLANTILLA!P15</f>
        <v>2.4162555382234736E-2</v>
      </c>
      <c r="G14" s="426">
        <f>PLANTILLA!I15</f>
        <v>1.2</v>
      </c>
      <c r="H14" s="152">
        <f>PLANTILLA!X15</f>
        <v>0</v>
      </c>
      <c r="I14" s="152">
        <f>PLANTILLA!Y15</f>
        <v>3</v>
      </c>
      <c r="J14" s="152">
        <f>PLANTILLA!Z15</f>
        <v>5</v>
      </c>
      <c r="K14" s="152">
        <f>PLANTILLA!AA15</f>
        <v>2</v>
      </c>
      <c r="L14" s="152">
        <f>PLANTILLA!AB15</f>
        <v>6</v>
      </c>
      <c r="M14" s="152">
        <f>PLANTILLA!AC15</f>
        <v>9</v>
      </c>
      <c r="N14" s="152">
        <f>PLANTILLA!AD15</f>
        <v>2</v>
      </c>
      <c r="O14" s="426">
        <f t="shared" si="0"/>
        <v>2.25</v>
      </c>
      <c r="P14" s="426">
        <f t="shared" ca="1" si="1"/>
        <v>8.7267199857484048</v>
      </c>
      <c r="Q14" s="426">
        <f t="shared" si="2"/>
        <v>0.51</v>
      </c>
      <c r="R14" s="426">
        <f t="shared" si="3"/>
        <v>0.18000000000000002</v>
      </c>
      <c r="S14" s="426">
        <f t="shared" ca="1" si="4"/>
        <v>2.1601294672891647</v>
      </c>
      <c r="T14" s="233">
        <f t="shared" ca="1" si="5"/>
        <v>0.94126088124812635</v>
      </c>
      <c r="U14" s="233">
        <f t="shared" ca="1" si="6"/>
        <v>1.4424911771951099</v>
      </c>
      <c r="V14" s="233">
        <f t="shared" ca="1" si="7"/>
        <v>0.94126088124812635</v>
      </c>
      <c r="W14" s="233">
        <f t="shared" ca="1" si="8"/>
        <v>1.6149445758579992</v>
      </c>
      <c r="X14" s="233">
        <f t="shared" ca="1" si="9"/>
        <v>3.1297375501124014</v>
      </c>
      <c r="Y14" s="233">
        <f t="shared" ca="1" si="10"/>
        <v>0.80747228792899961</v>
      </c>
      <c r="Z14" s="233">
        <f t="shared" ca="1" si="11"/>
        <v>1.2208775369267515</v>
      </c>
      <c r="AA14" s="233">
        <f t="shared" ca="1" si="12"/>
        <v>1.1830407939424878</v>
      </c>
      <c r="AB14" s="233">
        <f t="shared" ca="1" si="13"/>
        <v>2.2628002487312662</v>
      </c>
      <c r="AC14" s="233">
        <f t="shared" ca="1" si="14"/>
        <v>0.59152039697124392</v>
      </c>
      <c r="AD14" s="233">
        <f t="shared" ca="1" si="15"/>
        <v>1.9749489567932745</v>
      </c>
      <c r="AE14" s="596">
        <f t="shared" ca="1" si="16"/>
        <v>2.8793585461034095</v>
      </c>
      <c r="AF14" s="233">
        <f t="shared" ca="1" si="17"/>
        <v>1.2957113457465341</v>
      </c>
      <c r="AG14" s="233">
        <f t="shared" ca="1" si="18"/>
        <v>0.85666617086877106</v>
      </c>
      <c r="AH14" s="596">
        <f t="shared" ca="1" si="19"/>
        <v>1.2522856794660919</v>
      </c>
      <c r="AI14" s="233">
        <f t="shared" ca="1" si="20"/>
        <v>2.3598221127847507</v>
      </c>
      <c r="AJ14" s="233">
        <f t="shared" ca="1" si="21"/>
        <v>2.2158541854795799</v>
      </c>
      <c r="AK14" s="233">
        <f t="shared" ca="1" si="22"/>
        <v>0.35566617086877106</v>
      </c>
      <c r="AL14" s="233">
        <f t="shared" ca="1" si="23"/>
        <v>0.6853644144323715</v>
      </c>
      <c r="AM14" s="233">
        <f t="shared" ca="1" si="24"/>
        <v>0.84502913853034844</v>
      </c>
      <c r="AN14" s="233">
        <f t="shared" ca="1" si="25"/>
        <v>1.8590641047667664</v>
      </c>
      <c r="AO14" s="233">
        <f t="shared" ca="1" si="26"/>
        <v>0.42251456926517422</v>
      </c>
      <c r="AP14" s="233">
        <f t="shared" ca="1" si="27"/>
        <v>4.842472247306107</v>
      </c>
      <c r="AQ14" s="233">
        <f t="shared" ca="1" si="28"/>
        <v>0.79686588151461224</v>
      </c>
      <c r="AR14" s="233">
        <f t="shared" ca="1" si="29"/>
        <v>2.3150131021829332</v>
      </c>
      <c r="AS14" s="233">
        <f t="shared" ca="1" si="30"/>
        <v>0.39843294075730612</v>
      </c>
      <c r="AT14" s="233">
        <f t="shared" ca="1" si="31"/>
        <v>0.59152039697124392</v>
      </c>
      <c r="AU14" s="233">
        <f t="shared" ca="1" si="32"/>
        <v>1.2518950200449606</v>
      </c>
      <c r="AV14" s="233">
        <f t="shared" ca="1" si="33"/>
        <v>0.29576019848562196</v>
      </c>
      <c r="AW14" s="233">
        <f t="shared" ca="1" si="34"/>
        <v>5.1297375501124014</v>
      </c>
      <c r="AX14" s="233">
        <f t="shared" ca="1" si="35"/>
        <v>1.5508236001784377</v>
      </c>
      <c r="AY14" s="233">
        <f t="shared" ca="1" si="36"/>
        <v>4.0074853901119329</v>
      </c>
      <c r="AZ14" s="233">
        <f t="shared" ca="1" si="37"/>
        <v>0.77541180008921884</v>
      </c>
      <c r="BA14" s="233">
        <f t="shared" ca="1" si="38"/>
        <v>0.91075362708270879</v>
      </c>
      <c r="BB14" s="233">
        <f t="shared" ca="1" si="39"/>
        <v>1.0891486674391155</v>
      </c>
      <c r="BC14" s="233">
        <f t="shared" ca="1" si="40"/>
        <v>4.5192987816490255</v>
      </c>
      <c r="BD14" s="233">
        <f t="shared" ca="1" si="41"/>
        <v>3.1533366820499249</v>
      </c>
      <c r="BE14" s="233">
        <f t="shared" ca="1" si="42"/>
        <v>1.4772667495770886</v>
      </c>
      <c r="BF14" s="233">
        <f t="shared" ca="1" si="43"/>
        <v>1.5179227118045147</v>
      </c>
      <c r="BG14" s="233">
        <f t="shared" ca="1" si="44"/>
        <v>0.82625071322967403</v>
      </c>
      <c r="BH14" s="233">
        <f t="shared" ca="1" si="45"/>
        <v>1.9544300065928251</v>
      </c>
      <c r="BI14" s="233">
        <f t="shared" ca="1" si="46"/>
        <v>2.6653906187982388</v>
      </c>
      <c r="BJ14" s="233">
        <f t="shared" ca="1" si="47"/>
        <v>0.31874635260584488</v>
      </c>
      <c r="BK14" s="233">
        <f t="shared" ca="1" si="48"/>
        <v>0.56335275902023219</v>
      </c>
      <c r="BL14" s="233">
        <f t="shared" ca="1" si="49"/>
        <v>0.21282215340764332</v>
      </c>
      <c r="BM14" s="233">
        <f t="shared" ca="1" si="50"/>
        <v>1.5645699527842825</v>
      </c>
      <c r="BN14" s="233">
        <f t="shared" ca="1" si="51"/>
        <v>3.8828424894445481</v>
      </c>
      <c r="BO14" s="233">
        <f t="shared" ca="1" si="52"/>
        <v>0.82751456926517419</v>
      </c>
      <c r="BP14" s="233">
        <f t="shared" ca="1" si="53"/>
        <v>0.8888454642319219</v>
      </c>
      <c r="BQ14" s="233">
        <f t="shared" ca="1" si="54"/>
        <v>0.76365596222742593</v>
      </c>
      <c r="BR14" s="233">
        <f t="shared" ca="1" si="55"/>
        <v>2.3340305853011429</v>
      </c>
      <c r="BS14" s="233">
        <f t="shared" ca="1" si="56"/>
        <v>3.3357492055245408</v>
      </c>
      <c r="BT14" s="233">
        <f t="shared" ca="1" si="57"/>
        <v>0.74169824356360059</v>
      </c>
      <c r="BU14" s="233">
        <f t="shared" ca="1" si="58"/>
        <v>0.8888454642319219</v>
      </c>
      <c r="BV14" s="233">
        <f t="shared" ca="1" si="59"/>
        <v>0.76365596222742593</v>
      </c>
      <c r="BW14" s="233">
        <f t="shared" ca="1" si="60"/>
        <v>3.2368643941209254</v>
      </c>
      <c r="BX14" s="233">
        <f t="shared" ca="1" si="61"/>
        <v>2.6781151073505995</v>
      </c>
      <c r="BY14" s="233">
        <f t="shared" ca="1" si="62"/>
        <v>0.90720115741663532</v>
      </c>
      <c r="BZ14" s="233">
        <f t="shared" ca="1" si="63"/>
        <v>2.0826734453456353</v>
      </c>
      <c r="CA14" s="233">
        <f t="shared" ca="1" si="64"/>
        <v>2.9985932636085608</v>
      </c>
      <c r="CB14" s="233">
        <f t="shared" ca="1" si="65"/>
        <v>8.6510844814265635</v>
      </c>
      <c r="CC14" s="233">
        <f t="shared" ca="1" si="66"/>
        <v>2.9985932636085608</v>
      </c>
      <c r="CD14" s="233">
        <f t="shared" ca="1" si="67"/>
        <v>3.9685442293206448</v>
      </c>
      <c r="CE14" s="233">
        <f t="shared" ca="1" si="68"/>
        <v>11.391610706103876</v>
      </c>
      <c r="CF14" s="233">
        <f t="shared" ca="1" si="69"/>
        <v>3.9685442293206448</v>
      </c>
      <c r="CG14" s="233">
        <f t="shared" ca="1" si="70"/>
        <v>1.2824343875281004</v>
      </c>
    </row>
    <row r="15" spans="1:85" x14ac:dyDescent="0.25">
      <c r="A15" t="str">
        <f>PLANTILLA!D16</f>
        <v>G. Piscaer</v>
      </c>
      <c r="B15" s="589">
        <f>PLANTILLA!E16</f>
        <v>18</v>
      </c>
      <c r="C15" s="298">
        <f ca="1">PLANTILLA!F16</f>
        <v>79</v>
      </c>
      <c r="D15" s="589" t="str">
        <f>PLANTILLA!G16</f>
        <v>IMP</v>
      </c>
      <c r="E15" s="258">
        <f>PLANTILLA!O16</f>
        <v>43630</v>
      </c>
      <c r="F15" s="425">
        <f ca="1">PLANTILLA!P16</f>
        <v>5.8676102278042847E-2</v>
      </c>
      <c r="G15" s="426">
        <f>PLANTILLA!I16</f>
        <v>1.8</v>
      </c>
      <c r="H15" s="152">
        <f>PLANTILLA!X16</f>
        <v>0</v>
      </c>
      <c r="I15" s="152">
        <f>PLANTILLA!Y16</f>
        <v>4</v>
      </c>
      <c r="J15" s="152">
        <f>PLANTILLA!Z16</f>
        <v>8</v>
      </c>
      <c r="K15" s="152">
        <f>PLANTILLA!AA16</f>
        <v>3</v>
      </c>
      <c r="L15" s="152">
        <f>PLANTILLA!AB16</f>
        <v>2</v>
      </c>
      <c r="M15" s="152">
        <f>PLANTILLA!AC16</f>
        <v>8</v>
      </c>
      <c r="N15" s="152">
        <f>PLANTILLA!AD16</f>
        <v>0</v>
      </c>
      <c r="O15" s="426">
        <f t="shared" si="0"/>
        <v>1.375</v>
      </c>
      <c r="P15" s="426">
        <f t="shared" ca="1" si="1"/>
        <v>6.5618771677388832</v>
      </c>
      <c r="Q15" s="426">
        <f t="shared" si="2"/>
        <v>0.4</v>
      </c>
      <c r="R15" s="426">
        <f t="shared" si="3"/>
        <v>0.16</v>
      </c>
      <c r="S15" s="426">
        <f t="shared" ca="1" si="4"/>
        <v>0.44947228525573762</v>
      </c>
      <c r="T15" s="233">
        <f t="shared" ca="1" si="5"/>
        <v>1.4523614332289796</v>
      </c>
      <c r="U15" s="233">
        <f t="shared" ca="1" si="6"/>
        <v>2.2151599201587775</v>
      </c>
      <c r="V15" s="233">
        <f t="shared" ca="1" si="7"/>
        <v>1.4523614332289796</v>
      </c>
      <c r="W15" s="233">
        <f t="shared" ca="1" si="8"/>
        <v>2.2699043522865447</v>
      </c>
      <c r="X15" s="233">
        <f t="shared" ca="1" si="9"/>
        <v>4.3990394424157842</v>
      </c>
      <c r="Y15" s="233">
        <f t="shared" ca="1" si="10"/>
        <v>1.1349521761432724</v>
      </c>
      <c r="Z15" s="233">
        <f t="shared" ca="1" si="11"/>
        <v>1.9989713872949566</v>
      </c>
      <c r="AA15" s="233">
        <f t="shared" ca="1" si="12"/>
        <v>1.6628369092331665</v>
      </c>
      <c r="AB15" s="233">
        <f t="shared" ca="1" si="13"/>
        <v>3.1805055168666119</v>
      </c>
      <c r="AC15" s="233">
        <f t="shared" ca="1" si="14"/>
        <v>0.83141845461658326</v>
      </c>
      <c r="AD15" s="233">
        <f t="shared" ca="1" si="15"/>
        <v>3.2336301853300768</v>
      </c>
      <c r="AE15" s="596">
        <f t="shared" ca="1" si="16"/>
        <v>4.0471162870225212</v>
      </c>
      <c r="AF15" s="233">
        <f t="shared" ca="1" si="17"/>
        <v>1.8212023291601345</v>
      </c>
      <c r="AG15" s="233">
        <f t="shared" ca="1" si="18"/>
        <v>1.402639586883436</v>
      </c>
      <c r="AH15" s="596">
        <f t="shared" ca="1" si="19"/>
        <v>1.998635192140481</v>
      </c>
      <c r="AI15" s="233">
        <f t="shared" ca="1" si="20"/>
        <v>3.3168757395815014</v>
      </c>
      <c r="AJ15" s="233">
        <f t="shared" ca="1" si="21"/>
        <v>3.114519925230375</v>
      </c>
      <c r="AK15" s="233">
        <f t="shared" ca="1" si="22"/>
        <v>6.6639586883435978E-2</v>
      </c>
      <c r="AL15" s="233">
        <f t="shared" ca="1" si="23"/>
        <v>0.51092335941574585</v>
      </c>
      <c r="AM15" s="233">
        <f t="shared" ca="1" si="24"/>
        <v>1.1877406494522618</v>
      </c>
      <c r="AN15" s="233">
        <f t="shared" ca="1" si="25"/>
        <v>2.6130294287949756</v>
      </c>
      <c r="AO15" s="233">
        <f t="shared" ca="1" si="26"/>
        <v>0.59387032472613088</v>
      </c>
      <c r="AP15" s="233">
        <f t="shared" ca="1" si="27"/>
        <v>7.9286932336404998</v>
      </c>
      <c r="AQ15" s="233">
        <f t="shared" ca="1" si="28"/>
        <v>0.31187512751405194</v>
      </c>
      <c r="AR15" s="233">
        <f t="shared" ca="1" si="29"/>
        <v>1.7409185566278247</v>
      </c>
      <c r="AS15" s="233">
        <f t="shared" ca="1" si="30"/>
        <v>0.15593756375702597</v>
      </c>
      <c r="AT15" s="233">
        <f t="shared" ca="1" si="31"/>
        <v>0.83141845461658326</v>
      </c>
      <c r="AU15" s="233">
        <f t="shared" ca="1" si="32"/>
        <v>1.7596157769663137</v>
      </c>
      <c r="AV15" s="233">
        <f t="shared" ca="1" si="33"/>
        <v>0.41570922730829163</v>
      </c>
      <c r="AW15" s="233">
        <f t="shared" ca="1" si="34"/>
        <v>8.3990394424157842</v>
      </c>
      <c r="AX15" s="233">
        <f t="shared" ca="1" si="35"/>
        <v>0.60695697893119338</v>
      </c>
      <c r="AY15" s="233">
        <f t="shared" ca="1" si="36"/>
        <v>2.581870732771097</v>
      </c>
      <c r="AZ15" s="233">
        <f t="shared" ca="1" si="37"/>
        <v>0.30347848946559669</v>
      </c>
      <c r="BA15" s="233">
        <f t="shared" ca="1" si="38"/>
        <v>1.2801204777429931</v>
      </c>
      <c r="BB15" s="233">
        <f t="shared" ca="1" si="39"/>
        <v>1.5308657259606928</v>
      </c>
      <c r="BC15" s="233">
        <f t="shared" ca="1" si="40"/>
        <v>7.3995537487683061</v>
      </c>
      <c r="BD15" s="233">
        <f t="shared" ca="1" si="41"/>
        <v>2.706746064307632</v>
      </c>
      <c r="BE15" s="233">
        <f t="shared" ca="1" si="42"/>
        <v>0.57816850562220401</v>
      </c>
      <c r="BF15" s="233">
        <f t="shared" ca="1" si="43"/>
        <v>2.1335341295716552</v>
      </c>
      <c r="BG15" s="233">
        <f t="shared" ca="1" si="44"/>
        <v>1.1613464127977671</v>
      </c>
      <c r="BH15" s="233">
        <f t="shared" ca="1" si="45"/>
        <v>3.200034027560414</v>
      </c>
      <c r="BI15" s="233">
        <f t="shared" ca="1" si="46"/>
        <v>2.7697604726713956</v>
      </c>
      <c r="BJ15" s="233">
        <f t="shared" ca="1" si="47"/>
        <v>0.12475005100562077</v>
      </c>
      <c r="BK15" s="233">
        <f t="shared" ca="1" si="48"/>
        <v>0.7918270996348411</v>
      </c>
      <c r="BL15" s="233">
        <f t="shared" ca="1" si="49"/>
        <v>0.29913468208427335</v>
      </c>
      <c r="BM15" s="233">
        <f t="shared" ca="1" si="50"/>
        <v>2.5617070299368141</v>
      </c>
      <c r="BN15" s="233">
        <f t="shared" ca="1" si="51"/>
        <v>4.0851647229466987</v>
      </c>
      <c r="BO15" s="233">
        <f t="shared" ca="1" si="52"/>
        <v>0.32387032472613086</v>
      </c>
      <c r="BP15" s="233">
        <f t="shared" ca="1" si="53"/>
        <v>1.2493272016460826</v>
      </c>
      <c r="BQ15" s="233">
        <f t="shared" ca="1" si="54"/>
        <v>1.0733656239494513</v>
      </c>
      <c r="BR15" s="233">
        <f t="shared" ca="1" si="55"/>
        <v>3.8215629462991818</v>
      </c>
      <c r="BS15" s="233">
        <f t="shared" ca="1" si="56"/>
        <v>3.5221357021966888</v>
      </c>
      <c r="BT15" s="233">
        <f t="shared" ca="1" si="57"/>
        <v>0.29028377253230986</v>
      </c>
      <c r="BU15" s="233">
        <f t="shared" ca="1" si="58"/>
        <v>1.2493272016460826</v>
      </c>
      <c r="BV15" s="233">
        <f t="shared" ca="1" si="59"/>
        <v>1.0733656239494513</v>
      </c>
      <c r="BW15" s="233">
        <f t="shared" ca="1" si="60"/>
        <v>5.29979388816436</v>
      </c>
      <c r="BX15" s="233">
        <f t="shared" ca="1" si="61"/>
        <v>2.8491403009621266</v>
      </c>
      <c r="BY15" s="233">
        <f t="shared" ca="1" si="62"/>
        <v>0.35505783747753605</v>
      </c>
      <c r="BZ15" s="233">
        <f t="shared" ca="1" si="63"/>
        <v>3.4100100136208087</v>
      </c>
      <c r="CA15" s="233">
        <f t="shared" ca="1" si="64"/>
        <v>2.1558995494986233</v>
      </c>
      <c r="CB15" s="233">
        <f t="shared" ca="1" si="65"/>
        <v>6.1993184121601725</v>
      </c>
      <c r="CC15" s="233">
        <f t="shared" ca="1" si="66"/>
        <v>2.1558995494986233</v>
      </c>
      <c r="CD15" s="233">
        <f t="shared" ca="1" si="67"/>
        <v>3.5203457860327427</v>
      </c>
      <c r="CE15" s="233">
        <f t="shared" ca="1" si="68"/>
        <v>9.2842849966672087</v>
      </c>
      <c r="CF15" s="233">
        <f t="shared" ca="1" si="69"/>
        <v>3.5203457860327427</v>
      </c>
      <c r="CG15" s="233">
        <f t="shared" ca="1" si="70"/>
        <v>2.099759860603946</v>
      </c>
    </row>
    <row r="16" spans="1:85" x14ac:dyDescent="0.25">
      <c r="A16" t="str">
        <f>PLANTILLA!D17</f>
        <v>M. Bondarewski</v>
      </c>
      <c r="B16" s="589">
        <f>PLANTILLA!E17</f>
        <v>18</v>
      </c>
      <c r="C16" s="298">
        <f ca="1">PLANTILLA!F17</f>
        <v>79</v>
      </c>
      <c r="D16" s="589" t="str">
        <f>PLANTILLA!G17</f>
        <v>RAP</v>
      </c>
      <c r="E16" s="258">
        <f>PLANTILLA!O17</f>
        <v>43627</v>
      </c>
      <c r="F16" s="425">
        <f ca="1">PLANTILLA!P17</f>
        <v>8.394708266038052E-2</v>
      </c>
      <c r="G16" s="426">
        <f>PLANTILLA!I17</f>
        <v>1.6</v>
      </c>
      <c r="H16" s="152">
        <f>PLANTILLA!X17</f>
        <v>0</v>
      </c>
      <c r="I16" s="152">
        <f>PLANTILLA!Y17</f>
        <v>2</v>
      </c>
      <c r="J16" s="152">
        <f>PLANTILLA!Z17</f>
        <v>8.1999999999999993</v>
      </c>
      <c r="K16" s="152">
        <f>PLANTILLA!AA17</f>
        <v>5</v>
      </c>
      <c r="L16" s="152">
        <f>PLANTILLA!AB17</f>
        <v>4</v>
      </c>
      <c r="M16" s="152">
        <f>PLANTILLA!AC17</f>
        <v>8</v>
      </c>
      <c r="N16" s="152">
        <f>PLANTILLA!AD17</f>
        <v>6</v>
      </c>
      <c r="O16" s="426">
        <f t="shared" si="0"/>
        <v>1.625</v>
      </c>
      <c r="P16" s="426">
        <f t="shared" ca="1" si="1"/>
        <v>9.7669966015722327</v>
      </c>
      <c r="Q16" s="426">
        <f t="shared" si="2"/>
        <v>0.57999999999999996</v>
      </c>
      <c r="R16" s="426">
        <f t="shared" si="3"/>
        <v>0.25999999999999995</v>
      </c>
      <c r="S16" s="426">
        <f t="shared" ca="1" si="4"/>
        <v>6.4164975441719729</v>
      </c>
      <c r="T16" s="233">
        <f t="shared" ca="1" si="5"/>
        <v>0.86288146297400869</v>
      </c>
      <c r="U16" s="233">
        <f t="shared" ca="1" si="6"/>
        <v>1.3097342138596164</v>
      </c>
      <c r="V16" s="233">
        <f t="shared" ca="1" si="7"/>
        <v>0.86288146297400869</v>
      </c>
      <c r="W16" s="233">
        <f t="shared" ca="1" si="8"/>
        <v>1.2157512427200325</v>
      </c>
      <c r="X16" s="233">
        <f t="shared" ca="1" si="9"/>
        <v>2.3561070595349469</v>
      </c>
      <c r="Y16" s="233">
        <f t="shared" ca="1" si="10"/>
        <v>0.60787562136001627</v>
      </c>
      <c r="Z16" s="233">
        <f t="shared" ca="1" si="11"/>
        <v>2.0363534801693168</v>
      </c>
      <c r="AA16" s="233">
        <f t="shared" ca="1" si="12"/>
        <v>0.89060846850420994</v>
      </c>
      <c r="AB16" s="233">
        <f t="shared" ca="1" si="13"/>
        <v>1.7034654040437667</v>
      </c>
      <c r="AC16" s="233">
        <f t="shared" ca="1" si="14"/>
        <v>0.44530423425210497</v>
      </c>
      <c r="AD16" s="233">
        <f t="shared" ca="1" si="15"/>
        <v>3.2941012179209537</v>
      </c>
      <c r="AE16" s="596">
        <f t="shared" ca="1" si="16"/>
        <v>2.1676184947721513</v>
      </c>
      <c r="AF16" s="233">
        <f t="shared" ca="1" si="17"/>
        <v>0.97542832264746793</v>
      </c>
      <c r="AG16" s="233">
        <f t="shared" ca="1" si="18"/>
        <v>1.428869878942336</v>
      </c>
      <c r="AH16" s="596">
        <f t="shared" ca="1" si="19"/>
        <v>3.1493909510065485</v>
      </c>
      <c r="AI16" s="233">
        <f t="shared" ca="1" si="20"/>
        <v>1.77650472288935</v>
      </c>
      <c r="AJ16" s="233">
        <f t="shared" ca="1" si="21"/>
        <v>1.6681237981507424</v>
      </c>
      <c r="AK16" s="233">
        <f t="shared" ca="1" si="22"/>
        <v>1.061469878942336</v>
      </c>
      <c r="AL16" s="233">
        <f t="shared" ca="1" si="23"/>
        <v>0.5705588331460647</v>
      </c>
      <c r="AM16" s="233">
        <f t="shared" ca="1" si="24"/>
        <v>0.63614890607443575</v>
      </c>
      <c r="AN16" s="233">
        <f t="shared" ca="1" si="25"/>
        <v>1.3995275933637583</v>
      </c>
      <c r="AO16" s="233">
        <f t="shared" ca="1" si="26"/>
        <v>0.31807445303721787</v>
      </c>
      <c r="AP16" s="233">
        <f t="shared" ca="1" si="27"/>
        <v>8.0769650642009871</v>
      </c>
      <c r="AQ16" s="233">
        <f t="shared" ca="1" si="28"/>
        <v>0.56629391773954307</v>
      </c>
      <c r="AR16" s="233">
        <f t="shared" ca="1" si="29"/>
        <v>1.9683393684437389</v>
      </c>
      <c r="AS16" s="233">
        <f t="shared" ca="1" si="30"/>
        <v>0.28314695886977154</v>
      </c>
      <c r="AT16" s="233">
        <f t="shared" ca="1" si="31"/>
        <v>0.44530423425210497</v>
      </c>
      <c r="AU16" s="233">
        <f t="shared" ca="1" si="32"/>
        <v>0.94244282381397881</v>
      </c>
      <c r="AV16" s="233">
        <f t="shared" ca="1" si="33"/>
        <v>0.22265211712605248</v>
      </c>
      <c r="AW16" s="233">
        <f t="shared" ca="1" si="34"/>
        <v>8.5561070595349449</v>
      </c>
      <c r="AX16" s="233">
        <f t="shared" ca="1" si="35"/>
        <v>1.1020950860623415</v>
      </c>
      <c r="AY16" s="233">
        <f t="shared" ca="1" si="36"/>
        <v>3.2402149898037553</v>
      </c>
      <c r="AZ16" s="233">
        <f t="shared" ca="1" si="37"/>
        <v>0.55104754303117076</v>
      </c>
      <c r="BA16" s="233">
        <f t="shared" ca="1" si="38"/>
        <v>0.68562715432466947</v>
      </c>
      <c r="BB16" s="233">
        <f t="shared" ca="1" si="39"/>
        <v>0.81992525671816152</v>
      </c>
      <c r="BC16" s="233">
        <f t="shared" ca="1" si="40"/>
        <v>7.5379303194502869</v>
      </c>
      <c r="BD16" s="233">
        <f t="shared" ca="1" si="41"/>
        <v>4.4465791759265674</v>
      </c>
      <c r="BE16" s="233">
        <f t="shared" ca="1" si="42"/>
        <v>1.0498218013479221</v>
      </c>
      <c r="BF16" s="233">
        <f t="shared" ca="1" si="43"/>
        <v>1.1427119238744492</v>
      </c>
      <c r="BG16" s="233">
        <f t="shared" ca="1" si="44"/>
        <v>0.62201226371722607</v>
      </c>
      <c r="BH16" s="233">
        <f t="shared" ca="1" si="45"/>
        <v>3.259876789682814</v>
      </c>
      <c r="BI16" s="233">
        <f t="shared" ca="1" si="46"/>
        <v>4.4802375700335428</v>
      </c>
      <c r="BJ16" s="233">
        <f t="shared" ca="1" si="47"/>
        <v>0.22651756709581722</v>
      </c>
      <c r="BK16" s="233">
        <f t="shared" ca="1" si="48"/>
        <v>0.42409927071629044</v>
      </c>
      <c r="BL16" s="233">
        <f t="shared" ca="1" si="49"/>
        <v>0.1602152800483764</v>
      </c>
      <c r="BM16" s="233">
        <f t="shared" ca="1" si="50"/>
        <v>2.609612653158158</v>
      </c>
      <c r="BN16" s="233">
        <f t="shared" ca="1" si="51"/>
        <v>6.6019536785619408</v>
      </c>
      <c r="BO16" s="233">
        <f t="shared" ca="1" si="52"/>
        <v>0.58807445303721784</v>
      </c>
      <c r="BP16" s="233">
        <f t="shared" ca="1" si="53"/>
        <v>0.66913440490792486</v>
      </c>
      <c r="BQ16" s="233">
        <f t="shared" ca="1" si="54"/>
        <v>0.57489012252652705</v>
      </c>
      <c r="BR16" s="233">
        <f t="shared" ca="1" si="55"/>
        <v>3.8930287120884</v>
      </c>
      <c r="BS16" s="233">
        <f t="shared" ca="1" si="56"/>
        <v>5.6905666219647211</v>
      </c>
      <c r="BT16" s="233">
        <f t="shared" ca="1" si="57"/>
        <v>0.52708895420372848</v>
      </c>
      <c r="BU16" s="233">
        <f t="shared" ca="1" si="58"/>
        <v>0.66913440490792486</v>
      </c>
      <c r="BV16" s="233">
        <f t="shared" ca="1" si="59"/>
        <v>0.57489012252652705</v>
      </c>
      <c r="BW16" s="233">
        <f t="shared" ca="1" si="60"/>
        <v>5.3989035545665507</v>
      </c>
      <c r="BX16" s="233">
        <f t="shared" ca="1" si="61"/>
        <v>4.6007158182837768</v>
      </c>
      <c r="BY16" s="233">
        <f t="shared" ca="1" si="62"/>
        <v>0.64470384481117204</v>
      </c>
      <c r="BZ16" s="233">
        <f t="shared" ca="1" si="63"/>
        <v>3.4737794661711878</v>
      </c>
      <c r="CA16" s="233">
        <f t="shared" ca="1" si="64"/>
        <v>2.921531778017707</v>
      </c>
      <c r="CB16" s="233">
        <f t="shared" ca="1" si="65"/>
        <v>7.2369765490363491</v>
      </c>
      <c r="CC16" s="233">
        <f t="shared" ca="1" si="66"/>
        <v>2.921531778017707</v>
      </c>
      <c r="CD16" s="233">
        <f t="shared" ca="1" si="67"/>
        <v>4.2130284565985727</v>
      </c>
      <c r="CE16" s="233">
        <f t="shared" ca="1" si="68"/>
        <v>9.9635105645033413</v>
      </c>
      <c r="CF16" s="233">
        <f t="shared" ca="1" si="69"/>
        <v>4.2130284565985727</v>
      </c>
      <c r="CG16" s="233">
        <f t="shared" ca="1" si="70"/>
        <v>2.1390267648837362</v>
      </c>
    </row>
    <row r="17" spans="1:85" x14ac:dyDescent="0.25">
      <c r="A17" t="str">
        <f>PLANTILLA!D18</f>
        <v>J. Vartiainen</v>
      </c>
      <c r="B17" s="589">
        <f>PLANTILLA!E18</f>
        <v>19</v>
      </c>
      <c r="C17" s="298">
        <f ca="1">PLANTILLA!F18</f>
        <v>13</v>
      </c>
      <c r="D17" s="589" t="str">
        <f>PLANTILLA!G18</f>
        <v>CAB</v>
      </c>
      <c r="E17" s="258">
        <f>PLANTILLA!O18</f>
        <v>43628</v>
      </c>
      <c r="F17" s="425">
        <f ca="1">PLANTILLA!P18</f>
        <v>7.6060585239192346E-2</v>
      </c>
      <c r="G17" s="426">
        <f>PLANTILLA!I18</f>
        <v>0.3</v>
      </c>
      <c r="H17" s="152">
        <f>PLANTILLA!X18</f>
        <v>0</v>
      </c>
      <c r="I17" s="152">
        <f>PLANTILLA!Y18</f>
        <v>7</v>
      </c>
      <c r="J17" s="152">
        <f>PLANTILLA!Z18</f>
        <v>7.1111111111111107</v>
      </c>
      <c r="K17" s="152">
        <f>PLANTILLA!AA18</f>
        <v>1</v>
      </c>
      <c r="L17" s="152">
        <f>PLANTILLA!AB18</f>
        <v>1</v>
      </c>
      <c r="M17" s="152">
        <f>PLANTILLA!AC18</f>
        <v>6</v>
      </c>
      <c r="N17" s="152">
        <f>PLANTILLA!AD18</f>
        <v>1</v>
      </c>
      <c r="O17" s="426">
        <f t="shared" si="0"/>
        <v>1.5</v>
      </c>
      <c r="P17" s="426">
        <f t="shared" ca="1" si="1"/>
        <v>1.5373445239525534</v>
      </c>
      <c r="Q17" s="426">
        <f t="shared" si="2"/>
        <v>0.32999999999999996</v>
      </c>
      <c r="R17" s="426">
        <f t="shared" si="3"/>
        <v>0.31</v>
      </c>
      <c r="S17" s="426">
        <f t="shared" ca="1" si="4"/>
        <v>0.43645896058242861</v>
      </c>
      <c r="T17" s="233">
        <f t="shared" ca="1" si="5"/>
        <v>1.3897700314075021</v>
      </c>
      <c r="U17" s="233">
        <f t="shared" ca="1" si="6"/>
        <v>2.1731456020012425</v>
      </c>
      <c r="V17" s="233">
        <f t="shared" ca="1" si="7"/>
        <v>1.3897700314075021</v>
      </c>
      <c r="W17" s="233">
        <f t="shared" ca="1" si="8"/>
        <v>3.291506685230551</v>
      </c>
      <c r="X17" s="233">
        <f t="shared" ca="1" si="9"/>
        <v>6.378888924865409</v>
      </c>
      <c r="Y17" s="233">
        <f t="shared" ca="1" si="10"/>
        <v>1.6457533426152755</v>
      </c>
      <c r="Z17" s="233">
        <f t="shared" ca="1" si="11"/>
        <v>1.5446200085624116</v>
      </c>
      <c r="AA17" s="233">
        <f t="shared" ca="1" si="12"/>
        <v>2.4112200135991246</v>
      </c>
      <c r="AB17" s="233">
        <f t="shared" ca="1" si="13"/>
        <v>4.6119366926776904</v>
      </c>
      <c r="AC17" s="233">
        <f t="shared" ca="1" si="14"/>
        <v>1.2056100067995623</v>
      </c>
      <c r="AD17" s="233">
        <f t="shared" ca="1" si="15"/>
        <v>2.49865001385096</v>
      </c>
      <c r="AE17" s="596">
        <f t="shared" ca="1" si="16"/>
        <v>5.8685778108761761</v>
      </c>
      <c r="AF17" s="233">
        <f t="shared" ca="1" si="17"/>
        <v>2.6408600148942791</v>
      </c>
      <c r="AG17" s="233">
        <f t="shared" ca="1" si="18"/>
        <v>1.0838300060080788</v>
      </c>
      <c r="AH17" s="596">
        <f t="shared" ca="1" si="19"/>
        <v>0.22278668782086031</v>
      </c>
      <c r="AI17" s="233">
        <f t="shared" ca="1" si="20"/>
        <v>4.8096822493485183</v>
      </c>
      <c r="AJ17" s="233">
        <f t="shared" ca="1" si="21"/>
        <v>4.5162533588047094</v>
      </c>
      <c r="AK17" s="233">
        <f t="shared" ca="1" si="22"/>
        <v>6.3274450452523251E-2</v>
      </c>
      <c r="AL17" s="233">
        <f t="shared" ca="1" si="23"/>
        <v>0.25312001036123771</v>
      </c>
      <c r="AM17" s="233">
        <f t="shared" ca="1" si="24"/>
        <v>1.7223000097136605</v>
      </c>
      <c r="AN17" s="233">
        <f t="shared" ca="1" si="25"/>
        <v>3.7890600213700529</v>
      </c>
      <c r="AO17" s="233">
        <f t="shared" ca="1" si="26"/>
        <v>0.86115000485683024</v>
      </c>
      <c r="AP17" s="233">
        <f t="shared" ca="1" si="27"/>
        <v>6.1265600339618347</v>
      </c>
      <c r="AQ17" s="233">
        <f t="shared" ca="1" si="28"/>
        <v>4.9255560232503132E-2</v>
      </c>
      <c r="AR17" s="233">
        <f t="shared" ca="1" si="29"/>
        <v>0.97601445498556472</v>
      </c>
      <c r="AS17" s="233">
        <f t="shared" ca="1" si="30"/>
        <v>2.4627780116251566E-2</v>
      </c>
      <c r="AT17" s="233">
        <f t="shared" ca="1" si="31"/>
        <v>1.2056100067995623</v>
      </c>
      <c r="AU17" s="233">
        <f t="shared" ca="1" si="32"/>
        <v>2.5515555699461636</v>
      </c>
      <c r="AV17" s="233">
        <f t="shared" ca="1" si="33"/>
        <v>0.60280500339978116</v>
      </c>
      <c r="AW17" s="233">
        <f t="shared" ca="1" si="34"/>
        <v>6.4900000359765198</v>
      </c>
      <c r="AX17" s="233">
        <f t="shared" ca="1" si="35"/>
        <v>9.5858897990948405E-2</v>
      </c>
      <c r="AY17" s="233">
        <f t="shared" ca="1" si="36"/>
        <v>1.2587677976008402</v>
      </c>
      <c r="AZ17" s="233">
        <f t="shared" ca="1" si="37"/>
        <v>4.7929448995474203E-2</v>
      </c>
      <c r="BA17" s="233">
        <f t="shared" ca="1" si="38"/>
        <v>1.856256677135834</v>
      </c>
      <c r="BB17" s="233">
        <f t="shared" ca="1" si="39"/>
        <v>2.2198533458531622</v>
      </c>
      <c r="BC17" s="233">
        <f t="shared" ca="1" si="40"/>
        <v>5.7176900316953141</v>
      </c>
      <c r="BD17" s="233">
        <f t="shared" ca="1" si="41"/>
        <v>0.33683225420534835</v>
      </c>
      <c r="BE17" s="233">
        <f t="shared" ca="1" si="42"/>
        <v>9.131223089256349E-2</v>
      </c>
      <c r="BF17" s="233">
        <f t="shared" ca="1" si="43"/>
        <v>3.0937611285597235</v>
      </c>
      <c r="BG17" s="233">
        <f t="shared" ca="1" si="44"/>
        <v>1.684026676164468</v>
      </c>
      <c r="BH17" s="233">
        <f t="shared" ca="1" si="45"/>
        <v>2.4726900137070542</v>
      </c>
      <c r="BI17" s="233">
        <f t="shared" ca="1" si="46"/>
        <v>0.33114892033236726</v>
      </c>
      <c r="BJ17" s="233">
        <f t="shared" ca="1" si="47"/>
        <v>1.9702224093001253E-2</v>
      </c>
      <c r="BK17" s="233">
        <f t="shared" ca="1" si="48"/>
        <v>1.1482000064757736</v>
      </c>
      <c r="BL17" s="233">
        <f t="shared" ca="1" si="49"/>
        <v>0.43376444689084787</v>
      </c>
      <c r="BM17" s="233">
        <f t="shared" ca="1" si="50"/>
        <v>1.9794500109728386</v>
      </c>
      <c r="BN17" s="233">
        <f t="shared" ca="1" si="51"/>
        <v>0.4872511573769156</v>
      </c>
      <c r="BO17" s="233">
        <f t="shared" ca="1" si="52"/>
        <v>5.1150004856830175E-2</v>
      </c>
      <c r="BP17" s="233">
        <f t="shared" ca="1" si="53"/>
        <v>1.811604454661776</v>
      </c>
      <c r="BQ17" s="233">
        <f t="shared" ca="1" si="54"/>
        <v>1.5564488976671598</v>
      </c>
      <c r="BR17" s="233">
        <f t="shared" ca="1" si="55"/>
        <v>2.9529500163693165</v>
      </c>
      <c r="BS17" s="233">
        <f t="shared" ca="1" si="56"/>
        <v>0.41980892875087283</v>
      </c>
      <c r="BT17" s="233">
        <f t="shared" ca="1" si="57"/>
        <v>4.5845559908714452E-2</v>
      </c>
      <c r="BU17" s="233">
        <f t="shared" ca="1" si="58"/>
        <v>1.811604454661776</v>
      </c>
      <c r="BV17" s="233">
        <f t="shared" ca="1" si="59"/>
        <v>1.5564488976671598</v>
      </c>
      <c r="BW17" s="233">
        <f t="shared" ca="1" si="60"/>
        <v>4.0951900227011837</v>
      </c>
      <c r="BX17" s="233">
        <f t="shared" ca="1" si="61"/>
        <v>0.3391055877545408</v>
      </c>
      <c r="BY17" s="233">
        <f t="shared" ca="1" si="62"/>
        <v>5.6075560880080484E-2</v>
      </c>
      <c r="BZ17" s="233">
        <f t="shared" ca="1" si="63"/>
        <v>2.634940014606467</v>
      </c>
      <c r="CA17" s="233">
        <f t="shared" ca="1" si="64"/>
        <v>0.83240112985487802</v>
      </c>
      <c r="CB17" s="233">
        <f t="shared" ca="1" si="65"/>
        <v>3.3416289293984502</v>
      </c>
      <c r="CC17" s="233">
        <f t="shared" ca="1" si="66"/>
        <v>0.83240112985487802</v>
      </c>
      <c r="CD17" s="233">
        <f t="shared" ca="1" si="67"/>
        <v>1.7762720480289598</v>
      </c>
      <c r="CE17" s="233">
        <f t="shared" ca="1" si="68"/>
        <v>5.5186989381407452</v>
      </c>
      <c r="CF17" s="233">
        <f t="shared" ca="1" si="69"/>
        <v>1.7762720480289598</v>
      </c>
      <c r="CG17" s="233">
        <f t="shared" ca="1" si="70"/>
        <v>1.6225000089941299</v>
      </c>
    </row>
    <row r="18" spans="1:85" x14ac:dyDescent="0.25">
      <c r="A18" t="str">
        <f>PLANTILLA!D19</f>
        <v>R. Forsyth</v>
      </c>
      <c r="B18" s="589">
        <f>PLANTILLA!E19</f>
        <v>19</v>
      </c>
      <c r="C18" s="298">
        <f ca="1">PLANTILLA!F19</f>
        <v>8</v>
      </c>
      <c r="D18" s="589" t="str">
        <f>PLANTILLA!G19</f>
        <v>POT</v>
      </c>
      <c r="E18" s="258">
        <f>PLANTILLA!O19</f>
        <v>43626</v>
      </c>
      <c r="F18" s="425">
        <f ca="1">PLANTILLA!P19</f>
        <v>9.1436681135175488E-2</v>
      </c>
      <c r="G18" s="426">
        <f>PLANTILLA!I19</f>
        <v>1.8</v>
      </c>
      <c r="H18" s="152">
        <f>PLANTILLA!X19</f>
        <v>0</v>
      </c>
      <c r="I18" s="152">
        <f>PLANTILLA!Y19</f>
        <v>7</v>
      </c>
      <c r="J18" s="152">
        <f>PLANTILLA!Z19</f>
        <v>7.2</v>
      </c>
      <c r="K18" s="152">
        <f>PLANTILLA!AA19</f>
        <v>2</v>
      </c>
      <c r="L18" s="152">
        <f>PLANTILLA!AB19</f>
        <v>4</v>
      </c>
      <c r="M18" s="152">
        <f>PLANTILLA!AC19</f>
        <v>6</v>
      </c>
      <c r="N18" s="152">
        <f>PLANTILLA!AD19</f>
        <v>2</v>
      </c>
      <c r="O18" s="426">
        <f t="shared" si="0"/>
        <v>2.25</v>
      </c>
      <c r="P18" s="426">
        <f t="shared" ca="1" si="1"/>
        <v>4.4142780470131466</v>
      </c>
      <c r="Q18" s="426">
        <f t="shared" si="2"/>
        <v>0.36</v>
      </c>
      <c r="R18" s="426">
        <f t="shared" si="3"/>
        <v>0.34</v>
      </c>
      <c r="S18" s="426">
        <f t="shared" ca="1" si="4"/>
        <v>2.4946666900998333</v>
      </c>
      <c r="T18" s="233">
        <f t="shared" ca="1" si="5"/>
        <v>2.3089614185712564</v>
      </c>
      <c r="U18" s="233">
        <f t="shared" ca="1" si="6"/>
        <v>3.5324538274633359</v>
      </c>
      <c r="V18" s="233">
        <f t="shared" ca="1" si="7"/>
        <v>2.3089614185712564</v>
      </c>
      <c r="W18" s="233">
        <f t="shared" ca="1" si="8"/>
        <v>3.834808810976825</v>
      </c>
      <c r="X18" s="233">
        <f t="shared" ca="1" si="9"/>
        <v>7.4318000212729167</v>
      </c>
      <c r="Y18" s="233">
        <f t="shared" ca="1" si="10"/>
        <v>1.9174044054884125</v>
      </c>
      <c r="Z18" s="233">
        <f t="shared" ca="1" si="11"/>
        <v>1.8163684050629541</v>
      </c>
      <c r="AA18" s="233">
        <f t="shared" ca="1" si="12"/>
        <v>2.8092204080411625</v>
      </c>
      <c r="AB18" s="233">
        <f t="shared" ca="1" si="13"/>
        <v>5.3731914153803189</v>
      </c>
      <c r="AC18" s="233">
        <f t="shared" ca="1" si="14"/>
        <v>1.4046102040205812</v>
      </c>
      <c r="AD18" s="233">
        <f t="shared" ca="1" si="15"/>
        <v>2.938243008190073</v>
      </c>
      <c r="AE18" s="596">
        <f t="shared" ca="1" si="16"/>
        <v>6.8372560195710834</v>
      </c>
      <c r="AF18" s="233">
        <f t="shared" ca="1" si="17"/>
        <v>3.0767652088069872</v>
      </c>
      <c r="AG18" s="233">
        <f t="shared" ca="1" si="18"/>
        <v>1.2745106035525773</v>
      </c>
      <c r="AH18" s="596">
        <f t="shared" ca="1" si="19"/>
        <v>1.4298984125084753</v>
      </c>
      <c r="AI18" s="233">
        <f t="shared" ca="1" si="20"/>
        <v>5.6035772160397794</v>
      </c>
      <c r="AJ18" s="233">
        <f t="shared" ca="1" si="21"/>
        <v>5.2617144150612249</v>
      </c>
      <c r="AK18" s="233">
        <f t="shared" ca="1" si="22"/>
        <v>0.40611060355257717</v>
      </c>
      <c r="AL18" s="233">
        <f t="shared" ca="1" si="23"/>
        <v>0.77235840612660012</v>
      </c>
      <c r="AM18" s="233">
        <f t="shared" ca="1" si="24"/>
        <v>2.0065860057436877</v>
      </c>
      <c r="AN18" s="233">
        <f t="shared" ca="1" si="25"/>
        <v>4.4144892126361119</v>
      </c>
      <c r="AO18" s="233">
        <f t="shared" ca="1" si="26"/>
        <v>1.0032930028718439</v>
      </c>
      <c r="AP18" s="233">
        <f t="shared" ca="1" si="27"/>
        <v>7.2044192200816335</v>
      </c>
      <c r="AQ18" s="233">
        <f t="shared" ca="1" si="28"/>
        <v>0.57613400276547921</v>
      </c>
      <c r="AR18" s="233">
        <f t="shared" ca="1" si="29"/>
        <v>1.6445174062329646</v>
      </c>
      <c r="AS18" s="233">
        <f t="shared" ca="1" si="30"/>
        <v>0.28806700138273961</v>
      </c>
      <c r="AT18" s="233">
        <f t="shared" ca="1" si="31"/>
        <v>1.4046102040205812</v>
      </c>
      <c r="AU18" s="233">
        <f t="shared" ca="1" si="32"/>
        <v>2.972720008509167</v>
      </c>
      <c r="AV18" s="233">
        <f t="shared" ca="1" si="33"/>
        <v>0.70230510201029062</v>
      </c>
      <c r="AW18" s="233">
        <f t="shared" ca="1" si="34"/>
        <v>7.6318000212729169</v>
      </c>
      <c r="AX18" s="233">
        <f t="shared" ca="1" si="35"/>
        <v>1.121245405382048</v>
      </c>
      <c r="AY18" s="233">
        <f t="shared" ca="1" si="36"/>
        <v>2.8619218117213774</v>
      </c>
      <c r="AZ18" s="233">
        <f t="shared" ca="1" si="37"/>
        <v>0.56062270269102399</v>
      </c>
      <c r="BA18" s="233">
        <f t="shared" ca="1" si="38"/>
        <v>2.1626538061904186</v>
      </c>
      <c r="BB18" s="233">
        <f t="shared" ca="1" si="39"/>
        <v>2.5862664074029746</v>
      </c>
      <c r="BC18" s="233">
        <f t="shared" ca="1" si="40"/>
        <v>6.7236158187414397</v>
      </c>
      <c r="BD18" s="233">
        <f t="shared" ca="1" si="41"/>
        <v>2.7918702189116233</v>
      </c>
      <c r="BE18" s="233">
        <f t="shared" ca="1" si="42"/>
        <v>1.0680638051267728</v>
      </c>
      <c r="BF18" s="233">
        <f t="shared" ca="1" si="43"/>
        <v>3.6044230103173645</v>
      </c>
      <c r="BG18" s="233">
        <f t="shared" ca="1" si="44"/>
        <v>1.9619952056160501</v>
      </c>
      <c r="BH18" s="233">
        <f t="shared" ca="1" si="45"/>
        <v>2.9077158081049812</v>
      </c>
      <c r="BI18" s="233">
        <f t="shared" ca="1" si="46"/>
        <v>2.5273932185925299</v>
      </c>
      <c r="BJ18" s="233">
        <f t="shared" ca="1" si="47"/>
        <v>0.23045360110619165</v>
      </c>
      <c r="BK18" s="233">
        <f t="shared" ca="1" si="48"/>
        <v>1.3377240038291249</v>
      </c>
      <c r="BL18" s="233">
        <f t="shared" ca="1" si="49"/>
        <v>0.50536240144655842</v>
      </c>
      <c r="BM18" s="233">
        <f t="shared" ca="1" si="50"/>
        <v>2.3276990064882397</v>
      </c>
      <c r="BN18" s="233">
        <f t="shared" ca="1" si="51"/>
        <v>3.6992948273569715</v>
      </c>
      <c r="BO18" s="233">
        <f t="shared" ca="1" si="52"/>
        <v>0.59829300287184384</v>
      </c>
      <c r="BP18" s="233">
        <f t="shared" ca="1" si="53"/>
        <v>2.110631206041508</v>
      </c>
      <c r="BQ18" s="233">
        <f t="shared" ca="1" si="54"/>
        <v>1.8133592051905916</v>
      </c>
      <c r="BR18" s="233">
        <f t="shared" ca="1" si="55"/>
        <v>3.4724690096791773</v>
      </c>
      <c r="BS18" s="233">
        <f t="shared" ca="1" si="56"/>
        <v>3.1824344235703919</v>
      </c>
      <c r="BT18" s="233">
        <f t="shared" ca="1" si="57"/>
        <v>0.53624780257402294</v>
      </c>
      <c r="BU18" s="233">
        <f t="shared" ca="1" si="58"/>
        <v>2.110631206041508</v>
      </c>
      <c r="BV18" s="233">
        <f t="shared" ca="1" si="59"/>
        <v>1.8133592051905916</v>
      </c>
      <c r="BW18" s="233">
        <f t="shared" ca="1" si="60"/>
        <v>4.8156658134232107</v>
      </c>
      <c r="BX18" s="233">
        <f t="shared" ca="1" si="61"/>
        <v>2.5624610190392607</v>
      </c>
      <c r="BY18" s="233">
        <f t="shared" ca="1" si="62"/>
        <v>0.65590640314839166</v>
      </c>
      <c r="BZ18" s="233">
        <f t="shared" ca="1" si="63"/>
        <v>3.0985108086368043</v>
      </c>
      <c r="CA18" s="233">
        <f t="shared" ca="1" si="64"/>
        <v>2.2749678110831897</v>
      </c>
      <c r="CB18" s="233">
        <f t="shared" ca="1" si="65"/>
        <v>6.1562068239533048</v>
      </c>
      <c r="CC18" s="233">
        <f t="shared" ca="1" si="66"/>
        <v>2.2749678110831897</v>
      </c>
      <c r="CD18" s="233">
        <f t="shared" ca="1" si="67"/>
        <v>3.0752378761578818</v>
      </c>
      <c r="CE18" s="233">
        <f t="shared" ca="1" si="68"/>
        <v>8.0671342291226225</v>
      </c>
      <c r="CF18" s="233">
        <f t="shared" ca="1" si="69"/>
        <v>3.0752378761578818</v>
      </c>
      <c r="CG18" s="233">
        <f t="shared" ca="1" si="70"/>
        <v>1.9079500053182292</v>
      </c>
    </row>
    <row r="19" spans="1:85" x14ac:dyDescent="0.25">
      <c r="A19" t="str">
        <f>PLANTILLA!D20</f>
        <v>K. Nelson</v>
      </c>
      <c r="B19" s="589">
        <f>PLANTILLA!E20</f>
        <v>19</v>
      </c>
      <c r="C19" s="298">
        <f ca="1">PLANTILLA!F20</f>
        <v>0</v>
      </c>
      <c r="D19" s="589">
        <f>PLANTILLA!G20</f>
        <v>0</v>
      </c>
      <c r="E19" s="258">
        <f>PLANTILLA!O20</f>
        <v>43624</v>
      </c>
      <c r="F19" s="425">
        <f ca="1">PLANTILLA!P20</f>
        <v>0.10547337971725297</v>
      </c>
      <c r="G19" s="426">
        <f>PLANTILLA!I20</f>
        <v>1.8</v>
      </c>
      <c r="H19" s="152">
        <f>PLANTILLA!X20</f>
        <v>0</v>
      </c>
      <c r="I19" s="152">
        <f>PLANTILLA!Y20</f>
        <v>5</v>
      </c>
      <c r="J19" s="152">
        <f>PLANTILLA!Z20</f>
        <v>6.0333333333333332</v>
      </c>
      <c r="K19" s="152">
        <f>PLANTILLA!AA20</f>
        <v>2</v>
      </c>
      <c r="L19" s="152">
        <f>PLANTILLA!AB20</f>
        <v>3</v>
      </c>
      <c r="M19" s="152">
        <f>PLANTILLA!AC20</f>
        <v>9</v>
      </c>
      <c r="N19" s="152">
        <f>PLANTILLA!AD20</f>
        <v>1</v>
      </c>
      <c r="O19" s="426">
        <f t="shared" si="0"/>
        <v>1.75</v>
      </c>
      <c r="P19" s="426">
        <f t="shared" ca="1" si="1"/>
        <v>8.87529915087954</v>
      </c>
      <c r="Q19" s="426">
        <f t="shared" si="2"/>
        <v>0.48</v>
      </c>
      <c r="R19" s="426">
        <f t="shared" si="3"/>
        <v>0.22999999999999998</v>
      </c>
      <c r="S19" s="426">
        <f t="shared" ca="1" si="4"/>
        <v>1.5128797299733301</v>
      </c>
      <c r="T19" s="233">
        <f t="shared" ca="1" si="5"/>
        <v>1.7692154564334102</v>
      </c>
      <c r="U19" s="233">
        <f t="shared" ca="1" si="6"/>
        <v>2.7005752053327976</v>
      </c>
      <c r="V19" s="233">
        <f t="shared" ca="1" si="7"/>
        <v>1.7692154564334102</v>
      </c>
      <c r="W19" s="233">
        <f t="shared" ca="1" si="8"/>
        <v>2.8100517474451769</v>
      </c>
      <c r="X19" s="233">
        <f t="shared" ca="1" si="9"/>
        <v>5.4458367198549942</v>
      </c>
      <c r="Y19" s="233">
        <f t="shared" ca="1" si="10"/>
        <v>1.4050258737225885</v>
      </c>
      <c r="Z19" s="233">
        <f t="shared" ca="1" si="11"/>
        <v>1.5420424726588218</v>
      </c>
      <c r="AA19" s="233">
        <f t="shared" ca="1" si="12"/>
        <v>2.058526280105188</v>
      </c>
      <c r="AB19" s="233">
        <f t="shared" ca="1" si="13"/>
        <v>3.9373399484551608</v>
      </c>
      <c r="AC19" s="233">
        <f t="shared" ca="1" si="14"/>
        <v>1.029263140052594</v>
      </c>
      <c r="AD19" s="233">
        <f t="shared" ca="1" si="15"/>
        <v>2.4944804704775061</v>
      </c>
      <c r="AE19" s="596">
        <f t="shared" ca="1" si="16"/>
        <v>5.0101697822665949</v>
      </c>
      <c r="AF19" s="233">
        <f t="shared" ca="1" si="17"/>
        <v>2.2545764020199677</v>
      </c>
      <c r="AG19" s="233">
        <f t="shared" ca="1" si="18"/>
        <v>1.0820213988824507</v>
      </c>
      <c r="AH19" s="596">
        <f t="shared" ca="1" si="19"/>
        <v>1.4381519912747367</v>
      </c>
      <c r="AI19" s="233">
        <f t="shared" ca="1" si="20"/>
        <v>4.1061608867706658</v>
      </c>
      <c r="AJ19" s="233">
        <f t="shared" ca="1" si="21"/>
        <v>3.8556523976573356</v>
      </c>
      <c r="AK19" s="233">
        <f t="shared" ca="1" si="22"/>
        <v>0.24145473221578409</v>
      </c>
      <c r="AL19" s="233">
        <f t="shared" ca="1" si="23"/>
        <v>0.63240097531823825</v>
      </c>
      <c r="AM19" s="233">
        <f t="shared" ca="1" si="24"/>
        <v>1.4703759143608486</v>
      </c>
      <c r="AN19" s="233">
        <f t="shared" ca="1" si="25"/>
        <v>3.2348270115938664</v>
      </c>
      <c r="AO19" s="233">
        <f t="shared" ca="1" si="26"/>
        <v>0.73518795718042429</v>
      </c>
      <c r="AP19" s="233">
        <f t="shared" ca="1" si="27"/>
        <v>6.1163365302097805</v>
      </c>
      <c r="AQ19" s="233">
        <f t="shared" ca="1" si="28"/>
        <v>0.44795877358114933</v>
      </c>
      <c r="AR19" s="233">
        <f t="shared" ca="1" si="29"/>
        <v>2.0476301589175137</v>
      </c>
      <c r="AS19" s="233">
        <f t="shared" ca="1" si="30"/>
        <v>0.22397938679057466</v>
      </c>
      <c r="AT19" s="233">
        <f t="shared" ca="1" si="31"/>
        <v>1.029263140052594</v>
      </c>
      <c r="AU19" s="233">
        <f t="shared" ca="1" si="32"/>
        <v>2.1783346879419976</v>
      </c>
      <c r="AV19" s="233">
        <f t="shared" ca="1" si="33"/>
        <v>0.514631570026297</v>
      </c>
      <c r="AW19" s="233">
        <f t="shared" ca="1" si="34"/>
        <v>6.4791700531883274</v>
      </c>
      <c r="AX19" s="233">
        <f t="shared" ca="1" si="35"/>
        <v>0.87179669012331362</v>
      </c>
      <c r="AY19" s="233">
        <f t="shared" ca="1" si="36"/>
        <v>3.1586560326401023</v>
      </c>
      <c r="AZ19" s="233">
        <f t="shared" ca="1" si="37"/>
        <v>0.43589834506165681</v>
      </c>
      <c r="BA19" s="233">
        <f t="shared" ca="1" si="38"/>
        <v>1.5847384854778033</v>
      </c>
      <c r="BB19" s="233">
        <f t="shared" ca="1" si="39"/>
        <v>1.8951511785095378</v>
      </c>
      <c r="BC19" s="233">
        <f t="shared" ca="1" si="40"/>
        <v>5.7081488168589161</v>
      </c>
      <c r="BD19" s="233">
        <f t="shared" ca="1" si="41"/>
        <v>2.48934884395109</v>
      </c>
      <c r="BE19" s="233">
        <f t="shared" ca="1" si="42"/>
        <v>0.83044664948505365</v>
      </c>
      <c r="BF19" s="233">
        <f t="shared" ca="1" si="43"/>
        <v>2.6412308091296719</v>
      </c>
      <c r="BG19" s="233">
        <f t="shared" ca="1" si="44"/>
        <v>1.4377008940417186</v>
      </c>
      <c r="BH19" s="233">
        <f t="shared" ca="1" si="45"/>
        <v>2.4685637902647528</v>
      </c>
      <c r="BI19" s="233">
        <f t="shared" ca="1" si="46"/>
        <v>2.3386612931532653</v>
      </c>
      <c r="BJ19" s="233">
        <f t="shared" ca="1" si="47"/>
        <v>0.17918350943245973</v>
      </c>
      <c r="BK19" s="233">
        <f t="shared" ca="1" si="48"/>
        <v>0.98025060957389887</v>
      </c>
      <c r="BL19" s="233">
        <f t="shared" ca="1" si="49"/>
        <v>0.37031689695013964</v>
      </c>
      <c r="BM19" s="233">
        <f t="shared" ca="1" si="50"/>
        <v>1.9761468662224397</v>
      </c>
      <c r="BN19" s="233">
        <f t="shared" ca="1" si="51"/>
        <v>3.431346021733523</v>
      </c>
      <c r="BO19" s="233">
        <f t="shared" ca="1" si="52"/>
        <v>0.46518795718042433</v>
      </c>
      <c r="BP19" s="233">
        <f t="shared" ca="1" si="53"/>
        <v>1.5466176284388182</v>
      </c>
      <c r="BQ19" s="233">
        <f t="shared" ca="1" si="54"/>
        <v>1.3287841596446186</v>
      </c>
      <c r="BR19" s="233">
        <f t="shared" ca="1" si="55"/>
        <v>2.948022374200689</v>
      </c>
      <c r="BS19" s="233">
        <f t="shared" ca="1" si="56"/>
        <v>2.953987085599334</v>
      </c>
      <c r="BT19" s="233">
        <f t="shared" ca="1" si="57"/>
        <v>0.41694624310245432</v>
      </c>
      <c r="BU19" s="233">
        <f t="shared" ca="1" si="58"/>
        <v>1.5466176284388182</v>
      </c>
      <c r="BV19" s="233">
        <f t="shared" ca="1" si="59"/>
        <v>1.3287841596446186</v>
      </c>
      <c r="BW19" s="233">
        <f t="shared" ca="1" si="60"/>
        <v>4.0883563035618344</v>
      </c>
      <c r="BX19" s="233">
        <f t="shared" ca="1" si="61"/>
        <v>2.3820238642702201</v>
      </c>
      <c r="BY19" s="233">
        <f t="shared" ca="1" si="62"/>
        <v>0.50998383453853913</v>
      </c>
      <c r="BZ19" s="233">
        <f t="shared" ca="1" si="63"/>
        <v>2.6305430415944611</v>
      </c>
      <c r="CA19" s="233">
        <f t="shared" ca="1" si="64"/>
        <v>2.4132809310444525</v>
      </c>
      <c r="CB19" s="233">
        <f t="shared" ca="1" si="65"/>
        <v>7.3780121465567241</v>
      </c>
      <c r="CC19" s="233">
        <f t="shared" ca="1" si="66"/>
        <v>2.4132809310444525</v>
      </c>
      <c r="CD19" s="233">
        <f t="shared" ca="1" si="67"/>
        <v>3.7183331977431759</v>
      </c>
      <c r="CE19" s="233">
        <f t="shared" ca="1" si="68"/>
        <v>10.717350469481488</v>
      </c>
      <c r="CF19" s="233">
        <f t="shared" ca="1" si="69"/>
        <v>3.7183331977431759</v>
      </c>
      <c r="CG19" s="233">
        <f t="shared" ca="1" si="70"/>
        <v>1.6197925132970818</v>
      </c>
    </row>
    <row r="20" spans="1:85" x14ac:dyDescent="0.25">
      <c r="A20" t="str">
        <f>PLANTILLA!D21</f>
        <v>N. Janbu</v>
      </c>
      <c r="B20" s="589">
        <f>PLANTILLA!E21</f>
        <v>18</v>
      </c>
      <c r="C20" s="298">
        <f ca="1">PLANTILLA!F21</f>
        <v>64</v>
      </c>
      <c r="D20" s="589" t="str">
        <f>PLANTILLA!G21</f>
        <v>RAP</v>
      </c>
      <c r="E20" s="258">
        <f>PLANTILLA!O21</f>
        <v>43624</v>
      </c>
      <c r="F20" s="425">
        <f ca="1">PLANTILLA!P21</f>
        <v>0.10547337971725297</v>
      </c>
      <c r="G20" s="426">
        <f>PLANTILLA!I21</f>
        <v>0.5</v>
      </c>
      <c r="H20" s="152">
        <f>PLANTILLA!X21</f>
        <v>0</v>
      </c>
      <c r="I20" s="152">
        <f>PLANTILLA!Y21</f>
        <v>3</v>
      </c>
      <c r="J20" s="152">
        <f>PLANTILLA!Z21</f>
        <v>7.0285714285714285</v>
      </c>
      <c r="K20" s="152">
        <f>PLANTILLA!AA21</f>
        <v>1</v>
      </c>
      <c r="L20" s="152">
        <f>PLANTILLA!AB21</f>
        <v>1</v>
      </c>
      <c r="M20" s="152">
        <f>PLANTILLA!AC21</f>
        <v>8</v>
      </c>
      <c r="N20" s="152">
        <f>PLANTILLA!AD21</f>
        <v>3</v>
      </c>
      <c r="O20" s="426">
        <f t="shared" si="0"/>
        <v>1</v>
      </c>
      <c r="P20" s="426">
        <f t="shared" ca="1" si="1"/>
        <v>6.6760611152852647</v>
      </c>
      <c r="Q20" s="426">
        <f t="shared" si="2"/>
        <v>0.49000000000000005</v>
      </c>
      <c r="R20" s="426">
        <f t="shared" si="3"/>
        <v>0.21000000000000002</v>
      </c>
      <c r="S20" s="426">
        <f t="shared" ca="1" si="4"/>
        <v>2.7711430622836137</v>
      </c>
      <c r="T20" s="233">
        <f t="shared" ca="1" si="5"/>
        <v>0.56967934554028787</v>
      </c>
      <c r="U20" s="233">
        <f t="shared" ca="1" si="6"/>
        <v>0.89299316734537393</v>
      </c>
      <c r="V20" s="233">
        <f t="shared" ca="1" si="7"/>
        <v>0.56967934554028787</v>
      </c>
      <c r="W20" s="233">
        <f t="shared" ca="1" si="8"/>
        <v>1.3953156269172837</v>
      </c>
      <c r="X20" s="233">
        <f t="shared" ca="1" si="9"/>
        <v>2.7041000521652783</v>
      </c>
      <c r="Y20" s="233">
        <f t="shared" ca="1" si="10"/>
        <v>0.69765781345864186</v>
      </c>
      <c r="Z20" s="233">
        <f t="shared" ca="1" si="11"/>
        <v>1.602375812415336</v>
      </c>
      <c r="AA20" s="233">
        <f t="shared" ca="1" si="12"/>
        <v>1.0221498197184753</v>
      </c>
      <c r="AB20" s="233">
        <f t="shared" ca="1" si="13"/>
        <v>1.9550643377154961</v>
      </c>
      <c r="AC20" s="233">
        <f t="shared" ca="1" si="14"/>
        <v>0.51107490985923765</v>
      </c>
      <c r="AD20" s="233">
        <f t="shared" ca="1" si="15"/>
        <v>2.592078520083632</v>
      </c>
      <c r="AE20" s="596">
        <f t="shared" ca="1" si="16"/>
        <v>2.4877720479920562</v>
      </c>
      <c r="AF20" s="233">
        <f t="shared" ca="1" si="17"/>
        <v>1.1194974215964251</v>
      </c>
      <c r="AG20" s="233">
        <f t="shared" ca="1" si="18"/>
        <v>1.12435613728303</v>
      </c>
      <c r="AH20" s="596">
        <f t="shared" ca="1" si="19"/>
        <v>0.41401083067318345</v>
      </c>
      <c r="AI20" s="233">
        <f t="shared" ca="1" si="20"/>
        <v>2.0388914393326196</v>
      </c>
      <c r="AJ20" s="233">
        <f t="shared" ca="1" si="21"/>
        <v>1.9145028369330168</v>
      </c>
      <c r="AK20" s="233">
        <f t="shared" ca="1" si="22"/>
        <v>0.4515847087116015</v>
      </c>
      <c r="AL20" s="233">
        <f t="shared" ca="1" si="23"/>
        <v>0.20278081502360007</v>
      </c>
      <c r="AM20" s="233">
        <f t="shared" ca="1" si="24"/>
        <v>0.73010701408462519</v>
      </c>
      <c r="AN20" s="233">
        <f t="shared" ca="1" si="25"/>
        <v>1.6062354309861753</v>
      </c>
      <c r="AO20" s="233">
        <f t="shared" ca="1" si="26"/>
        <v>0.3650535070423126</v>
      </c>
      <c r="AP20" s="233">
        <f t="shared" ca="1" si="27"/>
        <v>6.35564187781545</v>
      </c>
      <c r="AQ20" s="233">
        <f t="shared" ca="1" si="28"/>
        <v>9.1533006781486154E-2</v>
      </c>
      <c r="AR20" s="233">
        <f t="shared" ca="1" si="29"/>
        <v>1.4173013152844263</v>
      </c>
      <c r="AS20" s="233">
        <f t="shared" ca="1" si="30"/>
        <v>4.5766503390743077E-2</v>
      </c>
      <c r="AT20" s="233">
        <f t="shared" ca="1" si="31"/>
        <v>0.51107490985923765</v>
      </c>
      <c r="AU20" s="233">
        <f t="shared" ca="1" si="32"/>
        <v>1.0816400208661114</v>
      </c>
      <c r="AV20" s="233">
        <f t="shared" ca="1" si="33"/>
        <v>0.25553745492961882</v>
      </c>
      <c r="AW20" s="233">
        <f t="shared" ca="1" si="34"/>
        <v>6.7326714807367063</v>
      </c>
      <c r="AX20" s="233">
        <f t="shared" ca="1" si="35"/>
        <v>0.17813731319781534</v>
      </c>
      <c r="AY20" s="233">
        <f t="shared" ca="1" si="36"/>
        <v>1.8579591287430681</v>
      </c>
      <c r="AZ20" s="233">
        <f t="shared" ca="1" si="37"/>
        <v>8.906865659890767E-2</v>
      </c>
      <c r="BA20" s="233">
        <f t="shared" ca="1" si="38"/>
        <v>0.78689311518009597</v>
      </c>
      <c r="BB20" s="233">
        <f t="shared" ca="1" si="39"/>
        <v>0.94102681815351674</v>
      </c>
      <c r="BC20" s="233">
        <f t="shared" ca="1" si="40"/>
        <v>5.9314835745290386</v>
      </c>
      <c r="BD20" s="233">
        <f t="shared" ca="1" si="41"/>
        <v>0.62594494637493214</v>
      </c>
      <c r="BE20" s="233">
        <f t="shared" ca="1" si="42"/>
        <v>0.169688112571832</v>
      </c>
      <c r="BF20" s="233">
        <f t="shared" ca="1" si="43"/>
        <v>1.31148852530016</v>
      </c>
      <c r="BG20" s="233">
        <f t="shared" ca="1" si="44"/>
        <v>0.71388241377163353</v>
      </c>
      <c r="BH20" s="233">
        <f t="shared" ca="1" si="45"/>
        <v>2.565147834160685</v>
      </c>
      <c r="BI20" s="233">
        <f t="shared" ca="1" si="46"/>
        <v>0.61538344559245306</v>
      </c>
      <c r="BJ20" s="233">
        <f t="shared" ca="1" si="47"/>
        <v>3.661320271259446E-2</v>
      </c>
      <c r="BK20" s="233">
        <f t="shared" ca="1" si="48"/>
        <v>0.48673800938975009</v>
      </c>
      <c r="BL20" s="233">
        <f t="shared" ca="1" si="49"/>
        <v>0.18387880354723893</v>
      </c>
      <c r="BM20" s="233">
        <f t="shared" ca="1" si="50"/>
        <v>2.0534648016246955</v>
      </c>
      <c r="BN20" s="233">
        <f t="shared" ca="1" si="51"/>
        <v>0.90547266708454754</v>
      </c>
      <c r="BO20" s="233">
        <f t="shared" ca="1" si="52"/>
        <v>9.5053507042312538E-2</v>
      </c>
      <c r="BP20" s="233">
        <f t="shared" ca="1" si="53"/>
        <v>0.76796441481493893</v>
      </c>
      <c r="BQ20" s="233">
        <f t="shared" ca="1" si="54"/>
        <v>0.6598004127283279</v>
      </c>
      <c r="BR20" s="233">
        <f t="shared" ca="1" si="55"/>
        <v>3.0633655237352015</v>
      </c>
      <c r="BS20" s="233">
        <f t="shared" ca="1" si="56"/>
        <v>0.78014285779912806</v>
      </c>
      <c r="BT20" s="233">
        <f t="shared" ca="1" si="57"/>
        <v>8.5196106311998643E-2</v>
      </c>
      <c r="BU20" s="233">
        <f t="shared" ca="1" si="58"/>
        <v>0.76796441481493893</v>
      </c>
      <c r="BV20" s="233">
        <f t="shared" ca="1" si="59"/>
        <v>0.6598004127283279</v>
      </c>
      <c r="BW20" s="233">
        <f t="shared" ca="1" si="60"/>
        <v>4.2483157043448614</v>
      </c>
      <c r="BX20" s="233">
        <f t="shared" ca="1" si="61"/>
        <v>0.6301695466879238</v>
      </c>
      <c r="BY20" s="233">
        <f t="shared" ca="1" si="62"/>
        <v>0.10420680772046115</v>
      </c>
      <c r="BZ20" s="233">
        <f t="shared" ca="1" si="63"/>
        <v>2.7334646211791029</v>
      </c>
      <c r="CA20" s="233">
        <f t="shared" ca="1" si="64"/>
        <v>1.2558361271781098</v>
      </c>
      <c r="CB20" s="233">
        <f t="shared" ca="1" si="65"/>
        <v>4.8738166587381029</v>
      </c>
      <c r="CC20" s="233">
        <f t="shared" ca="1" si="66"/>
        <v>1.2558361271781098</v>
      </c>
      <c r="CD20" s="233">
        <f t="shared" ca="1" si="67"/>
        <v>2.491231253772483</v>
      </c>
      <c r="CE20" s="233">
        <f t="shared" ca="1" si="68"/>
        <v>7.9639129714142651</v>
      </c>
      <c r="CF20" s="233">
        <f t="shared" ca="1" si="69"/>
        <v>2.491231253772483</v>
      </c>
      <c r="CG20" s="233">
        <f t="shared" ca="1" si="70"/>
        <v>1.6831678701841766</v>
      </c>
    </row>
    <row r="21" spans="1:85" x14ac:dyDescent="0.25">
      <c r="A21" t="str">
        <f>PLANTILLA!D22</f>
        <v>P. Tuderek</v>
      </c>
      <c r="B21" s="589">
        <f>PLANTILLA!E22</f>
        <v>18</v>
      </c>
      <c r="C21" s="298">
        <f ca="1">PLANTILLA!F22</f>
        <v>65</v>
      </c>
      <c r="D21" s="589" t="str">
        <f>PLANTILLA!G22</f>
        <v>CAB</v>
      </c>
      <c r="E21" s="258">
        <f>PLANTILLA!O22</f>
        <v>43626</v>
      </c>
      <c r="F21" s="425">
        <f ca="1">PLANTILLA!P22</f>
        <v>9.1436681135175488E-2</v>
      </c>
      <c r="G21" s="426">
        <f>PLANTILLA!I22</f>
        <v>0.6</v>
      </c>
      <c r="H21" s="152">
        <f>PLANTILLA!X22</f>
        <v>0</v>
      </c>
      <c r="I21" s="152">
        <f>PLANTILLA!Y22</f>
        <v>6</v>
      </c>
      <c r="J21" s="152">
        <f>PLANTILLA!Z22</f>
        <v>6.0333333333333332</v>
      </c>
      <c r="K21" s="152">
        <f>PLANTILLA!AA22</f>
        <v>2</v>
      </c>
      <c r="L21" s="152">
        <f>PLANTILLA!AB22</f>
        <v>3</v>
      </c>
      <c r="M21" s="152">
        <f>PLANTILLA!AC22</f>
        <v>6</v>
      </c>
      <c r="N21" s="152">
        <f>PLANTILLA!AD22</f>
        <v>8</v>
      </c>
      <c r="O21" s="426">
        <f t="shared" si="0"/>
        <v>1.875</v>
      </c>
      <c r="P21" s="426">
        <f t="shared" ca="1" si="1"/>
        <v>6.3083607497725414</v>
      </c>
      <c r="Q21" s="426">
        <f t="shared" si="2"/>
        <v>0.54</v>
      </c>
      <c r="R21" s="426">
        <f t="shared" si="3"/>
        <v>0.48000000000000009</v>
      </c>
      <c r="S21" s="426">
        <f t="shared" ca="1" si="4"/>
        <v>7.858505017140283</v>
      </c>
      <c r="T21" s="233">
        <f t="shared" ca="1" si="5"/>
        <v>1.4775922780775697</v>
      </c>
      <c r="U21" s="233">
        <f t="shared" ca="1" si="6"/>
        <v>2.2861691076725568</v>
      </c>
      <c r="V21" s="233">
        <f t="shared" ca="1" si="7"/>
        <v>1.4775922780775697</v>
      </c>
      <c r="W21" s="233">
        <f t="shared" ca="1" si="8"/>
        <v>2.9905493877296974</v>
      </c>
      <c r="X21" s="233">
        <f t="shared" ca="1" si="9"/>
        <v>5.7956383483133669</v>
      </c>
      <c r="Y21" s="233">
        <f t="shared" ca="1" si="10"/>
        <v>1.4952746938648487</v>
      </c>
      <c r="Z21" s="233">
        <f t="shared" ca="1" si="11"/>
        <v>1.3872952602319146</v>
      </c>
      <c r="AA21" s="233">
        <f t="shared" ca="1" si="12"/>
        <v>2.1907512956624529</v>
      </c>
      <c r="AB21" s="233">
        <f t="shared" ca="1" si="13"/>
        <v>4.1902465258305641</v>
      </c>
      <c r="AC21" s="233">
        <f t="shared" ca="1" si="14"/>
        <v>1.0953756478312264</v>
      </c>
      <c r="AD21" s="233">
        <f t="shared" ca="1" si="15"/>
        <v>2.2441540974339795</v>
      </c>
      <c r="AE21" s="596">
        <f t="shared" ca="1" si="16"/>
        <v>5.3319872804482982</v>
      </c>
      <c r="AF21" s="233">
        <f t="shared" ca="1" si="17"/>
        <v>2.399394276201734</v>
      </c>
      <c r="AG21" s="233">
        <f t="shared" ca="1" si="18"/>
        <v>0.97343827083499901</v>
      </c>
      <c r="AH21" s="596">
        <f t="shared" ca="1" si="19"/>
        <v>1.0558353488082597</v>
      </c>
      <c r="AI21" s="233">
        <f t="shared" ca="1" si="20"/>
        <v>4.3699113146282791</v>
      </c>
      <c r="AJ21" s="233">
        <f t="shared" ca="1" si="21"/>
        <v>4.103311950605864</v>
      </c>
      <c r="AK21" s="233">
        <f t="shared" ca="1" si="22"/>
        <v>1.3018716041683323</v>
      </c>
      <c r="AL21" s="233">
        <f t="shared" ca="1" si="23"/>
        <v>0.48114384431424961</v>
      </c>
      <c r="AM21" s="233">
        <f t="shared" ca="1" si="24"/>
        <v>1.5648223540446091</v>
      </c>
      <c r="AN21" s="233">
        <f t="shared" ca="1" si="25"/>
        <v>3.4426091788981399</v>
      </c>
      <c r="AO21" s="233">
        <f t="shared" ca="1" si="26"/>
        <v>0.78241117702230456</v>
      </c>
      <c r="AP21" s="233">
        <f t="shared" ca="1" si="27"/>
        <v>5.5025492674744845</v>
      </c>
      <c r="AQ21" s="233">
        <f t="shared" ca="1" si="28"/>
        <v>0.36343298528073775</v>
      </c>
      <c r="AR21" s="233">
        <f t="shared" ca="1" si="29"/>
        <v>1.3381220360558164</v>
      </c>
      <c r="AS21" s="233">
        <f t="shared" ca="1" si="30"/>
        <v>0.18171649264036888</v>
      </c>
      <c r="AT21" s="233">
        <f t="shared" ca="1" si="31"/>
        <v>1.0953756478312264</v>
      </c>
      <c r="AU21" s="233">
        <f t="shared" ca="1" si="32"/>
        <v>2.3182553393253467</v>
      </c>
      <c r="AV21" s="233">
        <f t="shared" ca="1" si="33"/>
        <v>0.54768782391561321</v>
      </c>
      <c r="AW21" s="233">
        <f t="shared" ca="1" si="34"/>
        <v>5.8289716816467001</v>
      </c>
      <c r="AX21" s="233">
        <f t="shared" ca="1" si="35"/>
        <v>0.70729650212328199</v>
      </c>
      <c r="AY21" s="233">
        <f t="shared" ca="1" si="36"/>
        <v>2.1703967299206655</v>
      </c>
      <c r="AZ21" s="233">
        <f t="shared" ca="1" si="37"/>
        <v>0.35364825106164099</v>
      </c>
      <c r="BA21" s="233">
        <f t="shared" ca="1" si="38"/>
        <v>1.6865307593591896</v>
      </c>
      <c r="BB21" s="233">
        <f t="shared" ca="1" si="39"/>
        <v>2.0168821452130516</v>
      </c>
      <c r="BC21" s="233">
        <f t="shared" ca="1" si="40"/>
        <v>5.135324051530743</v>
      </c>
      <c r="BD21" s="233">
        <f t="shared" ca="1" si="41"/>
        <v>1.9113224916505835</v>
      </c>
      <c r="BE21" s="233">
        <f t="shared" ca="1" si="42"/>
        <v>0.67374884194352147</v>
      </c>
      <c r="BF21" s="233">
        <f t="shared" ca="1" si="43"/>
        <v>2.8108845989319828</v>
      </c>
      <c r="BG21" s="233">
        <f t="shared" ca="1" si="44"/>
        <v>1.530048523954729</v>
      </c>
      <c r="BH21" s="233">
        <f t="shared" ca="1" si="45"/>
        <v>2.220838210707393</v>
      </c>
      <c r="BI21" s="233">
        <f t="shared" ca="1" si="46"/>
        <v>1.7703879164258831</v>
      </c>
      <c r="BJ21" s="233">
        <f t="shared" ca="1" si="47"/>
        <v>0.1453731941122951</v>
      </c>
      <c r="BK21" s="233">
        <f t="shared" ca="1" si="48"/>
        <v>1.0432149026964059</v>
      </c>
      <c r="BL21" s="233">
        <f t="shared" ca="1" si="49"/>
        <v>0.39410340768530899</v>
      </c>
      <c r="BM21" s="233">
        <f t="shared" ca="1" si="50"/>
        <v>1.7778363629022436</v>
      </c>
      <c r="BN21" s="233">
        <f t="shared" ca="1" si="51"/>
        <v>2.5951909159309903</v>
      </c>
      <c r="BO21" s="233">
        <f t="shared" ca="1" si="52"/>
        <v>0.37741117702230459</v>
      </c>
      <c r="BP21" s="233">
        <f t="shared" ca="1" si="53"/>
        <v>1.645961290920996</v>
      </c>
      <c r="BQ21" s="233">
        <f t="shared" ca="1" si="54"/>
        <v>1.4141357569884614</v>
      </c>
      <c r="BR21" s="233">
        <f t="shared" ca="1" si="55"/>
        <v>2.6521821151492486</v>
      </c>
      <c r="BS21" s="233">
        <f t="shared" ca="1" si="56"/>
        <v>2.2335672899312109</v>
      </c>
      <c r="BT21" s="233">
        <f t="shared" ca="1" si="57"/>
        <v>0.33827224014591745</v>
      </c>
      <c r="BU21" s="233">
        <f t="shared" ca="1" si="58"/>
        <v>1.645961290920996</v>
      </c>
      <c r="BV21" s="233">
        <f t="shared" ca="1" si="59"/>
        <v>1.4141357569884614</v>
      </c>
      <c r="BW21" s="233">
        <f t="shared" ca="1" si="60"/>
        <v>3.6780811311190678</v>
      </c>
      <c r="BX21" s="233">
        <f t="shared" ca="1" si="61"/>
        <v>1.8000963217404635</v>
      </c>
      <c r="BY21" s="233">
        <f t="shared" ca="1" si="62"/>
        <v>0.41375447555037836</v>
      </c>
      <c r="BZ21" s="233">
        <f t="shared" ca="1" si="63"/>
        <v>2.3665625027485606</v>
      </c>
      <c r="CA21" s="233">
        <f t="shared" ca="1" si="64"/>
        <v>1.6935275794712643</v>
      </c>
      <c r="CB21" s="233">
        <f t="shared" ca="1" si="65"/>
        <v>4.8968887802008512</v>
      </c>
      <c r="CC21" s="233">
        <f t="shared" ca="1" si="66"/>
        <v>1.6935275794712643</v>
      </c>
      <c r="CD21" s="233">
        <f t="shared" ca="1" si="67"/>
        <v>2.536909153904082</v>
      </c>
      <c r="CE21" s="233">
        <f t="shared" ca="1" si="68"/>
        <v>6.8272288988409997</v>
      </c>
      <c r="CF21" s="233">
        <f t="shared" ca="1" si="69"/>
        <v>2.536909153904082</v>
      </c>
      <c r="CG21" s="233">
        <f t="shared" ca="1" si="70"/>
        <v>1.457242920411675</v>
      </c>
    </row>
    <row r="22" spans="1:85" x14ac:dyDescent="0.25">
      <c r="A22" t="str">
        <f>PLANTILLA!D23</f>
        <v>R. Scheidecker</v>
      </c>
      <c r="B22" s="589">
        <f>PLANTILLA!E23</f>
        <v>18</v>
      </c>
      <c r="C22" s="298">
        <f ca="1">PLANTILLA!F23</f>
        <v>97</v>
      </c>
      <c r="D22" s="589" t="str">
        <f>PLANTILLA!G23</f>
        <v>RAP</v>
      </c>
      <c r="E22" s="258">
        <f>PLANTILLA!O23</f>
        <v>43626</v>
      </c>
      <c r="F22" s="425">
        <f ca="1">PLANTILLA!P23</f>
        <v>9.1436681135175488E-2</v>
      </c>
      <c r="G22" s="426">
        <f>PLANTILLA!I23</f>
        <v>0.5</v>
      </c>
      <c r="H22" s="152">
        <f>PLANTILLA!X23</f>
        <v>0</v>
      </c>
      <c r="I22" s="152">
        <f>PLANTILLA!Y23</f>
        <v>4</v>
      </c>
      <c r="J22" s="152">
        <f>PLANTILLA!Z23</f>
        <v>5.1428571428571432</v>
      </c>
      <c r="K22" s="152">
        <f>PLANTILLA!AA23</f>
        <v>3</v>
      </c>
      <c r="L22" s="152">
        <f>PLANTILLA!AB23</f>
        <v>4</v>
      </c>
      <c r="M22" s="152">
        <f>PLANTILLA!AC23</f>
        <v>9</v>
      </c>
      <c r="N22" s="152">
        <f>PLANTILLA!AD23</f>
        <v>8</v>
      </c>
      <c r="O22" s="426">
        <f t="shared" si="0"/>
        <v>1.875</v>
      </c>
      <c r="P22" s="426">
        <f t="shared" ca="1" si="1"/>
        <v>11.055040011418873</v>
      </c>
      <c r="Q22" s="426">
        <f t="shared" si="2"/>
        <v>0.69000000000000006</v>
      </c>
      <c r="R22" s="426">
        <f t="shared" si="3"/>
        <v>0.4</v>
      </c>
      <c r="S22" s="426">
        <f t="shared" ca="1" si="4"/>
        <v>7.7529300224101165</v>
      </c>
      <c r="T22" s="233">
        <f t="shared" ca="1" si="5"/>
        <v>0.83342530767813416</v>
      </c>
      <c r="U22" s="233">
        <f t="shared" ca="1" si="6"/>
        <v>1.299871789475912</v>
      </c>
      <c r="V22" s="233">
        <f t="shared" ca="1" si="7"/>
        <v>0.83342530767813416</v>
      </c>
      <c r="W22" s="233">
        <f t="shared" ca="1" si="8"/>
        <v>1.9040726904489316</v>
      </c>
      <c r="X22" s="233">
        <f t="shared" ca="1" si="9"/>
        <v>3.6900633535832008</v>
      </c>
      <c r="Y22" s="233">
        <f t="shared" ca="1" si="10"/>
        <v>0.95203634522446579</v>
      </c>
      <c r="Z22" s="233">
        <f t="shared" ca="1" si="11"/>
        <v>1.1502350781528017</v>
      </c>
      <c r="AA22" s="233">
        <f t="shared" ca="1" si="12"/>
        <v>1.3948439476544499</v>
      </c>
      <c r="AB22" s="233">
        <f t="shared" ca="1" si="13"/>
        <v>2.6679158046406539</v>
      </c>
      <c r="AC22" s="233">
        <f t="shared" ca="1" si="14"/>
        <v>0.69742197382722493</v>
      </c>
      <c r="AD22" s="233">
        <f t="shared" ca="1" si="15"/>
        <v>1.8606743911295323</v>
      </c>
      <c r="AE22" s="596">
        <f t="shared" ca="1" si="16"/>
        <v>3.3948582852965448</v>
      </c>
      <c r="AF22" s="233">
        <f t="shared" ca="1" si="17"/>
        <v>1.5276862283834451</v>
      </c>
      <c r="AG22" s="233">
        <f t="shared" ca="1" si="18"/>
        <v>0.80709772290553738</v>
      </c>
      <c r="AH22" s="596">
        <f t="shared" ca="1" si="19"/>
        <v>1.5817572519069221</v>
      </c>
      <c r="AI22" s="233">
        <f t="shared" ca="1" si="20"/>
        <v>2.7823077686017332</v>
      </c>
      <c r="AJ22" s="233">
        <f t="shared" ca="1" si="21"/>
        <v>2.612564854336906</v>
      </c>
      <c r="AK22" s="233">
        <f t="shared" ca="1" si="22"/>
        <v>1.2842405800483945</v>
      </c>
      <c r="AL22" s="233">
        <f t="shared" ca="1" si="23"/>
        <v>0.45073824583196176</v>
      </c>
      <c r="AM22" s="233">
        <f t="shared" ca="1" si="24"/>
        <v>0.99631710546746433</v>
      </c>
      <c r="AN22" s="233">
        <f t="shared" ca="1" si="25"/>
        <v>2.1918976320284211</v>
      </c>
      <c r="AO22" s="233">
        <f t="shared" ca="1" si="26"/>
        <v>0.49815855273373216</v>
      </c>
      <c r="AP22" s="233">
        <f t="shared" ca="1" si="27"/>
        <v>4.5622769486396839</v>
      </c>
      <c r="AQ22" s="233">
        <f t="shared" ca="1" si="28"/>
        <v>0.47970823596581613</v>
      </c>
      <c r="AR22" s="233">
        <f t="shared" ca="1" si="29"/>
        <v>1.9461885625998776</v>
      </c>
      <c r="AS22" s="233">
        <f t="shared" ca="1" si="30"/>
        <v>0.23985411798290807</v>
      </c>
      <c r="AT22" s="233">
        <f t="shared" ca="1" si="31"/>
        <v>0.69742197382722493</v>
      </c>
      <c r="AU22" s="233">
        <f t="shared" ca="1" si="32"/>
        <v>1.4760253414332805</v>
      </c>
      <c r="AV22" s="233">
        <f t="shared" ca="1" si="33"/>
        <v>0.34871098691361246</v>
      </c>
      <c r="AW22" s="233">
        <f t="shared" ca="1" si="34"/>
        <v>4.8329204964403436</v>
      </c>
      <c r="AX22" s="233">
        <f t="shared" ca="1" si="35"/>
        <v>0.93358602845654981</v>
      </c>
      <c r="AY22" s="233">
        <f t="shared" ca="1" si="36"/>
        <v>3.0832249078243437</v>
      </c>
      <c r="AZ22" s="233">
        <f t="shared" ca="1" si="37"/>
        <v>0.46679301422827491</v>
      </c>
      <c r="BA22" s="233">
        <f t="shared" ca="1" si="38"/>
        <v>1.0738084358927114</v>
      </c>
      <c r="BB22" s="233">
        <f t="shared" ca="1" si="39"/>
        <v>1.2841420470469538</v>
      </c>
      <c r="BC22" s="233">
        <f t="shared" ca="1" si="40"/>
        <v>4.2578029573639427</v>
      </c>
      <c r="BD22" s="233">
        <f t="shared" ca="1" si="41"/>
        <v>2.7064663213354656</v>
      </c>
      <c r="BE22" s="233">
        <f t="shared" ca="1" si="42"/>
        <v>0.88930526821355138</v>
      </c>
      <c r="BF22" s="233">
        <f t="shared" ca="1" si="43"/>
        <v>1.7896807264878523</v>
      </c>
      <c r="BG22" s="233">
        <f t="shared" ca="1" si="44"/>
        <v>0.97417672534596511</v>
      </c>
      <c r="BH22" s="233">
        <f t="shared" ca="1" si="45"/>
        <v>1.8413427091437709</v>
      </c>
      <c r="BI22" s="233">
        <f t="shared" ca="1" si="46"/>
        <v>2.5521153710317179</v>
      </c>
      <c r="BJ22" s="233">
        <f t="shared" ca="1" si="47"/>
        <v>0.19188329438632643</v>
      </c>
      <c r="BK22" s="233">
        <f t="shared" ca="1" si="48"/>
        <v>0.66421140364497611</v>
      </c>
      <c r="BL22" s="233">
        <f t="shared" ca="1" si="49"/>
        <v>0.25092430804365767</v>
      </c>
      <c r="BM22" s="233">
        <f t="shared" ca="1" si="50"/>
        <v>1.4740407514143048</v>
      </c>
      <c r="BN22" s="233">
        <f t="shared" ca="1" si="51"/>
        <v>3.7454214727079962</v>
      </c>
      <c r="BO22" s="233">
        <f t="shared" ca="1" si="52"/>
        <v>0.49815855273373216</v>
      </c>
      <c r="BP22" s="233">
        <f t="shared" ca="1" si="53"/>
        <v>1.0479779924176289</v>
      </c>
      <c r="BQ22" s="233">
        <f t="shared" ca="1" si="54"/>
        <v>0.90037545827430099</v>
      </c>
      <c r="BR22" s="233">
        <f t="shared" ca="1" si="55"/>
        <v>2.1989788258803564</v>
      </c>
      <c r="BS22" s="233">
        <f t="shared" ca="1" si="56"/>
        <v>3.2245901957701868</v>
      </c>
      <c r="BT22" s="233">
        <f t="shared" ca="1" si="57"/>
        <v>0.44649766578356731</v>
      </c>
      <c r="BU22" s="233">
        <f t="shared" ca="1" si="58"/>
        <v>1.0479779924176289</v>
      </c>
      <c r="BV22" s="233">
        <f t="shared" ca="1" si="59"/>
        <v>0.90037545827430099</v>
      </c>
      <c r="BW22" s="233">
        <f t="shared" ca="1" si="60"/>
        <v>3.049572833253857</v>
      </c>
      <c r="BX22" s="233">
        <f t="shared" ca="1" si="61"/>
        <v>2.6006067014569645</v>
      </c>
      <c r="BY22" s="233">
        <f t="shared" ca="1" si="62"/>
        <v>0.54612937633031367</v>
      </c>
      <c r="BZ22" s="233">
        <f t="shared" ca="1" si="63"/>
        <v>1.9621657215547796</v>
      </c>
      <c r="CA22" s="233">
        <f t="shared" ca="1" si="64"/>
        <v>2.4135230072168476</v>
      </c>
      <c r="CB22" s="233">
        <f t="shared" ca="1" si="65"/>
        <v>7.0700113361346837</v>
      </c>
      <c r="CC22" s="233">
        <f t="shared" ca="1" si="66"/>
        <v>2.4135230072168476</v>
      </c>
      <c r="CD22" s="233">
        <f t="shared" ca="1" si="67"/>
        <v>3.614135932187188</v>
      </c>
      <c r="CE22" s="233">
        <f t="shared" ca="1" si="68"/>
        <v>10.051696731055401</v>
      </c>
      <c r="CF22" s="233">
        <f t="shared" ca="1" si="69"/>
        <v>3.614135932187188</v>
      </c>
      <c r="CG22" s="233">
        <f t="shared" ca="1" si="70"/>
        <v>1.2082301241100859</v>
      </c>
    </row>
    <row r="23" spans="1:85" x14ac:dyDescent="0.25">
      <c r="A23" t="str">
        <f>PLANTILLA!D24</f>
        <v>K. Helms</v>
      </c>
      <c r="B23" s="589">
        <f>PLANTILLA!E24</f>
        <v>35</v>
      </c>
      <c r="C23" s="298">
        <f ca="1">PLANTILLA!F24</f>
        <v>28</v>
      </c>
      <c r="D23" s="589" t="str">
        <f>PLANTILLA!G24</f>
        <v>TEC</v>
      </c>
      <c r="E23" s="258">
        <v>36526</v>
      </c>
      <c r="F23" s="425">
        <f>PLANTILLA!P24</f>
        <v>1.5</v>
      </c>
      <c r="G23" s="426">
        <f>PLANTILLA!I24</f>
        <v>13.5</v>
      </c>
      <c r="H23" s="152">
        <f>PLANTILLA!X24</f>
        <v>0</v>
      </c>
      <c r="I23" s="152">
        <f>PLANTILLA!Y24</f>
        <v>7.2503030303030309</v>
      </c>
      <c r="J23" s="152">
        <f>PLANTILLA!Z24</f>
        <v>10.600000000000005</v>
      </c>
      <c r="K23" s="152">
        <f>PLANTILLA!AA24</f>
        <v>12.95</v>
      </c>
      <c r="L23" s="152">
        <f>PLANTILLA!AB24</f>
        <v>9.9499999999999993</v>
      </c>
      <c r="M23" s="152">
        <f>PLANTILLA!AC24</f>
        <v>3.95</v>
      </c>
      <c r="N23" s="152">
        <f>PLANTILLA!AD24</f>
        <v>18</v>
      </c>
      <c r="O23" s="426">
        <f t="shared" si="0"/>
        <v>3.7687878787878786</v>
      </c>
      <c r="P23" s="426">
        <f t="shared" si="1"/>
        <v>15.502716837831953</v>
      </c>
      <c r="Q23" s="426">
        <f t="shared" si="2"/>
        <v>0.73750000000000004</v>
      </c>
      <c r="R23" s="426">
        <f t="shared" si="3"/>
        <v>0.8300121212121212</v>
      </c>
      <c r="S23" s="426">
        <f t="shared" ca="1" si="4"/>
        <v>20.507111691326674</v>
      </c>
      <c r="T23" s="233">
        <f t="shared" si="5"/>
        <v>4.626292142891824</v>
      </c>
      <c r="U23" s="233">
        <f t="shared" si="6"/>
        <v>6.9635599813815254</v>
      </c>
      <c r="V23" s="233">
        <f t="shared" si="7"/>
        <v>4.626292142891824</v>
      </c>
      <c r="W23" s="233">
        <f t="shared" si="8"/>
        <v>5.2928259963609277</v>
      </c>
      <c r="X23" s="233">
        <f t="shared" si="9"/>
        <v>10.257414721629704</v>
      </c>
      <c r="Y23" s="233">
        <f t="shared" si="10"/>
        <v>2.6464129981804638</v>
      </c>
      <c r="Z23" s="233">
        <f t="shared" si="11"/>
        <v>3.2384925825357493</v>
      </c>
      <c r="AA23" s="233">
        <f t="shared" si="12"/>
        <v>3.8773027647760281</v>
      </c>
      <c r="AB23" s="233">
        <f t="shared" si="13"/>
        <v>7.4161108437382763</v>
      </c>
      <c r="AC23" s="233">
        <f t="shared" si="14"/>
        <v>1.938651382388014</v>
      </c>
      <c r="AD23" s="233">
        <f t="shared" si="15"/>
        <v>5.2387380011607716</v>
      </c>
      <c r="AE23" s="596">
        <f t="shared" si="16"/>
        <v>9.4368215438993275</v>
      </c>
      <c r="AF23" s="233">
        <f t="shared" si="17"/>
        <v>4.2465696947546974</v>
      </c>
      <c r="AG23" s="233">
        <f t="shared" si="18"/>
        <v>2.2723876524515556</v>
      </c>
      <c r="AH23" s="596">
        <f t="shared" si="19"/>
        <v>9.3827816745000838</v>
      </c>
      <c r="AI23" s="233">
        <f t="shared" si="20"/>
        <v>7.7340907001087968</v>
      </c>
      <c r="AJ23" s="233">
        <f t="shared" si="21"/>
        <v>7.2622496229138305</v>
      </c>
      <c r="AK23" s="233">
        <f t="shared" si="22"/>
        <v>3.5081876524515549</v>
      </c>
      <c r="AL23" s="233">
        <f t="shared" si="23"/>
        <v>1.9514590761929913</v>
      </c>
      <c r="AM23" s="233">
        <f t="shared" si="24"/>
        <v>2.7695019748400203</v>
      </c>
      <c r="AN23" s="233">
        <f t="shared" si="25"/>
        <v>6.0929043446480442</v>
      </c>
      <c r="AO23" s="233">
        <f t="shared" si="26"/>
        <v>1.3847509874200101</v>
      </c>
      <c r="AP23" s="233">
        <f t="shared" si="27"/>
        <v>12.845113436612385</v>
      </c>
      <c r="AQ23" s="233">
        <f t="shared" si="28"/>
        <v>1.6844245198724677</v>
      </c>
      <c r="AR23" s="233">
        <f t="shared" si="29"/>
        <v>2.7584337255587155</v>
      </c>
      <c r="AS23" s="233">
        <f t="shared" si="30"/>
        <v>0.84221225993623383</v>
      </c>
      <c r="AT23" s="233">
        <f t="shared" si="31"/>
        <v>1.938651382388014</v>
      </c>
      <c r="AU23" s="233">
        <f t="shared" si="32"/>
        <v>4.1029658886518821</v>
      </c>
      <c r="AV23" s="233">
        <f t="shared" si="33"/>
        <v>0.96932569119400702</v>
      </c>
      <c r="AW23" s="233">
        <f t="shared" si="34"/>
        <v>13.607111691326679</v>
      </c>
      <c r="AX23" s="233">
        <f t="shared" si="35"/>
        <v>3.2781492579056484</v>
      </c>
      <c r="AY23" s="233">
        <f t="shared" si="36"/>
        <v>5.8793685419209973</v>
      </c>
      <c r="AZ23" s="233">
        <f t="shared" si="37"/>
        <v>1.6390746289528242</v>
      </c>
      <c r="BA23" s="233">
        <f t="shared" si="38"/>
        <v>2.9849076839942437</v>
      </c>
      <c r="BB23" s="233">
        <f t="shared" si="39"/>
        <v>3.5695803231271368</v>
      </c>
      <c r="BC23" s="233">
        <f t="shared" si="40"/>
        <v>11.987865400058805</v>
      </c>
      <c r="BD23" s="233">
        <f t="shared" si="41"/>
        <v>13.240872293589412</v>
      </c>
      <c r="BE23" s="233">
        <f t="shared" si="42"/>
        <v>3.1226639176097284</v>
      </c>
      <c r="BF23" s="233">
        <f t="shared" si="43"/>
        <v>4.9748461399904063</v>
      </c>
      <c r="BG23" s="233">
        <f t="shared" si="44"/>
        <v>2.7079574865102423</v>
      </c>
      <c r="BH23" s="233">
        <f t="shared" si="45"/>
        <v>5.1843095543954645</v>
      </c>
      <c r="BI23" s="233">
        <f t="shared" si="46"/>
        <v>13.343515618219515</v>
      </c>
      <c r="BJ23" s="233">
        <f t="shared" si="47"/>
        <v>0.673769807948987</v>
      </c>
      <c r="BK23" s="233">
        <f t="shared" si="48"/>
        <v>1.8463346498933466</v>
      </c>
      <c r="BL23" s="233">
        <f t="shared" si="49"/>
        <v>0.6975042010708199</v>
      </c>
      <c r="BM23" s="233">
        <f t="shared" si="50"/>
        <v>4.1501690658546373</v>
      </c>
      <c r="BN23" s="233">
        <f t="shared" si="51"/>
        <v>19.662845635046104</v>
      </c>
      <c r="BO23" s="233">
        <f t="shared" si="52"/>
        <v>1.7492100783291011</v>
      </c>
      <c r="BP23" s="233">
        <f t="shared" si="53"/>
        <v>2.9131057809428356</v>
      </c>
      <c r="BQ23" s="233">
        <f t="shared" si="54"/>
        <v>2.5028091920776476</v>
      </c>
      <c r="BR23" s="233">
        <f t="shared" si="55"/>
        <v>6.191235819553639</v>
      </c>
      <c r="BS23" s="233">
        <f t="shared" si="56"/>
        <v>16.948479753989954</v>
      </c>
      <c r="BT23" s="233">
        <f t="shared" si="57"/>
        <v>1.5678105146505275</v>
      </c>
      <c r="BU23" s="233">
        <f t="shared" si="58"/>
        <v>2.9131057809428356</v>
      </c>
      <c r="BV23" s="233">
        <f t="shared" si="59"/>
        <v>2.5028091920776476</v>
      </c>
      <c r="BW23" s="233">
        <f t="shared" si="60"/>
        <v>8.5860874772271352</v>
      </c>
      <c r="BX23" s="233">
        <f t="shared" si="61"/>
        <v>13.702614963737371</v>
      </c>
      <c r="BY23" s="233">
        <f t="shared" si="62"/>
        <v>1.9176525303163476</v>
      </c>
      <c r="BZ23" s="233">
        <f t="shared" si="63"/>
        <v>5.5244873466786322</v>
      </c>
      <c r="CA23" s="233">
        <f t="shared" si="64"/>
        <v>7.4752241264873307</v>
      </c>
      <c r="CB23" s="233">
        <f t="shared" si="65"/>
        <v>11.091707764433835</v>
      </c>
      <c r="CC23" s="233">
        <f t="shared" si="66"/>
        <v>7.4752241264873307</v>
      </c>
      <c r="CD23" s="233">
        <f t="shared" si="67"/>
        <v>7.0452805836965178</v>
      </c>
      <c r="CE23" s="233">
        <f t="shared" si="68"/>
        <v>11.738285905426217</v>
      </c>
      <c r="CF23" s="233">
        <f t="shared" si="69"/>
        <v>7.0452805836965178</v>
      </c>
      <c r="CG23" s="233">
        <f t="shared" si="70"/>
        <v>3.4017779228316698</v>
      </c>
    </row>
    <row r="24" spans="1:85" x14ac:dyDescent="0.25">
      <c r="A24" t="str">
        <f>PLANTILLA!D25</f>
        <v>S. Zobbe</v>
      </c>
      <c r="B24" s="589">
        <f>PLANTILLA!E25</f>
        <v>32</v>
      </c>
      <c r="C24" s="298">
        <f ca="1">PLANTILLA!F25</f>
        <v>43</v>
      </c>
      <c r="D24" s="589" t="str">
        <f>PLANTILLA!G25</f>
        <v>CAB</v>
      </c>
      <c r="E24" s="258">
        <v>36526</v>
      </c>
      <c r="F24" s="425">
        <f>PLANTILLA!P25</f>
        <v>1.5</v>
      </c>
      <c r="G24" s="426">
        <f>PLANTILLA!I25</f>
        <v>13</v>
      </c>
      <c r="H24" s="152">
        <f>PLANTILLA!X25</f>
        <v>0</v>
      </c>
      <c r="I24" s="152">
        <f>PLANTILLA!Y25</f>
        <v>8.3599999999999977</v>
      </c>
      <c r="J24" s="152">
        <f>PLANTILLA!Z25</f>
        <v>12.253412698412699</v>
      </c>
      <c r="K24" s="152">
        <f>PLANTILLA!AA25</f>
        <v>12.95</v>
      </c>
      <c r="L24" s="152">
        <f>PLANTILLA!AB25</f>
        <v>10.24</v>
      </c>
      <c r="M24" s="152">
        <f>PLANTILLA!AC25</f>
        <v>6.95</v>
      </c>
      <c r="N24" s="152">
        <f>PLANTILLA!AD25</f>
        <v>16</v>
      </c>
      <c r="O24" s="426">
        <f t="shared" si="0"/>
        <v>3.9799999999999995</v>
      </c>
      <c r="P24" s="426">
        <f t="shared" si="1"/>
        <v>19.334419744797479</v>
      </c>
      <c r="Q24" s="426">
        <f t="shared" si="2"/>
        <v>0.82750000000000001</v>
      </c>
      <c r="R24" s="426">
        <f t="shared" si="3"/>
        <v>0.81439999999999979</v>
      </c>
      <c r="S24" s="426">
        <f t="shared" ca="1" si="4"/>
        <v>18.485257803075783</v>
      </c>
      <c r="T24" s="233">
        <f t="shared" si="5"/>
        <v>4.9134900620851578</v>
      </c>
      <c r="U24" s="233">
        <f t="shared" si="6"/>
        <v>7.4069678237708345</v>
      </c>
      <c r="V24" s="233">
        <f t="shared" si="7"/>
        <v>4.9134900620851578</v>
      </c>
      <c r="W24" s="233">
        <f t="shared" si="8"/>
        <v>5.8541530263871024</v>
      </c>
      <c r="X24" s="233">
        <f t="shared" si="9"/>
        <v>11.34525780307578</v>
      </c>
      <c r="Y24" s="233">
        <f t="shared" si="10"/>
        <v>2.9270765131935512</v>
      </c>
      <c r="Z24" s="233">
        <f t="shared" si="11"/>
        <v>3.6268035793542586</v>
      </c>
      <c r="AA24" s="233">
        <f t="shared" si="12"/>
        <v>4.288507449562645</v>
      </c>
      <c r="AB24" s="233">
        <f t="shared" si="13"/>
        <v>8.2026213916237882</v>
      </c>
      <c r="AC24" s="233">
        <f t="shared" si="14"/>
        <v>2.1442537247813225</v>
      </c>
      <c r="AD24" s="233">
        <f t="shared" si="15"/>
        <v>5.8668881430730657</v>
      </c>
      <c r="AE24" s="596">
        <f t="shared" si="16"/>
        <v>10.437637178829718</v>
      </c>
      <c r="AF24" s="233">
        <f t="shared" si="17"/>
        <v>4.6969367304733725</v>
      </c>
      <c r="AG24" s="233">
        <f t="shared" si="18"/>
        <v>2.5448579737485768</v>
      </c>
      <c r="AH24" s="596">
        <f t="shared" si="19"/>
        <v>9.3699315882085585</v>
      </c>
      <c r="AI24" s="233">
        <f t="shared" si="20"/>
        <v>8.5543243835191376</v>
      </c>
      <c r="AJ24" s="233">
        <f t="shared" si="21"/>
        <v>8.0324425245776521</v>
      </c>
      <c r="AK24" s="233">
        <f t="shared" si="22"/>
        <v>3.1705380531136558</v>
      </c>
      <c r="AL24" s="233">
        <f t="shared" si="23"/>
        <v>2.005994247285825</v>
      </c>
      <c r="AM24" s="233">
        <f t="shared" si="24"/>
        <v>3.0632196068304607</v>
      </c>
      <c r="AN24" s="233">
        <f t="shared" si="25"/>
        <v>6.7390831350270135</v>
      </c>
      <c r="AO24" s="233">
        <f t="shared" si="26"/>
        <v>1.5316098034152303</v>
      </c>
      <c r="AP24" s="233">
        <f t="shared" si="27"/>
        <v>14.385304953405127</v>
      </c>
      <c r="AQ24" s="233">
        <f t="shared" si="28"/>
        <v>1.7192835143998517</v>
      </c>
      <c r="AR24" s="233">
        <f t="shared" si="29"/>
        <v>3.3058305363012042</v>
      </c>
      <c r="AS24" s="233">
        <f t="shared" si="30"/>
        <v>0.85964175719992586</v>
      </c>
      <c r="AT24" s="233">
        <f t="shared" si="31"/>
        <v>2.1442537247813225</v>
      </c>
      <c r="AU24" s="233">
        <f t="shared" si="32"/>
        <v>4.5381031212303125</v>
      </c>
      <c r="AV24" s="233">
        <f t="shared" si="33"/>
        <v>1.0721268623906612</v>
      </c>
      <c r="AW24" s="233">
        <f t="shared" si="34"/>
        <v>15.238670501488482</v>
      </c>
      <c r="AX24" s="233">
        <f t="shared" si="35"/>
        <v>3.3459902241781729</v>
      </c>
      <c r="AY24" s="233">
        <f t="shared" si="36"/>
        <v>6.5962170494947561</v>
      </c>
      <c r="AZ24" s="233">
        <f t="shared" si="37"/>
        <v>1.6729951120890865</v>
      </c>
      <c r="BA24" s="233">
        <f t="shared" si="38"/>
        <v>3.301470020695052</v>
      </c>
      <c r="BB24" s="233">
        <f t="shared" si="39"/>
        <v>3.9481497154703713</v>
      </c>
      <c r="BC24" s="233">
        <f t="shared" si="40"/>
        <v>13.425268711811352</v>
      </c>
      <c r="BD24" s="233">
        <f t="shared" si="41"/>
        <v>13.31279418693437</v>
      </c>
      <c r="BE24" s="233">
        <f t="shared" si="42"/>
        <v>3.1872871305412636</v>
      </c>
      <c r="BF24" s="233">
        <f t="shared" si="43"/>
        <v>5.5024500344917531</v>
      </c>
      <c r="BG24" s="233">
        <f t="shared" si="44"/>
        <v>2.995148060012006</v>
      </c>
      <c r="BH24" s="233">
        <f t="shared" si="45"/>
        <v>5.8059334610671121</v>
      </c>
      <c r="BI24" s="233">
        <f t="shared" si="46"/>
        <v>13.382705319888235</v>
      </c>
      <c r="BJ24" s="233">
        <f t="shared" si="47"/>
        <v>0.68771340575994067</v>
      </c>
      <c r="BK24" s="233">
        <f t="shared" si="48"/>
        <v>2.0421464045536402</v>
      </c>
      <c r="BL24" s="233">
        <f t="shared" si="49"/>
        <v>0.77147753060915314</v>
      </c>
      <c r="BM24" s="233">
        <f t="shared" si="50"/>
        <v>4.6477945029539871</v>
      </c>
      <c r="BN24" s="233">
        <f t="shared" si="51"/>
        <v>19.717681534755457</v>
      </c>
      <c r="BO24" s="233">
        <f t="shared" si="52"/>
        <v>1.7854098034152308</v>
      </c>
      <c r="BP24" s="233">
        <f t="shared" si="53"/>
        <v>3.2220532160735211</v>
      </c>
      <c r="BQ24" s="233">
        <f t="shared" si="54"/>
        <v>2.7682429039504903</v>
      </c>
      <c r="BR24" s="233">
        <f t="shared" si="55"/>
        <v>6.9335950781772597</v>
      </c>
      <c r="BS24" s="233">
        <f t="shared" si="56"/>
        <v>16.995025645807967</v>
      </c>
      <c r="BT24" s="233">
        <f t="shared" si="57"/>
        <v>1.6002561941721696</v>
      </c>
      <c r="BU24" s="233">
        <f t="shared" si="58"/>
        <v>3.2220532160735211</v>
      </c>
      <c r="BV24" s="233">
        <f t="shared" si="59"/>
        <v>2.7682429039504903</v>
      </c>
      <c r="BW24" s="233">
        <f t="shared" si="60"/>
        <v>9.6156010864392325</v>
      </c>
      <c r="BX24" s="233">
        <f t="shared" si="61"/>
        <v>13.739025733752825</v>
      </c>
      <c r="BY24" s="233">
        <f t="shared" si="62"/>
        <v>1.9573381548552158</v>
      </c>
      <c r="BZ24" s="233">
        <f t="shared" si="63"/>
        <v>6.186900223604324</v>
      </c>
      <c r="CA24" s="233">
        <f t="shared" si="64"/>
        <v>6.8627693154024829</v>
      </c>
      <c r="CB24" s="233">
        <f t="shared" si="65"/>
        <v>12.973570286263332</v>
      </c>
      <c r="CC24" s="233">
        <f t="shared" si="66"/>
        <v>6.8627693154024829</v>
      </c>
      <c r="CD24" s="233">
        <f t="shared" si="67"/>
        <v>7.8528456113162122</v>
      </c>
      <c r="CE24" s="233">
        <f t="shared" si="68"/>
        <v>14.815377932410746</v>
      </c>
      <c r="CF24" s="233">
        <f t="shared" si="69"/>
        <v>7.8528456113162122</v>
      </c>
      <c r="CG24" s="233">
        <f t="shared" si="70"/>
        <v>3.8096676253721204</v>
      </c>
    </row>
    <row r="25" spans="1:85" x14ac:dyDescent="0.25">
      <c r="A25" t="str">
        <f>PLANTILLA!D26</f>
        <v>L. Bauman</v>
      </c>
      <c r="B25" s="589">
        <f>PLANTILLA!E26</f>
        <v>35</v>
      </c>
      <c r="C25" s="298">
        <f ca="1">PLANTILLA!F26</f>
        <v>43</v>
      </c>
      <c r="D25" s="589">
        <f>PLANTILLA!G26</f>
        <v>0</v>
      </c>
      <c r="E25" s="258">
        <v>36526</v>
      </c>
      <c r="F25" s="425">
        <f>PLANTILLA!P26</f>
        <v>1.5</v>
      </c>
      <c r="G25" s="426">
        <f>PLANTILLA!I26</f>
        <v>12</v>
      </c>
      <c r="H25" s="152">
        <f>PLANTILLA!X26</f>
        <v>0</v>
      </c>
      <c r="I25" s="152">
        <f>PLANTILLA!Y26</f>
        <v>5.95</v>
      </c>
      <c r="J25" s="152">
        <f>PLANTILLA!Z26</f>
        <v>14.1</v>
      </c>
      <c r="K25" s="152">
        <f>PLANTILLA!AA26</f>
        <v>2.95</v>
      </c>
      <c r="L25" s="152">
        <f>PLANTILLA!AB26</f>
        <v>8.9499999999999993</v>
      </c>
      <c r="M25" s="152">
        <f>PLANTILLA!AC26</f>
        <v>5.95</v>
      </c>
      <c r="N25" s="152">
        <f>PLANTILLA!AD26</f>
        <v>16.95</v>
      </c>
      <c r="O25" s="426">
        <f t="shared" si="0"/>
        <v>3.3562499999999997</v>
      </c>
      <c r="P25" s="426">
        <f t="shared" si="1"/>
        <v>18.094487405020338</v>
      </c>
      <c r="Q25" s="426">
        <f t="shared" si="2"/>
        <v>0.80600000000000005</v>
      </c>
      <c r="R25" s="426">
        <f t="shared" si="3"/>
        <v>0.74649999999999994</v>
      </c>
      <c r="S25" s="426">
        <f t="shared" ca="1" si="4"/>
        <v>19.388908328063501</v>
      </c>
      <c r="T25" s="233">
        <f t="shared" si="5"/>
        <v>4.2078669703994356</v>
      </c>
      <c r="U25" s="233">
        <f t="shared" si="6"/>
        <v>6.322880651529978</v>
      </c>
      <c r="V25" s="233">
        <f t="shared" si="7"/>
        <v>4.2078669703994356</v>
      </c>
      <c r="W25" s="233">
        <f t="shared" si="8"/>
        <v>4.5866766972807662</v>
      </c>
      <c r="X25" s="233">
        <f t="shared" si="9"/>
        <v>8.8889083280635006</v>
      </c>
      <c r="Y25" s="233">
        <f t="shared" si="10"/>
        <v>2.2933383486403831</v>
      </c>
      <c r="Z25" s="233">
        <f t="shared" si="11"/>
        <v>4.0552601820791123</v>
      </c>
      <c r="AA25" s="233">
        <f t="shared" si="12"/>
        <v>3.3600073480080033</v>
      </c>
      <c r="AB25" s="233">
        <f t="shared" si="13"/>
        <v>6.4266807211899106</v>
      </c>
      <c r="AC25" s="233">
        <f t="shared" si="14"/>
        <v>1.6800036740040016</v>
      </c>
      <c r="AD25" s="233">
        <f t="shared" si="15"/>
        <v>6.5599797063044472</v>
      </c>
      <c r="AE25" s="596">
        <f t="shared" si="16"/>
        <v>8.1777956618184202</v>
      </c>
      <c r="AF25" s="233">
        <f t="shared" si="17"/>
        <v>3.6800080478182893</v>
      </c>
      <c r="AG25" s="233">
        <f t="shared" si="18"/>
        <v>2.8454976907866047</v>
      </c>
      <c r="AH25" s="596">
        <f t="shared" si="19"/>
        <v>3.4626780969013375</v>
      </c>
      <c r="AI25" s="233">
        <f t="shared" si="20"/>
        <v>6.7022368793598792</v>
      </c>
      <c r="AJ25" s="233">
        <f t="shared" si="21"/>
        <v>6.2933470962689579</v>
      </c>
      <c r="AK25" s="233">
        <f t="shared" si="22"/>
        <v>3.3214476907866048</v>
      </c>
      <c r="AL25" s="233">
        <f t="shared" si="23"/>
        <v>1.8130055984822875</v>
      </c>
      <c r="AM25" s="233">
        <f t="shared" si="24"/>
        <v>2.4000052485771453</v>
      </c>
      <c r="AN25" s="233">
        <f t="shared" si="25"/>
        <v>5.2800115468697193</v>
      </c>
      <c r="AO25" s="233">
        <f t="shared" si="26"/>
        <v>1.2000026242885726</v>
      </c>
      <c r="AP25" s="233">
        <f t="shared" si="27"/>
        <v>16.084729461691943</v>
      </c>
      <c r="AQ25" s="233">
        <f t="shared" si="28"/>
        <v>1.5455580826482549</v>
      </c>
      <c r="AR25" s="233">
        <f t="shared" si="29"/>
        <v>2.9644501401226053</v>
      </c>
      <c r="AS25" s="233">
        <f t="shared" si="30"/>
        <v>0.77277904132412745</v>
      </c>
      <c r="AT25" s="233">
        <f t="shared" si="31"/>
        <v>1.6800036740040016</v>
      </c>
      <c r="AU25" s="233">
        <f t="shared" si="32"/>
        <v>3.5555633312254002</v>
      </c>
      <c r="AV25" s="233">
        <f t="shared" si="33"/>
        <v>0.84000183700200082</v>
      </c>
      <c r="AW25" s="233">
        <f t="shared" si="34"/>
        <v>17.038908328063499</v>
      </c>
      <c r="AX25" s="233">
        <f t="shared" si="35"/>
        <v>3.0078938070000651</v>
      </c>
      <c r="AY25" s="233">
        <f t="shared" si="36"/>
        <v>5.9207884887629882</v>
      </c>
      <c r="AZ25" s="233">
        <f t="shared" si="37"/>
        <v>1.5039469035000326</v>
      </c>
      <c r="BA25" s="233">
        <f t="shared" si="38"/>
        <v>2.5866723234664786</v>
      </c>
      <c r="BB25" s="233">
        <f t="shared" si="39"/>
        <v>3.0933400981660979</v>
      </c>
      <c r="BC25" s="233">
        <f t="shared" si="40"/>
        <v>15.011278237023943</v>
      </c>
      <c r="BD25" s="233">
        <f t="shared" si="41"/>
        <v>7.1252395036484515</v>
      </c>
      <c r="BE25" s="233">
        <f t="shared" si="42"/>
        <v>2.865226907063303</v>
      </c>
      <c r="BF25" s="233">
        <f t="shared" si="43"/>
        <v>4.3111205391107976</v>
      </c>
      <c r="BG25" s="233">
        <f t="shared" si="44"/>
        <v>2.3466717986087642</v>
      </c>
      <c r="BH25" s="233">
        <f t="shared" si="45"/>
        <v>6.491824072992193</v>
      </c>
      <c r="BI25" s="233">
        <f t="shared" si="46"/>
        <v>6.3529058787274995</v>
      </c>
      <c r="BJ25" s="233">
        <f t="shared" si="47"/>
        <v>0.61822323305930194</v>
      </c>
      <c r="BK25" s="233">
        <f t="shared" si="48"/>
        <v>1.60000349905143</v>
      </c>
      <c r="BL25" s="233">
        <f t="shared" si="49"/>
        <v>0.60444576630831803</v>
      </c>
      <c r="BM25" s="233">
        <f t="shared" si="50"/>
        <v>5.1968670400593675</v>
      </c>
      <c r="BN25" s="233">
        <f t="shared" si="51"/>
        <v>9.289136109889661</v>
      </c>
      <c r="BO25" s="233">
        <f t="shared" si="52"/>
        <v>1.6050026242885724</v>
      </c>
      <c r="BP25" s="233">
        <f t="shared" si="53"/>
        <v>2.5244499651700338</v>
      </c>
      <c r="BQ25" s="233">
        <f t="shared" si="54"/>
        <v>2.1688936320474941</v>
      </c>
      <c r="BR25" s="233">
        <f t="shared" si="55"/>
        <v>7.7527032892688927</v>
      </c>
      <c r="BS25" s="233">
        <f t="shared" si="56"/>
        <v>7.988910427494357</v>
      </c>
      <c r="BT25" s="233">
        <f t="shared" si="57"/>
        <v>1.4385579076956834</v>
      </c>
      <c r="BU25" s="233">
        <f t="shared" si="58"/>
        <v>2.5244499651700338</v>
      </c>
      <c r="BV25" s="233">
        <f t="shared" si="59"/>
        <v>2.1688936320474941</v>
      </c>
      <c r="BW25" s="233">
        <f t="shared" si="60"/>
        <v>10.751551155008068</v>
      </c>
      <c r="BX25" s="233">
        <f t="shared" si="61"/>
        <v>6.4285729536168326</v>
      </c>
      <c r="BY25" s="233">
        <f t="shared" si="62"/>
        <v>1.7595584325533977</v>
      </c>
      <c r="BZ25" s="233">
        <f t="shared" si="63"/>
        <v>6.9177967811937808</v>
      </c>
      <c r="CA25" s="233">
        <f t="shared" si="64"/>
        <v>4.9491212389210837</v>
      </c>
      <c r="CB25" s="233">
        <f t="shared" si="65"/>
        <v>11.637910777399501</v>
      </c>
      <c r="CC25" s="233">
        <f t="shared" si="66"/>
        <v>4.9491212389210837</v>
      </c>
      <c r="CD25" s="233">
        <f t="shared" si="67"/>
        <v>5.1707898883835606</v>
      </c>
      <c r="CE25" s="233">
        <f t="shared" si="68"/>
        <v>13.275915501118931</v>
      </c>
      <c r="CF25" s="233">
        <f t="shared" si="69"/>
        <v>5.1707898883835606</v>
      </c>
      <c r="CG25" s="233">
        <f t="shared" si="70"/>
        <v>4.2597270820158748</v>
      </c>
    </row>
    <row r="26" spans="1:85" x14ac:dyDescent="0.25">
      <c r="A26" t="str">
        <f>PLANTILLA!D27</f>
        <v>J. Limon</v>
      </c>
      <c r="B26" s="589">
        <f>PLANTILLA!E27</f>
        <v>34</v>
      </c>
      <c r="C26" s="298">
        <f ca="1">PLANTILLA!F27</f>
        <v>80</v>
      </c>
      <c r="D26" s="589" t="str">
        <f>PLANTILLA!G27</f>
        <v>RAP</v>
      </c>
      <c r="E26" s="258">
        <v>36526</v>
      </c>
      <c r="F26" s="425">
        <f>PLANTILLA!P27</f>
        <v>1.5</v>
      </c>
      <c r="G26" s="426">
        <f>PLANTILLA!I27</f>
        <v>14.3</v>
      </c>
      <c r="H26" s="152">
        <f>PLANTILLA!X27</f>
        <v>0</v>
      </c>
      <c r="I26" s="152">
        <f>PLANTILLA!Y27</f>
        <v>6.8376190476190493</v>
      </c>
      <c r="J26" s="152">
        <f>PLANTILLA!Z27</f>
        <v>8.9499999999999993</v>
      </c>
      <c r="K26" s="152">
        <f>PLANTILLA!AA27</f>
        <v>8.7399999999999967</v>
      </c>
      <c r="L26" s="152">
        <f>PLANTILLA!AB27</f>
        <v>9.9499999999999993</v>
      </c>
      <c r="M26" s="152">
        <f>PLANTILLA!AC27</f>
        <v>7.95</v>
      </c>
      <c r="N26" s="152">
        <f>PLANTILLA!AD27</f>
        <v>18.999999999999993</v>
      </c>
      <c r="O26" s="426">
        <f t="shared" si="0"/>
        <v>3.7172023809523811</v>
      </c>
      <c r="P26" s="426">
        <f t="shared" si="1"/>
        <v>22.766390190397047</v>
      </c>
      <c r="Q26" s="426">
        <f t="shared" si="2"/>
        <v>0.96749999999999969</v>
      </c>
      <c r="R26" s="426">
        <f t="shared" si="3"/>
        <v>0.84350476190476176</v>
      </c>
      <c r="S26" s="426">
        <f t="shared" ca="1" si="4"/>
        <v>21.540448049953408</v>
      </c>
      <c r="T26" s="233">
        <f t="shared" si="5"/>
        <v>4.5414940047521899</v>
      </c>
      <c r="U26" s="233">
        <f t="shared" si="6"/>
        <v>6.8312065277279563</v>
      </c>
      <c r="V26" s="233">
        <f t="shared" si="7"/>
        <v>4.5414940047521899</v>
      </c>
      <c r="W26" s="233">
        <f t="shared" si="8"/>
        <v>5.0970826223473926</v>
      </c>
      <c r="X26" s="233">
        <f t="shared" si="9"/>
        <v>9.8780670975724654</v>
      </c>
      <c r="Y26" s="233">
        <f t="shared" si="10"/>
        <v>2.5485413111736963</v>
      </c>
      <c r="Z26" s="233">
        <f t="shared" si="11"/>
        <v>2.8537266358889126</v>
      </c>
      <c r="AA26" s="233">
        <f t="shared" si="12"/>
        <v>3.7339093628823918</v>
      </c>
      <c r="AB26" s="233">
        <f t="shared" si="13"/>
        <v>7.1418425115448922</v>
      </c>
      <c r="AC26" s="233">
        <f t="shared" si="14"/>
        <v>1.8669546814411959</v>
      </c>
      <c r="AD26" s="233">
        <f t="shared" si="15"/>
        <v>4.6163224992320648</v>
      </c>
      <c r="AE26" s="596">
        <f t="shared" si="16"/>
        <v>9.0878217297666684</v>
      </c>
      <c r="AF26" s="233">
        <f t="shared" si="17"/>
        <v>4.0895197783950001</v>
      </c>
      <c r="AG26" s="233">
        <f t="shared" si="18"/>
        <v>2.0024048243422206</v>
      </c>
      <c r="AH26" s="596">
        <f t="shared" si="19"/>
        <v>6.9269034533726055</v>
      </c>
      <c r="AI26" s="233">
        <f t="shared" si="20"/>
        <v>7.4480625915696388</v>
      </c>
      <c r="AJ26" s="233">
        <f t="shared" si="21"/>
        <v>6.9936715050813048</v>
      </c>
      <c r="AK26" s="233">
        <f t="shared" si="22"/>
        <v>3.6807548243422192</v>
      </c>
      <c r="AL26" s="233">
        <f t="shared" si="23"/>
        <v>1.9462033241008694</v>
      </c>
      <c r="AM26" s="233">
        <f t="shared" si="24"/>
        <v>2.667078116344566</v>
      </c>
      <c r="AN26" s="233">
        <f t="shared" si="25"/>
        <v>5.8675718559580439</v>
      </c>
      <c r="AO26" s="233">
        <f t="shared" si="26"/>
        <v>1.333539058172283</v>
      </c>
      <c r="AP26" s="233">
        <f t="shared" si="27"/>
        <v>11.318982959156022</v>
      </c>
      <c r="AQ26" s="233">
        <f t="shared" si="28"/>
        <v>1.6887582464939439</v>
      </c>
      <c r="AR26" s="233">
        <f t="shared" si="29"/>
        <v>3.4602012786363501</v>
      </c>
      <c r="AS26" s="233">
        <f t="shared" si="30"/>
        <v>0.84437912324697195</v>
      </c>
      <c r="AT26" s="233">
        <f t="shared" si="31"/>
        <v>1.8669546814411959</v>
      </c>
      <c r="AU26" s="233">
        <f t="shared" si="32"/>
        <v>3.9512268390289864</v>
      </c>
      <c r="AV26" s="233">
        <f t="shared" si="33"/>
        <v>0.93347734072059796</v>
      </c>
      <c r="AW26" s="233">
        <f t="shared" si="34"/>
        <v>11.990448049953415</v>
      </c>
      <c r="AX26" s="233">
        <f t="shared" si="35"/>
        <v>3.2865833566382139</v>
      </c>
      <c r="AY26" s="233">
        <f t="shared" si="36"/>
        <v>6.7377368755243321</v>
      </c>
      <c r="AZ26" s="233">
        <f t="shared" si="37"/>
        <v>1.6432916783191069</v>
      </c>
      <c r="BA26" s="233">
        <f t="shared" si="38"/>
        <v>2.8745175253935873</v>
      </c>
      <c r="BB26" s="233">
        <f t="shared" si="39"/>
        <v>3.4375673499552177</v>
      </c>
      <c r="BC26" s="233">
        <f t="shared" si="40"/>
        <v>10.563584732008959</v>
      </c>
      <c r="BD26" s="233">
        <f t="shared" si="41"/>
        <v>10.853968316408583</v>
      </c>
      <c r="BE26" s="233">
        <f t="shared" si="42"/>
        <v>3.1306979800387729</v>
      </c>
      <c r="BF26" s="233">
        <f t="shared" si="43"/>
        <v>4.7908625423226452</v>
      </c>
      <c r="BG26" s="233">
        <f t="shared" si="44"/>
        <v>2.607809713759131</v>
      </c>
      <c r="BH26" s="233">
        <f t="shared" si="45"/>
        <v>4.5683607070322507</v>
      </c>
      <c r="BI26" s="233">
        <f t="shared" si="46"/>
        <v>10.539321595659283</v>
      </c>
      <c r="BJ26" s="233">
        <f t="shared" si="47"/>
        <v>0.67550329859757752</v>
      </c>
      <c r="BK26" s="233">
        <f t="shared" si="48"/>
        <v>1.7780520775630437</v>
      </c>
      <c r="BL26" s="233">
        <f t="shared" si="49"/>
        <v>0.67170856263492773</v>
      </c>
      <c r="BM26" s="233">
        <f t="shared" si="50"/>
        <v>3.6570866552357915</v>
      </c>
      <c r="BN26" s="233">
        <f t="shared" si="51"/>
        <v>15.495716192240089</v>
      </c>
      <c r="BO26" s="233">
        <f t="shared" si="52"/>
        <v>1.753710486743711</v>
      </c>
      <c r="BP26" s="233">
        <f t="shared" si="53"/>
        <v>2.8053710557105798</v>
      </c>
      <c r="BQ26" s="233">
        <f t="shared" si="54"/>
        <v>2.4102483718076817</v>
      </c>
      <c r="BR26" s="233">
        <f t="shared" si="55"/>
        <v>5.4556538627288038</v>
      </c>
      <c r="BS26" s="233">
        <f t="shared" si="56"/>
        <v>13.347976439348383</v>
      </c>
      <c r="BT26" s="233">
        <f t="shared" si="57"/>
        <v>1.5718442140443631</v>
      </c>
      <c r="BU26" s="233">
        <f t="shared" si="58"/>
        <v>2.8053710557105798</v>
      </c>
      <c r="BV26" s="233">
        <f t="shared" si="59"/>
        <v>2.4102483718076817</v>
      </c>
      <c r="BW26" s="233">
        <f t="shared" si="60"/>
        <v>7.5659727195206044</v>
      </c>
      <c r="BX26" s="233">
        <f t="shared" si="61"/>
        <v>10.777031004708304</v>
      </c>
      <c r="BY26" s="233">
        <f t="shared" si="62"/>
        <v>1.9225863113931052</v>
      </c>
      <c r="BZ26" s="233">
        <f t="shared" si="63"/>
        <v>4.8681219082810863</v>
      </c>
      <c r="CA26" s="233">
        <f t="shared" si="64"/>
        <v>6.339783434025728</v>
      </c>
      <c r="CB26" s="233">
        <f t="shared" si="65"/>
        <v>13.461244504247546</v>
      </c>
      <c r="CC26" s="233">
        <f t="shared" si="66"/>
        <v>6.339783434025728</v>
      </c>
      <c r="CD26" s="233">
        <f t="shared" si="67"/>
        <v>7.1756391351209761</v>
      </c>
      <c r="CE26" s="233">
        <f t="shared" si="68"/>
        <v>15.783923380386224</v>
      </c>
      <c r="CF26" s="233">
        <f t="shared" si="69"/>
        <v>7.1756391351209761</v>
      </c>
      <c r="CG26" s="233">
        <f t="shared" si="70"/>
        <v>2.9976120124883536</v>
      </c>
    </row>
    <row r="27" spans="1:85" x14ac:dyDescent="0.25">
      <c r="A27" t="str">
        <f>PLANTILLA!D28</f>
        <v>P .Trivadi</v>
      </c>
      <c r="B27" s="589">
        <f>PLANTILLA!E28</f>
        <v>31</v>
      </c>
      <c r="C27" s="298">
        <f ca="1">PLANTILLA!F28</f>
        <v>111</v>
      </c>
      <c r="D27" s="589">
        <f>PLANTILLA!G28</f>
        <v>0</v>
      </c>
      <c r="E27" s="258">
        <v>36526</v>
      </c>
      <c r="F27" s="425">
        <f>PLANTILLA!P28</f>
        <v>1.5</v>
      </c>
      <c r="G27" s="426">
        <f>PLANTILLA!I28</f>
        <v>6.2</v>
      </c>
      <c r="H27" s="152">
        <f>PLANTILLA!X28</f>
        <v>0</v>
      </c>
      <c r="I27" s="152">
        <f>PLANTILLA!Y28</f>
        <v>4.0199999999999996</v>
      </c>
      <c r="J27" s="152">
        <f>PLANTILLA!Z28</f>
        <v>5.95</v>
      </c>
      <c r="K27" s="152">
        <f>PLANTILLA!AA28</f>
        <v>5.5099999999999989</v>
      </c>
      <c r="L27" s="152">
        <f>PLANTILLA!AB28</f>
        <v>10.95</v>
      </c>
      <c r="M27" s="152">
        <f>PLANTILLA!AC28</f>
        <v>7.95</v>
      </c>
      <c r="N27" s="152">
        <f>PLANTILLA!AD28</f>
        <v>14</v>
      </c>
      <c r="O27" s="426">
        <f t="shared" si="0"/>
        <v>3.6149999999999998</v>
      </c>
      <c r="P27" s="426">
        <f t="shared" si="1"/>
        <v>18.946914178388191</v>
      </c>
      <c r="Q27" s="426">
        <f t="shared" si="2"/>
        <v>0.81750000000000012</v>
      </c>
      <c r="R27" s="426">
        <f t="shared" si="3"/>
        <v>0.58079999999999998</v>
      </c>
      <c r="S27" s="426">
        <f t="shared" ca="1" si="4"/>
        <v>16.056522252664337</v>
      </c>
      <c r="T27" s="233">
        <f t="shared" si="5"/>
        <v>3.3413639265759674</v>
      </c>
      <c r="U27" s="233">
        <f t="shared" si="6"/>
        <v>5.0089702281896606</v>
      </c>
      <c r="V27" s="233">
        <f t="shared" si="7"/>
        <v>3.3413639265759674</v>
      </c>
      <c r="W27" s="233">
        <f t="shared" si="8"/>
        <v>3.3934854823747984</v>
      </c>
      <c r="X27" s="233">
        <f t="shared" si="9"/>
        <v>6.5765222526643381</v>
      </c>
      <c r="Y27" s="233">
        <f t="shared" si="10"/>
        <v>1.6967427411873992</v>
      </c>
      <c r="Z27" s="233">
        <f t="shared" si="11"/>
        <v>2.0245522961341127</v>
      </c>
      <c r="AA27" s="233">
        <f t="shared" si="12"/>
        <v>2.4859254115071199</v>
      </c>
      <c r="AB27" s="233">
        <f t="shared" si="13"/>
        <v>4.754825588676316</v>
      </c>
      <c r="AC27" s="233">
        <f t="shared" si="14"/>
        <v>1.2429627057535599</v>
      </c>
      <c r="AD27" s="233">
        <f t="shared" si="15"/>
        <v>3.2750110672757708</v>
      </c>
      <c r="AE27" s="596">
        <f t="shared" si="16"/>
        <v>6.0504004724511917</v>
      </c>
      <c r="AF27" s="233">
        <f t="shared" si="17"/>
        <v>2.7226802126030361</v>
      </c>
      <c r="AG27" s="233">
        <f t="shared" si="18"/>
        <v>1.4205892161949447</v>
      </c>
      <c r="AH27" s="596">
        <f t="shared" si="19"/>
        <v>4.7431150845666306</v>
      </c>
      <c r="AI27" s="233">
        <f t="shared" si="20"/>
        <v>4.9586977785089106</v>
      </c>
      <c r="AJ27" s="233">
        <f t="shared" si="21"/>
        <v>4.6561777548863512</v>
      </c>
      <c r="AK27" s="233">
        <f t="shared" si="22"/>
        <v>2.7649392161949442</v>
      </c>
      <c r="AL27" s="233">
        <f t="shared" si="23"/>
        <v>1.7773984087673294</v>
      </c>
      <c r="AM27" s="233">
        <f t="shared" si="24"/>
        <v>1.7756610082193713</v>
      </c>
      <c r="AN27" s="233">
        <f t="shared" si="25"/>
        <v>3.9064542180826165</v>
      </c>
      <c r="AO27" s="233">
        <f t="shared" si="26"/>
        <v>0.88783050410968567</v>
      </c>
      <c r="AP27" s="233">
        <f t="shared" si="27"/>
        <v>8.030157006515136</v>
      </c>
      <c r="AQ27" s="233">
        <f t="shared" si="28"/>
        <v>1.7558478928463639</v>
      </c>
      <c r="AR27" s="233">
        <f t="shared" si="29"/>
        <v>3.4384110200306508</v>
      </c>
      <c r="AS27" s="233">
        <f t="shared" si="30"/>
        <v>0.87792394642318194</v>
      </c>
      <c r="AT27" s="233">
        <f t="shared" si="31"/>
        <v>1.2429627057535599</v>
      </c>
      <c r="AU27" s="233">
        <f t="shared" si="32"/>
        <v>2.6306089010657354</v>
      </c>
      <c r="AV27" s="233">
        <f t="shared" si="33"/>
        <v>0.62148135287677997</v>
      </c>
      <c r="AW27" s="233">
        <f t="shared" si="34"/>
        <v>8.5065222526643396</v>
      </c>
      <c r="AX27" s="233">
        <f t="shared" si="35"/>
        <v>3.4171501299240776</v>
      </c>
      <c r="AY27" s="233">
        <f t="shared" si="36"/>
        <v>6.8120937612180503</v>
      </c>
      <c r="AZ27" s="233">
        <f t="shared" si="37"/>
        <v>1.7085750649620388</v>
      </c>
      <c r="BA27" s="233">
        <f t="shared" si="38"/>
        <v>1.9137679755253223</v>
      </c>
      <c r="BB27" s="233">
        <f t="shared" si="39"/>
        <v>2.2886297439271894</v>
      </c>
      <c r="BC27" s="233">
        <f t="shared" si="40"/>
        <v>7.4942461045972832</v>
      </c>
      <c r="BD27" s="233">
        <f t="shared" si="41"/>
        <v>8.8847382826185957</v>
      </c>
      <c r="BE27" s="233">
        <f t="shared" si="42"/>
        <v>3.2550718628921054</v>
      </c>
      <c r="BF27" s="233">
        <f t="shared" si="43"/>
        <v>3.1896132925422038</v>
      </c>
      <c r="BG27" s="233">
        <f t="shared" si="44"/>
        <v>1.7362018747033854</v>
      </c>
      <c r="BH27" s="233">
        <f t="shared" si="45"/>
        <v>3.2409849782651134</v>
      </c>
      <c r="BI27" s="233">
        <f t="shared" si="46"/>
        <v>8.143580448828633</v>
      </c>
      <c r="BJ27" s="233">
        <f t="shared" si="47"/>
        <v>0.70233915713854556</v>
      </c>
      <c r="BK27" s="233">
        <f t="shared" si="48"/>
        <v>1.1837740054795809</v>
      </c>
      <c r="BL27" s="233">
        <f t="shared" si="49"/>
        <v>0.44720351318117502</v>
      </c>
      <c r="BM27" s="233">
        <f t="shared" si="50"/>
        <v>2.5944892870626237</v>
      </c>
      <c r="BN27" s="233">
        <f t="shared" si="51"/>
        <v>11.929387616926338</v>
      </c>
      <c r="BO27" s="233">
        <f t="shared" si="52"/>
        <v>1.8233805041096858</v>
      </c>
      <c r="BP27" s="233">
        <f t="shared" si="53"/>
        <v>1.8677323197566718</v>
      </c>
      <c r="BQ27" s="233">
        <f t="shared" si="54"/>
        <v>1.6046714296500986</v>
      </c>
      <c r="BR27" s="233">
        <f t="shared" si="55"/>
        <v>3.8704676249622745</v>
      </c>
      <c r="BS27" s="233">
        <f t="shared" si="56"/>
        <v>10.265066655952086</v>
      </c>
      <c r="BT27" s="233">
        <f t="shared" si="57"/>
        <v>1.6342891925723848</v>
      </c>
      <c r="BU27" s="233">
        <f t="shared" si="58"/>
        <v>1.8677323197566718</v>
      </c>
      <c r="BV27" s="233">
        <f t="shared" si="59"/>
        <v>1.6046714296500986</v>
      </c>
      <c r="BW27" s="233">
        <f t="shared" si="60"/>
        <v>5.3676155414311983</v>
      </c>
      <c r="BX27" s="233">
        <f t="shared" si="61"/>
        <v>8.269457416134582</v>
      </c>
      <c r="BY27" s="233">
        <f t="shared" si="62"/>
        <v>1.9989652933943218</v>
      </c>
      <c r="BZ27" s="233">
        <f t="shared" si="63"/>
        <v>3.4536480345817222</v>
      </c>
      <c r="CA27" s="233">
        <f t="shared" si="64"/>
        <v>5.87253809363812</v>
      </c>
      <c r="CB27" s="233">
        <f t="shared" si="65"/>
        <v>13.459344056500044</v>
      </c>
      <c r="CC27" s="233">
        <f t="shared" si="66"/>
        <v>5.87253809363812</v>
      </c>
      <c r="CD27" s="233">
        <f t="shared" si="67"/>
        <v>6.302323363409883</v>
      </c>
      <c r="CE27" s="233">
        <f t="shared" si="68"/>
        <v>15.490428963897479</v>
      </c>
      <c r="CF27" s="233">
        <f t="shared" si="69"/>
        <v>6.302323363409883</v>
      </c>
      <c r="CG27" s="233">
        <f t="shared" si="70"/>
        <v>2.1266305631660849</v>
      </c>
    </row>
  </sheetData>
  <sortState ref="A23:CG32">
    <sortCondition descending="1" ref="CA23:CA32"/>
    <sortCondition descending="1" ref="BZ23:BZ32"/>
  </sortState>
  <conditionalFormatting sqref="S3:S27">
    <cfRule type="cellIs" dxfId="124" priority="101" operator="greaterThan">
      <formula>15</formula>
    </cfRule>
  </conditionalFormatting>
  <conditionalFormatting sqref="O3:O27">
    <cfRule type="cellIs" dxfId="123" priority="100" operator="greaterThan">
      <formula>3.2</formula>
    </cfRule>
  </conditionalFormatting>
  <conditionalFormatting sqref="Q3:R27">
    <cfRule type="cellIs" dxfId="122" priority="99" operator="greaterThan">
      <formula>0.6</formula>
    </cfRule>
  </conditionalFormatting>
  <conditionalFormatting sqref="BI3:BO27 BU3:CG27 T3:W27 AF3:AF27 Y3:AD27 AH3:AJ27 BD3:BG27 AX3:BA27 AL3:AO27 AQ3:AV27">
    <cfRule type="cellIs" dxfId="121" priority="98" operator="greaterThan">
      <formula>12.5</formula>
    </cfRule>
  </conditionalFormatting>
  <conditionalFormatting sqref="G3:G27">
    <cfRule type="cellIs" dxfId="120" priority="95" operator="greaterThan">
      <formula>7</formula>
    </cfRule>
  </conditionalFormatting>
  <conditionalFormatting sqref="X3:X27 AP3:AP27 AW3:AW27 BH3:BH27 BC3:BC27">
    <cfRule type="cellIs" dxfId="119" priority="83" operator="greaterThan">
      <formula>12</formula>
    </cfRule>
  </conditionalFormatting>
  <conditionalFormatting sqref="AE3:AE27">
    <cfRule type="cellIs" dxfId="118" priority="82" operator="greaterThan">
      <formula>12</formula>
    </cfRule>
  </conditionalFormatting>
  <conditionalFormatting sqref="BP3:BT27">
    <cfRule type="cellIs" dxfId="117" priority="78" operator="greaterThan">
      <formula>12.5</formula>
    </cfRule>
  </conditionalFormatting>
  <conditionalFormatting sqref="P3:P27">
    <cfRule type="colorScale" priority="3437">
      <colorScale>
        <cfvo type="min"/>
        <cfvo type="max"/>
        <color rgb="FFFFEF9C"/>
        <color rgb="FF63BE7B"/>
      </colorScale>
    </cfRule>
  </conditionalFormatting>
  <conditionalFormatting sqref="H3:N27">
    <cfRule type="colorScale" priority="3438">
      <colorScale>
        <cfvo type="min"/>
        <cfvo type="max"/>
        <color rgb="FFFCFCFF"/>
        <color rgb="FFF8696B"/>
      </colorScale>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Resistencia</vt:lpstr>
      <vt:lpstr>CA_Calculator</vt:lpstr>
      <vt:lpstr>TL_Tactica</vt:lpstr>
      <vt:lpstr>CAPITAN</vt:lpstr>
      <vt:lpstr>ENTRENADOR</vt:lpstr>
      <vt:lpstr>PLANTILLA</vt:lpstr>
      <vt:lpstr>PLANNING</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EconomiaT48</vt:lpstr>
      <vt:lpstr>A-P_T48</vt:lpstr>
      <vt:lpstr>EconomiaT49</vt:lpstr>
      <vt:lpstr>A-P_T49</vt:lpstr>
      <vt:lpstr>EconomiaT50</vt:lpstr>
      <vt:lpstr>A-P_T50</vt:lpstr>
      <vt:lpstr>TablasEntreno</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2019-06-18T13:16:00Z</dcterms:modified>
</cp:coreProperties>
</file>