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Plan_Entreno" sheetId="84" r:id="rId9"/>
    <sheet name="VisionFutura" sheetId="112" r:id="rId10"/>
    <sheet name="Evaluacion" sheetId="94" r:id="rId11"/>
    <sheet name="Eva_sinFORMA" sheetId="113" r:id="rId12"/>
    <sheet name="ENTRENAMIENTO_Rendimiento" sheetId="86" r:id="rId13"/>
    <sheet name="Resumen_Rend" sheetId="96" r:id="rId14"/>
    <sheet name="352" sheetId="105" r:id="rId15"/>
    <sheet name="541" sheetId="106" r:id="rId16"/>
    <sheet name="DEF" sheetId="108" r:id="rId17"/>
    <sheet name="JUG" sheetId="107" r:id="rId18"/>
    <sheet name="PAS" sheetId="110" r:id="rId19"/>
    <sheet name="LAT" sheetId="111" r:id="rId20"/>
    <sheet name="Hall_of_Fame" sheetId="49" r:id="rId21"/>
    <sheet name="Estadio" sheetId="3" r:id="rId22"/>
    <sheet name="V.59" sheetId="45" r:id="rId23"/>
    <sheet name="VI.192" sheetId="33" r:id="rId24"/>
    <sheet name="IV.13" sheetId="80" r:id="rId25"/>
    <sheet name="III.15" sheetId="87" r:id="rId26"/>
    <sheet name="EconomiaT40" sheetId="9" r:id="rId27"/>
    <sheet name="A-P_T40" sheetId="10" r:id="rId28"/>
    <sheet name="EconomiaT41" sheetId="39" r:id="rId29"/>
    <sheet name="A-P_T41" sheetId="40" r:id="rId30"/>
    <sheet name="EconomiaT42" sheetId="42" r:id="rId31"/>
    <sheet name="A-P_T42" sheetId="43" r:id="rId32"/>
    <sheet name="EconomiaT43" sheetId="46" r:id="rId33"/>
    <sheet name="A-P_T43" sheetId="47" r:id="rId34"/>
    <sheet name="EconomiaT44" sheetId="69" r:id="rId35"/>
    <sheet name="A-P_T44" sheetId="70" r:id="rId36"/>
    <sheet name="EconomiaT45" sheetId="78" r:id="rId37"/>
    <sheet name="A-P_T45" sheetId="79" r:id="rId38"/>
    <sheet name="EconomiaT46" sheetId="81" r:id="rId39"/>
    <sheet name="A-P_T46" sheetId="82" r:id="rId40"/>
    <sheet name="EconomiaT47" sheetId="88" r:id="rId41"/>
    <sheet name="A-P_T47" sheetId="89" r:id="rId42"/>
    <sheet name="EconomiaT48" sheetId="91" r:id="rId43"/>
    <sheet name="A-P_T48" sheetId="92" r:id="rId44"/>
    <sheet name="EconomiaT49" sheetId="100" r:id="rId45"/>
    <sheet name="A-P_T49" sheetId="101" r:id="rId46"/>
    <sheet name="EconomiaT50" sheetId="103" r:id="rId47"/>
    <sheet name="A-P_T50" sheetId="104" r:id="rId48"/>
    <sheet name="TSI-Sueldos" sheetId="38" r:id="rId49"/>
    <sheet name="Entrenamientos" sheetId="12" r:id="rId50"/>
    <sheet name="NUEVOENTRENADOR" sheetId="41" r:id="rId51"/>
    <sheet name="RiscLesió" sheetId="48" r:id="rId52"/>
    <sheet name="EMPLEADOS" sheetId="93" r:id="rId53"/>
  </sheets>
  <externalReferences>
    <externalReference r:id="rId54"/>
  </externalReferences>
  <definedNames>
    <definedName name="_xlnm._FilterDatabase" localSheetId="27" hidden="1">'A-P_T40'!$I$3:$T$49</definedName>
    <definedName name="_xlnm._FilterDatabase" localSheetId="29" hidden="1">'A-P_T41'!$I$3:$T$49</definedName>
    <definedName name="_xlnm._FilterDatabase" localSheetId="31" hidden="1">'A-P_T42'!$I$3:$T$48</definedName>
    <definedName name="_xlnm._FilterDatabase" localSheetId="33" hidden="1">'A-P_T43'!$I$3:$T$4</definedName>
    <definedName name="_xlnm._FilterDatabase" localSheetId="35" hidden="1">'A-P_T44'!$I$3:$T$4</definedName>
    <definedName name="_xlnm._FilterDatabase" localSheetId="37" hidden="1">'A-P_T45'!$I$3:$T$4</definedName>
    <definedName name="_xlnm._FilterDatabase" localSheetId="39" hidden="1">'A-P_T46'!$I$3:$T$3</definedName>
    <definedName name="_xlnm._FilterDatabase" localSheetId="41" hidden="1">'A-P_T47'!$I$3:$T$3</definedName>
    <definedName name="_xlnm._FilterDatabase" localSheetId="12" hidden="1">ENTRENAMIENTO_Rendimiento!$S$3:$Z$24</definedName>
    <definedName name="_xlnm._FilterDatabase" localSheetId="8" hidden="1">Plan_Entreno!$O$12:$U$31</definedName>
    <definedName name="_xlnm._FilterDatabase" localSheetId="7" hidden="1">PLANTILLA!$A$4:$AL$25</definedName>
    <definedName name="_xlnm._FilterDatabase" localSheetId="0" hidden="1">RecienPromocionados!$A$4:$D$22</definedName>
    <definedName name="_xlnm._FilterDatabase" localSheetId="9" hidden="1">VisionFutura!$A$1:$Q$24</definedName>
  </definedNames>
  <calcPr calcId="152511"/>
</workbook>
</file>

<file path=xl/calcChain.xml><?xml version="1.0" encoding="utf-8"?>
<calcChain xmlns="http://schemas.openxmlformats.org/spreadsheetml/2006/main">
  <c r="Q31" i="113" l="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G31" i="113"/>
  <c r="CH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Q35" i="113"/>
  <c r="AN35" i="113" s="1"/>
  <c r="R35" i="113"/>
  <c r="S35" i="113"/>
  <c r="T35" i="113"/>
  <c r="U35" i="113"/>
  <c r="V35" i="113"/>
  <c r="X35" i="113" s="1"/>
  <c r="W35" i="113"/>
  <c r="Y35" i="113"/>
  <c r="AA35" i="113" s="1"/>
  <c r="Z35" i="113"/>
  <c r="AB35" i="113"/>
  <c r="AC35" i="113"/>
  <c r="AE35" i="113" s="1"/>
  <c r="AD35" i="113"/>
  <c r="AF35" i="113"/>
  <c r="AG35" i="113"/>
  <c r="AH35" i="113"/>
  <c r="AI35" i="113"/>
  <c r="AJ35" i="113"/>
  <c r="AK35" i="113"/>
  <c r="AL35" i="113"/>
  <c r="AM35" i="113"/>
  <c r="AO35" i="113"/>
  <c r="AQ35" i="113" s="1"/>
  <c r="AP35" i="113"/>
  <c r="AR35" i="113"/>
  <c r="AS35" i="113"/>
  <c r="AU35" i="113" s="1"/>
  <c r="AT35" i="113"/>
  <c r="AV35" i="113"/>
  <c r="AX35" i="113" s="1"/>
  <c r="AW35" i="113"/>
  <c r="AY35" i="113"/>
  <c r="AZ35" i="113"/>
  <c r="BB35" i="113" s="1"/>
  <c r="BA35" i="113"/>
  <c r="BC35" i="113"/>
  <c r="BD35" i="113"/>
  <c r="BE35" i="113"/>
  <c r="BF35" i="113"/>
  <c r="BG35" i="113"/>
  <c r="BH35" i="113"/>
  <c r="BI35" i="113"/>
  <c r="BJ35" i="113"/>
  <c r="BK35" i="113"/>
  <c r="BL35" i="113"/>
  <c r="BM35" i="113"/>
  <c r="BN35" i="113"/>
  <c r="BO35" i="113"/>
  <c r="BP35" i="113"/>
  <c r="BQ35" i="113"/>
  <c r="BR35" i="113"/>
  <c r="BS35" i="113"/>
  <c r="BT35" i="113"/>
  <c r="BU35" i="113"/>
  <c r="BV35" i="113"/>
  <c r="CB35" i="113"/>
  <c r="CC35" i="113"/>
  <c r="CE35" i="113" s="1"/>
  <c r="CD35" i="113"/>
  <c r="CF35" i="113"/>
  <c r="CH35" i="113" s="1"/>
  <c r="CG35" i="113"/>
  <c r="CI35" i="113"/>
  <c r="Q36" i="113"/>
  <c r="AN36" i="113" s="1"/>
  <c r="R36" i="113"/>
  <c r="S36" i="113"/>
  <c r="T36" i="113"/>
  <c r="U36" i="113"/>
  <c r="V36" i="113"/>
  <c r="X36" i="113" s="1"/>
  <c r="W36" i="113"/>
  <c r="Y36" i="113"/>
  <c r="AA36" i="113" s="1"/>
  <c r="Z36" i="113"/>
  <c r="AB36" i="113"/>
  <c r="AC36" i="113"/>
  <c r="AE36" i="113" s="1"/>
  <c r="AD36" i="113"/>
  <c r="AF36" i="113"/>
  <c r="AG36" i="113"/>
  <c r="AH36" i="113"/>
  <c r="AI36" i="113"/>
  <c r="AJ36" i="113"/>
  <c r="AK36" i="113"/>
  <c r="AL36" i="113"/>
  <c r="AM36" i="113"/>
  <c r="AO36" i="113"/>
  <c r="AQ36" i="113" s="1"/>
  <c r="AP36" i="113"/>
  <c r="AR36" i="113"/>
  <c r="AS36" i="113"/>
  <c r="AU36" i="113" s="1"/>
  <c r="AT36" i="113"/>
  <c r="AV36" i="113"/>
  <c r="AX36" i="113" s="1"/>
  <c r="AW36" i="113"/>
  <c r="AY36" i="113"/>
  <c r="AZ36" i="113"/>
  <c r="BB36" i="113" s="1"/>
  <c r="BA36" i="113"/>
  <c r="BC36" i="113"/>
  <c r="BD36" i="113"/>
  <c r="BE36" i="113"/>
  <c r="BF36" i="113"/>
  <c r="BG36" i="113"/>
  <c r="BH36" i="113"/>
  <c r="BI36" i="113"/>
  <c r="BJ36" i="113"/>
  <c r="BK36" i="113"/>
  <c r="BL36" i="113"/>
  <c r="BM36" i="113"/>
  <c r="BN36" i="113"/>
  <c r="BO36" i="113"/>
  <c r="BP36" i="113"/>
  <c r="BQ36" i="113"/>
  <c r="BR36" i="113"/>
  <c r="BS36" i="113"/>
  <c r="BT36" i="113"/>
  <c r="BU36" i="113"/>
  <c r="BV36" i="113"/>
  <c r="CB36" i="113"/>
  <c r="CC36" i="113"/>
  <c r="CE36" i="113" s="1"/>
  <c r="CD36" i="113"/>
  <c r="CF36" i="113"/>
  <c r="CH36" i="113" s="1"/>
  <c r="CG36" i="113"/>
  <c r="CI36" i="113"/>
  <c r="Q37" i="113"/>
  <c r="R37" i="113"/>
  <c r="S37" i="113"/>
  <c r="T37" i="113"/>
  <c r="U37" i="113"/>
  <c r="V37" i="113"/>
  <c r="X37" i="113" s="1"/>
  <c r="W37" i="113"/>
  <c r="Y37" i="113"/>
  <c r="AA37" i="113" s="1"/>
  <c r="Z37" i="113"/>
  <c r="AB37" i="113"/>
  <c r="AC37" i="113"/>
  <c r="AE37" i="113" s="1"/>
  <c r="AD37" i="113"/>
  <c r="AF37" i="113"/>
  <c r="AG37" i="113"/>
  <c r="AH37" i="113"/>
  <c r="AI37" i="113"/>
  <c r="AJ37" i="113"/>
  <c r="AK37" i="113"/>
  <c r="AL37" i="113"/>
  <c r="AM37" i="113"/>
  <c r="AN37" i="113"/>
  <c r="AO37" i="113"/>
  <c r="AQ37" i="113" s="1"/>
  <c r="AP37" i="113"/>
  <c r="AR37" i="113"/>
  <c r="AS37" i="113"/>
  <c r="AU37" i="113" s="1"/>
  <c r="AT37" i="113"/>
  <c r="AV37" i="113"/>
  <c r="AX37" i="113" s="1"/>
  <c r="AW37" i="113"/>
  <c r="AY37" i="113"/>
  <c r="AZ37" i="113"/>
  <c r="BB37" i="113" s="1"/>
  <c r="BA37" i="113"/>
  <c r="BC37" i="113"/>
  <c r="BD37" i="113"/>
  <c r="BE37" i="113"/>
  <c r="BF37" i="113"/>
  <c r="BG37" i="113"/>
  <c r="BH37" i="113"/>
  <c r="BI37" i="113"/>
  <c r="BJ37" i="113"/>
  <c r="BK37" i="113"/>
  <c r="BL37" i="113"/>
  <c r="BM37" i="113"/>
  <c r="BN37" i="113"/>
  <c r="BO37" i="113"/>
  <c r="BP37" i="113"/>
  <c r="BQ37" i="113"/>
  <c r="BR37" i="113"/>
  <c r="BS37" i="113"/>
  <c r="BT37" i="113"/>
  <c r="BU37" i="113"/>
  <c r="BV37" i="113"/>
  <c r="CB37" i="113"/>
  <c r="CC37" i="113"/>
  <c r="CE37" i="113" s="1"/>
  <c r="CD37" i="113"/>
  <c r="CF37" i="113"/>
  <c r="CH37" i="113" s="1"/>
  <c r="CG37" i="113"/>
  <c r="CI37" i="113"/>
  <c r="Z21" i="32" l="1"/>
  <c r="Z15" i="32"/>
  <c r="Z18" i="32"/>
  <c r="Z16" i="32"/>
  <c r="Z13" i="32"/>
  <c r="Z12" i="32"/>
  <c r="Z17" i="32"/>
  <c r="Z7" i="32"/>
  <c r="Z10" i="32"/>
  <c r="Z9" i="32"/>
  <c r="Z5" i="32"/>
  <c r="Q27" i="113" l="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N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3" i="113"/>
  <c r="AN23" i="113" s="1"/>
  <c r="R23" i="113"/>
  <c r="S23" i="113"/>
  <c r="T23" i="113"/>
  <c r="U23" i="113"/>
  <c r="V23" i="113"/>
  <c r="X23" i="113" s="1"/>
  <c r="W23" i="113"/>
  <c r="Y23" i="113"/>
  <c r="AA23" i="113" s="1"/>
  <c r="Z23" i="113"/>
  <c r="AB23" i="113"/>
  <c r="AC23" i="113"/>
  <c r="AE23" i="113" s="1"/>
  <c r="AD23" i="113"/>
  <c r="AF23" i="113"/>
  <c r="AG23" i="113"/>
  <c r="AH23" i="113"/>
  <c r="AI23" i="113"/>
  <c r="AJ23" i="113"/>
  <c r="AK23" i="113"/>
  <c r="AL23" i="113"/>
  <c r="AM23" i="113"/>
  <c r="AO23" i="113"/>
  <c r="AQ23" i="113" s="1"/>
  <c r="AP23" i="113"/>
  <c r="AR23" i="113"/>
  <c r="AS23" i="113"/>
  <c r="AU23" i="113" s="1"/>
  <c r="AT23" i="113"/>
  <c r="AV23" i="113"/>
  <c r="AX23" i="113" s="1"/>
  <c r="AW23" i="113"/>
  <c r="AY23" i="113"/>
  <c r="AZ23" i="113"/>
  <c r="BB23" i="113" s="1"/>
  <c r="BA23" i="113"/>
  <c r="BC23" i="113"/>
  <c r="BD23" i="113"/>
  <c r="BE23" i="113"/>
  <c r="BF23" i="113"/>
  <c r="BG23" i="113"/>
  <c r="BH23" i="113"/>
  <c r="BI23" i="113"/>
  <c r="BJ23" i="113"/>
  <c r="BK23" i="113"/>
  <c r="BL23" i="113"/>
  <c r="BM23" i="113"/>
  <c r="BN23" i="113"/>
  <c r="BO23" i="113"/>
  <c r="BP23" i="113"/>
  <c r="BQ23" i="113"/>
  <c r="BR23" i="113"/>
  <c r="BS23" i="113"/>
  <c r="BT23" i="113"/>
  <c r="BU23" i="113"/>
  <c r="BV23" i="113"/>
  <c r="CB23" i="113"/>
  <c r="CC23" i="113"/>
  <c r="CE23" i="113" s="1"/>
  <c r="CD23" i="113"/>
  <c r="CF23" i="113"/>
  <c r="CH23" i="113" s="1"/>
  <c r="CG23" i="113"/>
  <c r="CI23" i="113"/>
  <c r="Q26" i="113"/>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N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8" i="113"/>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N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R29" i="113"/>
  <c r="S29" i="113"/>
  <c r="T29" i="113"/>
  <c r="U29" i="113"/>
  <c r="V29" i="113"/>
  <c r="X29" i="113" s="1"/>
  <c r="W29" i="113"/>
  <c r="Y29" i="113"/>
  <c r="AA29" i="113" s="1"/>
  <c r="Z29" i="113"/>
  <c r="AB29" i="113"/>
  <c r="AC29" i="113"/>
  <c r="AE29" i="113" s="1"/>
  <c r="AD29" i="113"/>
  <c r="AF29" i="113"/>
  <c r="AG29" i="113"/>
  <c r="AH29" i="113"/>
  <c r="AI29" i="113"/>
  <c r="AJ29" i="113"/>
  <c r="AK29" i="113"/>
  <c r="AL29" i="113"/>
  <c r="AM29" i="113"/>
  <c r="AN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AN30" i="113" s="1"/>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Z20" i="32" l="1"/>
  <c r="Z22" i="32"/>
  <c r="Z14" i="32"/>
  <c r="X22" i="32" l="1"/>
  <c r="X21" i="32"/>
  <c r="X15" i="32"/>
  <c r="X18" i="32"/>
  <c r="X16" i="32"/>
  <c r="X13" i="32"/>
  <c r="X14" i="32"/>
  <c r="X12" i="32"/>
  <c r="X17" i="32"/>
  <c r="X8" i="32"/>
  <c r="X7" i="32"/>
  <c r="X10" i="32"/>
  <c r="X9" i="32"/>
  <c r="X5" i="32"/>
  <c r="X20" i="32" l="1"/>
  <c r="X23" i="32"/>
  <c r="X19" i="32"/>
  <c r="X11" i="32"/>
  <c r="AB22" i="32" l="1"/>
  <c r="AB23" i="32"/>
  <c r="AB21"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1" i="32"/>
  <c r="AH22" i="32"/>
  <c r="AH23"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1" i="32"/>
  <c r="AQ22" i="32"/>
  <c r="AQ23" i="32"/>
  <c r="AQ5" i="32"/>
  <c r="F24" i="49" l="1"/>
  <c r="AR23" i="32"/>
  <c r="AR6" i="32"/>
  <c r="AR7" i="32"/>
  <c r="AR8" i="32"/>
  <c r="AR9" i="32"/>
  <c r="AR10" i="32"/>
  <c r="AR11" i="32"/>
  <c r="AR12" i="32"/>
  <c r="AR13" i="32"/>
  <c r="AR14" i="32"/>
  <c r="AR15" i="32"/>
  <c r="AR16" i="32"/>
  <c r="AR17" i="32"/>
  <c r="AR18" i="32"/>
  <c r="AR19" i="32"/>
  <c r="AR20" i="32"/>
  <c r="AR21" i="32"/>
  <c r="AR22" i="32"/>
  <c r="AR5" i="32"/>
  <c r="A18" i="85" l="1"/>
  <c r="Z23" i="32"/>
  <c r="Z8" i="32"/>
  <c r="O13" i="85" l="1"/>
  <c r="I12" i="106" l="1"/>
  <c r="G12" i="106"/>
  <c r="E12" i="106"/>
  <c r="D12" i="106"/>
  <c r="C12" i="106"/>
  <c r="B12" i="106"/>
  <c r="J13" i="105"/>
  <c r="H13" i="105"/>
  <c r="F13" i="105"/>
  <c r="E13" i="105"/>
  <c r="D13" i="105"/>
  <c r="C13" i="105"/>
  <c r="A4" i="76" l="1"/>
  <c r="B4" i="76"/>
  <c r="C4" i="76"/>
  <c r="G4" i="76" s="1"/>
  <c r="D4" i="76"/>
  <c r="E4" i="76" s="1"/>
  <c r="F4" i="76" s="1"/>
  <c r="A5" i="76"/>
  <c r="B5" i="76"/>
  <c r="C5" i="76"/>
  <c r="D5" i="76"/>
  <c r="E5" i="76" s="1"/>
  <c r="G5" i="76"/>
  <c r="H5" i="76" s="1"/>
  <c r="A6" i="76"/>
  <c r="B6" i="76"/>
  <c r="C6" i="76"/>
  <c r="D6" i="76"/>
  <c r="E6" i="76" s="1"/>
  <c r="F6" i="76" s="1"/>
  <c r="G6" i="76"/>
  <c r="H6" i="76"/>
  <c r="A7" i="76"/>
  <c r="B7" i="76"/>
  <c r="C7" i="76"/>
  <c r="D7" i="76"/>
  <c r="E7" i="76" s="1"/>
  <c r="G7" i="76"/>
  <c r="H7" i="76" s="1"/>
  <c r="A8" i="76"/>
  <c r="B8" i="76"/>
  <c r="C8" i="76"/>
  <c r="D8" i="76"/>
  <c r="E8" i="76" s="1"/>
  <c r="F8" i="76" s="1"/>
  <c r="G8" i="76"/>
  <c r="I8" i="76" s="1"/>
  <c r="H8" i="76"/>
  <c r="A9" i="76"/>
  <c r="B9" i="76"/>
  <c r="C9" i="76"/>
  <c r="D9" i="76"/>
  <c r="E9" i="76"/>
  <c r="I9" i="76" s="1"/>
  <c r="G9" i="76"/>
  <c r="H9" i="76" s="1"/>
  <c r="A10" i="76"/>
  <c r="B10" i="76"/>
  <c r="C10" i="76"/>
  <c r="D10" i="76"/>
  <c r="E10" i="76" s="1"/>
  <c r="F10" i="76" s="1"/>
  <c r="G10" i="76"/>
  <c r="H10" i="76"/>
  <c r="A11" i="76"/>
  <c r="B11" i="76"/>
  <c r="C11" i="76"/>
  <c r="D11" i="76"/>
  <c r="E11" i="76"/>
  <c r="I11" i="76" s="1"/>
  <c r="G11" i="76"/>
  <c r="H11" i="76" s="1"/>
  <c r="A12" i="76"/>
  <c r="B12" i="76"/>
  <c r="C12" i="76"/>
  <c r="D12" i="76"/>
  <c r="E12" i="76" s="1"/>
  <c r="F12" i="76" s="1"/>
  <c r="G12" i="76"/>
  <c r="H12" i="76"/>
  <c r="A13" i="76"/>
  <c r="B13" i="76"/>
  <c r="C13" i="76"/>
  <c r="D13" i="76"/>
  <c r="E13" i="76" s="1"/>
  <c r="F13" i="76" s="1"/>
  <c r="G13" i="76"/>
  <c r="H13" i="76" s="1"/>
  <c r="A14" i="76"/>
  <c r="B14" i="76"/>
  <c r="C14" i="76"/>
  <c r="G14" i="76" s="1"/>
  <c r="D14" i="76"/>
  <c r="E14" i="76" s="1"/>
  <c r="F14" i="76" s="1"/>
  <c r="A15" i="76"/>
  <c r="B15" i="76"/>
  <c r="C15" i="76"/>
  <c r="D15" i="76"/>
  <c r="E15" i="76"/>
  <c r="I15" i="76" s="1"/>
  <c r="G15" i="76"/>
  <c r="H15" i="76" s="1"/>
  <c r="A16" i="76"/>
  <c r="B16" i="76"/>
  <c r="C16" i="76"/>
  <c r="G16" i="76" s="1"/>
  <c r="D16" i="76"/>
  <c r="E16" i="76" s="1"/>
  <c r="F16" i="76" s="1"/>
  <c r="A17" i="76"/>
  <c r="B17" i="76"/>
  <c r="C17" i="76"/>
  <c r="D17" i="76"/>
  <c r="E17" i="76" s="1"/>
  <c r="G17" i="76"/>
  <c r="H17" i="76" s="1"/>
  <c r="A18" i="76"/>
  <c r="B18" i="76"/>
  <c r="C18" i="76"/>
  <c r="G18" i="76" s="1"/>
  <c r="D18" i="76"/>
  <c r="E18" i="76" s="1"/>
  <c r="F18" i="76" s="1"/>
  <c r="A19" i="76"/>
  <c r="B19" i="76"/>
  <c r="C19" i="76"/>
  <c r="D19" i="76"/>
  <c r="E19" i="76" s="1"/>
  <c r="F19" i="76" s="1"/>
  <c r="G19" i="76"/>
  <c r="H19" i="76" s="1"/>
  <c r="A20" i="76"/>
  <c r="B20" i="76"/>
  <c r="C20" i="76"/>
  <c r="G20" i="76" s="1"/>
  <c r="D20" i="76"/>
  <c r="E20" i="76" s="1"/>
  <c r="F20" i="76" s="1"/>
  <c r="A21" i="76"/>
  <c r="B21" i="76"/>
  <c r="C21" i="76"/>
  <c r="D21" i="76"/>
  <c r="E21" i="76" s="1"/>
  <c r="G21" i="76"/>
  <c r="H21" i="76" s="1"/>
  <c r="G3" i="76"/>
  <c r="D3" i="76"/>
  <c r="C3" i="76"/>
  <c r="B3" i="76"/>
  <c r="A3" i="76"/>
  <c r="M3" i="102"/>
  <c r="M7" i="102"/>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D3" i="102"/>
  <c r="N3" i="102" s="1"/>
  <c r="F3" i="102"/>
  <c r="A8" i="102"/>
  <c r="C8" i="102"/>
  <c r="M8" i="102" s="1"/>
  <c r="D8" i="102"/>
  <c r="N8" i="102" s="1"/>
  <c r="F8" i="102"/>
  <c r="A7" i="102"/>
  <c r="C7" i="102"/>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c r="A2" i="83"/>
  <c r="A5" i="83"/>
  <c r="M5" i="83" s="1"/>
  <c r="A7" i="83"/>
  <c r="A12" i="83"/>
  <c r="A16" i="83"/>
  <c r="A4" i="83"/>
  <c r="M4" i="83" s="1"/>
  <c r="A9" i="83"/>
  <c r="A13" i="83"/>
  <c r="A14" i="83"/>
  <c r="A3" i="83"/>
  <c r="M3" i="83" s="1"/>
  <c r="A6" i="83"/>
  <c r="H6" i="83" s="1"/>
  <c r="A17" i="83"/>
  <c r="A18" i="83"/>
  <c r="A19" i="83"/>
  <c r="B19" i="83"/>
  <c r="C19" i="83"/>
  <c r="D19" i="83" s="1"/>
  <c r="A10" i="83"/>
  <c r="A11" i="83"/>
  <c r="A8" i="83"/>
  <c r="A20" i="83"/>
  <c r="W14" i="32"/>
  <c r="W13" i="32"/>
  <c r="W9" i="32"/>
  <c r="F15" i="76" l="1"/>
  <c r="I19" i="76"/>
  <c r="J19" i="76"/>
  <c r="F11" i="76"/>
  <c r="J11" i="76" s="1"/>
  <c r="J12" i="76"/>
  <c r="I5" i="76"/>
  <c r="F5" i="76"/>
  <c r="J5" i="76" s="1"/>
  <c r="J8" i="76"/>
  <c r="I7" i="76"/>
  <c r="F7" i="76"/>
  <c r="I21" i="76"/>
  <c r="F21" i="76"/>
  <c r="J21" i="76" s="1"/>
  <c r="I17" i="76"/>
  <c r="F17" i="76"/>
  <c r="J17" i="76" s="1"/>
  <c r="I13" i="76"/>
  <c r="J13" i="76"/>
  <c r="I12" i="76"/>
  <c r="J9" i="76"/>
  <c r="F9" i="76"/>
  <c r="J15" i="76"/>
  <c r="J7" i="76"/>
  <c r="I20" i="76"/>
  <c r="H20" i="76"/>
  <c r="J20" i="76" s="1"/>
  <c r="I16" i="76"/>
  <c r="H16" i="76"/>
  <c r="J16" i="76" s="1"/>
  <c r="I4" i="76"/>
  <c r="H4" i="76"/>
  <c r="J4" i="76" s="1"/>
  <c r="J10" i="76"/>
  <c r="J6" i="76"/>
  <c r="I18" i="76"/>
  <c r="H18" i="76"/>
  <c r="J18" i="76" s="1"/>
  <c r="I14" i="76"/>
  <c r="H14" i="76"/>
  <c r="J14" i="76" s="1"/>
  <c r="I10" i="76"/>
  <c r="I6" i="76"/>
  <c r="H5" i="83"/>
  <c r="H4" i="83"/>
  <c r="H3" i="83"/>
  <c r="T24" i="32" l="1"/>
  <c r="T25" i="32" s="1"/>
  <c r="R24" i="32"/>
  <c r="AB19" i="32"/>
  <c r="AB11" i="32"/>
  <c r="AA9" i="32"/>
  <c r="W5" i="32"/>
  <c r="T17" i="49" l="1"/>
  <c r="Q33" i="49"/>
  <c r="D4" i="112"/>
  <c r="J4" i="112"/>
  <c r="Q4" i="112"/>
  <c r="L4" i="112" l="1"/>
  <c r="X6" i="32"/>
  <c r="T31" i="49" l="1"/>
  <c r="Z19" i="32" l="1"/>
  <c r="Z11" i="32"/>
  <c r="N4" i="112"/>
  <c r="Z6" i="32"/>
  <c r="W20" i="32" l="1"/>
  <c r="W21" i="32"/>
  <c r="W19" i="32"/>
  <c r="W15" i="32"/>
  <c r="W18" i="32"/>
  <c r="W16" i="32"/>
  <c r="W11" i="32"/>
  <c r="W17" i="32"/>
  <c r="W7" i="32"/>
  <c r="K4" i="112" s="1"/>
  <c r="W10" i="32"/>
  <c r="W6" i="32"/>
  <c r="Y21" i="32" l="1"/>
  <c r="Y9" i="32"/>
  <c r="V5" i="32"/>
  <c r="N13" i="85" l="1"/>
  <c r="V2" i="85"/>
  <c r="AA23" i="32" l="1"/>
  <c r="AA21" i="32"/>
  <c r="AA15" i="32"/>
  <c r="AA18" i="32"/>
  <c r="AA16" i="32"/>
  <c r="AA13" i="32"/>
  <c r="AA14" i="32"/>
  <c r="AA12" i="32"/>
  <c r="AA8" i="32"/>
  <c r="P4" i="112"/>
  <c r="AA7" i="32"/>
  <c r="O4" i="112" s="1"/>
  <c r="AA10" i="32"/>
  <c r="AA5" i="32"/>
  <c r="Y23" i="32" l="1"/>
  <c r="Y15" i="32"/>
  <c r="Y18" i="32"/>
  <c r="Y16" i="32"/>
  <c r="Y13" i="32"/>
  <c r="Y14" i="32"/>
  <c r="Y11" i="32"/>
  <c r="Y17" i="32"/>
  <c r="Y7" i="32"/>
  <c r="M4" i="112" s="1"/>
  <c r="Y10"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1" i="32"/>
  <c r="J22" i="32"/>
  <c r="J23" i="32"/>
  <c r="J5" i="32"/>
  <c r="AF22" i="32" l="1"/>
  <c r="AG22" i="32"/>
  <c r="AG23" i="32"/>
  <c r="AF23" i="32"/>
  <c r="AF21" i="32"/>
  <c r="AG21"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D12" i="83" s="1"/>
  <c r="B12" i="83"/>
  <c r="B11" i="102"/>
  <c r="L11" i="102" s="1"/>
  <c r="AG9" i="32"/>
  <c r="AF9" i="32"/>
  <c r="AF5" i="32"/>
  <c r="AG5" i="32"/>
  <c r="C11" i="83"/>
  <c r="B4" i="102"/>
  <c r="L4" i="102" s="1"/>
  <c r="B11" i="83"/>
  <c r="B6" i="102"/>
  <c r="L6" i="102" s="1"/>
  <c r="B8" i="83"/>
  <c r="C8" i="83"/>
  <c r="D8" i="83" s="1"/>
  <c r="E8" i="83" s="1"/>
  <c r="F8" i="83" s="1"/>
  <c r="B17" i="102"/>
  <c r="B18" i="83"/>
  <c r="C18" i="83"/>
  <c r="D18" i="83" s="1"/>
  <c r="B14" i="83"/>
  <c r="C14" i="83"/>
  <c r="B9" i="102"/>
  <c r="L9" i="102" s="1"/>
  <c r="B17" i="83"/>
  <c r="C17" i="83"/>
  <c r="B5" i="102"/>
  <c r="L5" i="102" s="1"/>
  <c r="B3" i="83"/>
  <c r="B10" i="102"/>
  <c r="L10" i="102" s="1"/>
  <c r="C3" i="83"/>
  <c r="D3" i="83" s="1"/>
  <c r="B8" i="102"/>
  <c r="L8" i="102" s="1"/>
  <c r="B9" i="83"/>
  <c r="C9" i="83"/>
  <c r="B7" i="102"/>
  <c r="L7" i="102" s="1"/>
  <c r="C13" i="83"/>
  <c r="B13" i="83"/>
  <c r="C4" i="83"/>
  <c r="B3" i="102"/>
  <c r="L3" i="102" s="1"/>
  <c r="B4" i="83"/>
  <c r="C16" i="83"/>
  <c r="B16" i="102"/>
  <c r="B16" i="83"/>
  <c r="C6" i="83"/>
  <c r="B15" i="102"/>
  <c r="B6" i="83"/>
  <c r="B5" i="83"/>
  <c r="B14" i="102"/>
  <c r="C5" i="83"/>
  <c r="D5" i="83" s="1"/>
  <c r="AE7" i="32"/>
  <c r="B20" i="102"/>
  <c r="B2" i="83"/>
  <c r="C2" i="83"/>
  <c r="C7" i="83"/>
  <c r="B7" i="83"/>
  <c r="B13" i="102"/>
  <c r="B20" i="83"/>
  <c r="C20" i="83"/>
  <c r="AD7" i="32"/>
  <c r="D14" i="83" l="1"/>
  <c r="D9" i="83"/>
  <c r="D7" i="83"/>
  <c r="D10" i="83"/>
  <c r="D13" i="83"/>
  <c r="D11" i="83"/>
  <c r="D17" i="83"/>
  <c r="I3" i="83"/>
  <c r="N3" i="83"/>
  <c r="D4" i="83"/>
  <c r="D16" i="83"/>
  <c r="D6" i="83"/>
  <c r="I6" i="83" s="1"/>
  <c r="I5" i="83"/>
  <c r="N5" i="83"/>
  <c r="D2" i="83"/>
  <c r="S20" i="32"/>
  <c r="N4" i="83" l="1"/>
  <c r="I4" i="83"/>
  <c r="M25" i="96"/>
  <c r="M19" i="96"/>
  <c r="K6" i="111"/>
  <c r="K5" i="111"/>
  <c r="K9" i="111"/>
  <c r="Z16" i="111"/>
  <c r="Z17" i="111"/>
  <c r="Z18" i="111"/>
  <c r="Z19" i="111"/>
  <c r="Z20" i="111"/>
  <c r="Z21" i="111"/>
  <c r="Z22" i="111"/>
  <c r="Z23" i="111"/>
  <c r="Z24" i="111"/>
  <c r="X15" i="111"/>
  <c r="Z15" i="111" s="1"/>
  <c r="X14" i="111"/>
  <c r="Z14" i="111" s="1"/>
  <c r="AH4" i="111"/>
  <c r="S30" i="84"/>
  <c r="A15" i="110"/>
  <c r="Z11" i="110"/>
  <c r="Z12" i="110"/>
  <c r="Z16" i="110"/>
  <c r="Z17" i="110"/>
  <c r="Z13" i="110"/>
  <c r="Z19" i="110"/>
  <c r="Z20" i="110"/>
  <c r="Z21" i="110"/>
  <c r="Z14" i="110"/>
  <c r="Z15" i="110"/>
  <c r="Z18" i="110"/>
  <c r="Z22" i="110"/>
  <c r="Z23" i="110"/>
  <c r="Z24" i="110"/>
  <c r="AG4" i="110"/>
  <c r="Z16" i="107"/>
  <c r="Z17" i="107"/>
  <c r="Z18" i="107"/>
  <c r="Z19" i="107"/>
  <c r="Z20" i="107"/>
  <c r="Z21" i="107"/>
  <c r="Z22" i="107"/>
  <c r="Z23" i="107"/>
  <c r="Z24" i="107"/>
  <c r="AG4" i="107"/>
  <c r="BP27" i="86"/>
  <c r="BQ27" i="86"/>
  <c r="BH8" i="86"/>
  <c r="BL8" i="86"/>
  <c r="BP8" i="86"/>
  <c r="BQ8" i="86"/>
  <c r="BP24" i="86"/>
  <c r="BQ24" i="86"/>
  <c r="BH24" i="86"/>
  <c r="BH5" i="86"/>
  <c r="BL5" i="86"/>
  <c r="BM5" i="86"/>
  <c r="AR6" i="86"/>
  <c r="AR7" i="86"/>
  <c r="K4" i="108"/>
  <c r="P24" i="84"/>
  <c r="P23" i="84"/>
  <c r="A14" i="108"/>
  <c r="AG4" i="108"/>
  <c r="K15" i="108"/>
  <c r="K14" i="108"/>
  <c r="K19" i="108"/>
  <c r="K18" i="108"/>
  <c r="K12" i="108"/>
  <c r="K11" i="108"/>
  <c r="K10" i="108"/>
  <c r="K8" i="108"/>
  <c r="K7" i="108"/>
  <c r="K6" i="108"/>
  <c r="K5" i="108"/>
  <c r="A15" i="108"/>
  <c r="A12" i="108"/>
  <c r="Z16" i="108"/>
  <c r="Z17" i="108"/>
  <c r="Z18" i="108"/>
  <c r="Z19" i="108"/>
  <c r="Z20" i="108"/>
  <c r="Z21" i="108"/>
  <c r="Z22" i="108"/>
  <c r="Z23" i="108"/>
  <c r="Z24" i="108"/>
  <c r="C5" i="106"/>
  <c r="T15" i="84" l="1"/>
  <c r="AG27" i="96"/>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H13" i="84" l="1"/>
  <c r="Y9" i="111"/>
  <c r="K24" i="111"/>
  <c r="K23" i="111"/>
  <c r="K22" i="111"/>
  <c r="K15" i="111"/>
  <c r="K12" i="111"/>
  <c r="K21" i="111"/>
  <c r="K20" i="111"/>
  <c r="K14" i="111"/>
  <c r="K18" i="111"/>
  <c r="K17" i="111"/>
  <c r="K16" i="111"/>
  <c r="K13" i="111"/>
  <c r="K4" i="111"/>
  <c r="K10" i="111"/>
  <c r="K11" i="111"/>
  <c r="K8" i="111"/>
  <c r="K7" i="111"/>
  <c r="K13" i="110"/>
  <c r="M13" i="110" s="1"/>
  <c r="V13" i="110"/>
  <c r="K24" i="110"/>
  <c r="K23" i="110"/>
  <c r="K22" i="110"/>
  <c r="K18" i="110"/>
  <c r="K15" i="110"/>
  <c r="K14" i="110"/>
  <c r="K21" i="110"/>
  <c r="K20" i="110"/>
  <c r="K17" i="110"/>
  <c r="K16" i="110"/>
  <c r="K12" i="110"/>
  <c r="K11" i="110"/>
  <c r="K10" i="110"/>
  <c r="K5" i="110"/>
  <c r="K9" i="110"/>
  <c r="K8" i="110"/>
  <c r="K7" i="110"/>
  <c r="K4" i="110"/>
  <c r="K6" i="110"/>
  <c r="K24" i="107"/>
  <c r="K23" i="107"/>
  <c r="K22" i="107"/>
  <c r="K21" i="107"/>
  <c r="K20" i="107"/>
  <c r="K13" i="107"/>
  <c r="K18" i="107"/>
  <c r="K17" i="107"/>
  <c r="K16" i="107"/>
  <c r="K11" i="107"/>
  <c r="K14" i="107"/>
  <c r="K12" i="107"/>
  <c r="K10" i="107"/>
  <c r="K4" i="107"/>
  <c r="K9" i="107"/>
  <c r="K8" i="107"/>
  <c r="K6" i="107"/>
  <c r="K7" i="107"/>
  <c r="K5" i="107"/>
  <c r="M15" i="107"/>
  <c r="O15" i="107"/>
  <c r="R15" i="107"/>
  <c r="X15" i="107" s="1"/>
  <c r="Y15" i="107" s="1"/>
  <c r="Z15" i="107" s="1"/>
  <c r="S15" i="107"/>
  <c r="U15" i="107"/>
  <c r="V15" i="107"/>
  <c r="W15" i="107"/>
  <c r="K15" i="107"/>
  <c r="P15" i="107" s="1"/>
  <c r="K13" i="108"/>
  <c r="K9" i="108"/>
  <c r="P9" i="108" s="1"/>
  <c r="K20" i="86"/>
  <c r="AC20" i="86" s="1"/>
  <c r="L20" i="86"/>
  <c r="AD20" i="86" s="1"/>
  <c r="M20" i="86"/>
  <c r="AE20" i="86" s="1"/>
  <c r="N20" i="86"/>
  <c r="AF20" i="86" s="1"/>
  <c r="O20" i="86"/>
  <c r="AG20" i="86" s="1"/>
  <c r="P20" i="86"/>
  <c r="J20" i="86"/>
  <c r="I20" i="86"/>
  <c r="E20" i="86"/>
  <c r="D20" i="86"/>
  <c r="AR19" i="86" s="1"/>
  <c r="BF5" i="86" s="1"/>
  <c r="AR5" i="86" l="1"/>
  <c r="BB19" i="86"/>
  <c r="BP5" i="86" s="1"/>
  <c r="T13" i="110"/>
  <c r="W13" i="110"/>
  <c r="S13" i="110"/>
  <c r="U13" i="110"/>
  <c r="Q15" i="107"/>
  <c r="L15" i="107"/>
  <c r="T15" i="107"/>
  <c r="M9" i="108"/>
  <c r="R9" i="108"/>
  <c r="X9" i="108" s="1"/>
  <c r="N9" i="108"/>
  <c r="O9" i="108"/>
  <c r="U9" i="108"/>
  <c r="Q9" i="108"/>
  <c r="S9" i="108"/>
  <c r="T9" i="108"/>
  <c r="Y9" i="108"/>
  <c r="Z9" i="108" s="1"/>
  <c r="BB5" i="86"/>
  <c r="AC24" i="32"/>
  <c r="AB20" i="32"/>
  <c r="AB6" i="32"/>
  <c r="AA20" i="32" l="1"/>
  <c r="AA19" i="32"/>
  <c r="AA11" i="32"/>
  <c r="P21" i="113" l="1"/>
  <c r="O21" i="113"/>
  <c r="N21" i="113"/>
  <c r="M21" i="113"/>
  <c r="K21" i="113"/>
  <c r="J21" i="113"/>
  <c r="H21" i="113"/>
  <c r="C21" i="113"/>
  <c r="A21" i="113"/>
  <c r="P20" i="113"/>
  <c r="O20" i="113"/>
  <c r="N20" i="113"/>
  <c r="K20" i="113"/>
  <c r="J20" i="113"/>
  <c r="H20" i="113"/>
  <c r="E20" i="113"/>
  <c r="C20" i="113"/>
  <c r="A20" i="113"/>
  <c r="P19" i="113"/>
  <c r="O19" i="113"/>
  <c r="N19" i="113"/>
  <c r="M19" i="113"/>
  <c r="K19" i="113"/>
  <c r="J19" i="113"/>
  <c r="H19" i="113"/>
  <c r="E19" i="113"/>
  <c r="C19" i="113"/>
  <c r="A19"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1" i="113"/>
  <c r="R4" i="113"/>
  <c r="R8" i="113"/>
  <c r="R11" i="113"/>
  <c r="R3" i="113"/>
  <c r="R5" i="113"/>
  <c r="R7" i="113"/>
  <c r="R10" i="113"/>
  <c r="R14" i="113"/>
  <c r="R18" i="113"/>
  <c r="R20" i="113"/>
  <c r="R21" i="113"/>
  <c r="R13" i="113"/>
  <c r="R9" i="113"/>
  <c r="U9" i="113"/>
  <c r="U13" i="113"/>
  <c r="BL14" i="113"/>
  <c r="R15" i="113"/>
  <c r="R17" i="113"/>
  <c r="T20" i="113"/>
  <c r="R19" i="113"/>
  <c r="Y6" i="113"/>
  <c r="AA6" i="113" s="1"/>
  <c r="BA6" i="113"/>
  <c r="Q17" i="113"/>
  <c r="AN17" i="113" s="1"/>
  <c r="BN21" i="113"/>
  <c r="S4" i="113"/>
  <c r="U6" i="113"/>
  <c r="U8" i="113"/>
  <c r="AH11" i="113"/>
  <c r="U12" i="113"/>
  <c r="U15" i="113"/>
  <c r="U17" i="113"/>
  <c r="U20" i="113"/>
  <c r="R6" i="113"/>
  <c r="U11" i="113"/>
  <c r="U4" i="113"/>
  <c r="U3" i="113"/>
  <c r="U10" i="113"/>
  <c r="BP7" i="113"/>
  <c r="BV5" i="113"/>
  <c r="BL7" i="113"/>
  <c r="W18" i="113"/>
  <c r="AT19" i="113"/>
  <c r="CF10" i="113"/>
  <c r="CH10" i="113" s="1"/>
  <c r="BD12" i="113"/>
  <c r="BV13" i="113"/>
  <c r="BX14" i="113"/>
  <c r="BK15" i="113"/>
  <c r="U19" i="113"/>
  <c r="BK18" i="113"/>
  <c r="U14" i="113"/>
  <c r="U5" i="113"/>
  <c r="Q6" i="113"/>
  <c r="AN6" i="113" s="1"/>
  <c r="U7" i="113"/>
  <c r="U18" i="113"/>
  <c r="AH21" i="113"/>
  <c r="W3" i="113"/>
  <c r="BL3" i="113"/>
  <c r="Q4" i="113"/>
  <c r="AN4" i="113" s="1"/>
  <c r="BN5" i="113"/>
  <c r="S5" i="113"/>
  <c r="BP8" i="113"/>
  <c r="AL9" i="113"/>
  <c r="S13" i="113"/>
  <c r="CA15" i="113"/>
  <c r="S16" i="113"/>
  <c r="AM20" i="113"/>
  <c r="AJ8" i="113"/>
  <c r="U21"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19" i="113"/>
  <c r="CE19" i="113" s="1"/>
  <c r="S19" i="113"/>
  <c r="CC6" i="113"/>
  <c r="CE6" i="113" s="1"/>
  <c r="BL10" i="113"/>
  <c r="AD3" i="113"/>
  <c r="BW3" i="113"/>
  <c r="BF4" i="113"/>
  <c r="CA7" i="113"/>
  <c r="AW9" i="113"/>
  <c r="AM10" i="113"/>
  <c r="BD10" i="113"/>
  <c r="BK12" i="113"/>
  <c r="BZ15" i="113"/>
  <c r="BZ16" i="113"/>
  <c r="V19" i="113"/>
  <c r="X19" i="113" s="1"/>
  <c r="Q19"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1" i="113"/>
  <c r="AL21"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0" i="113"/>
  <c r="X20" i="113" s="1"/>
  <c r="CD20" i="113"/>
  <c r="BG20" i="113"/>
  <c r="AZ20" i="113"/>
  <c r="BB20" i="113" s="1"/>
  <c r="W20" i="113"/>
  <c r="BL20"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19" i="113"/>
  <c r="BR19" i="113"/>
  <c r="AD19" i="113"/>
  <c r="CA20" i="113"/>
  <c r="CC21" i="113"/>
  <c r="CE21" i="113" s="1"/>
  <c r="BZ21"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0" i="113"/>
  <c r="W21" i="113"/>
  <c r="CD21" i="113"/>
  <c r="Z21" i="113"/>
  <c r="AP21" i="113"/>
  <c r="W13" i="113"/>
  <c r="CD13" i="113"/>
  <c r="CC14" i="113"/>
  <c r="CE14" i="113" s="1"/>
  <c r="BR14" i="113"/>
  <c r="AT14" i="113"/>
  <c r="BD14" i="113"/>
  <c r="BX16" i="113"/>
  <c r="CF16" i="113"/>
  <c r="CH16" i="113" s="1"/>
  <c r="Z16" i="113"/>
  <c r="AK16" i="113"/>
  <c r="BM21" i="113"/>
  <c r="CG21" i="113"/>
  <c r="AD21" i="113"/>
  <c r="AT21"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19" i="113"/>
  <c r="AJ19" i="113"/>
  <c r="BK19" i="113"/>
  <c r="BZ19" i="113"/>
  <c r="AN19" i="113"/>
  <c r="Y19" i="113"/>
  <c r="AA19" i="113" s="1"/>
  <c r="AG19" i="113"/>
  <c r="AO19" i="113"/>
  <c r="AQ19" i="113" s="1"/>
  <c r="AW19" i="113"/>
  <c r="BM19" i="113"/>
  <c r="BU19" i="113"/>
  <c r="CG19" i="113"/>
  <c r="AV16" i="113"/>
  <c r="AX16" i="113" s="1"/>
  <c r="BD16" i="113"/>
  <c r="BH16" i="113"/>
  <c r="T17" i="113"/>
  <c r="AM17" i="113"/>
  <c r="BC17" i="113"/>
  <c r="BG17" i="113"/>
  <c r="BS17" i="113"/>
  <c r="CA17" i="113"/>
  <c r="CC18" i="113"/>
  <c r="CE18" i="113" s="1"/>
  <c r="W19" i="113"/>
  <c r="BL19" i="113"/>
  <c r="AZ19" i="113"/>
  <c r="BB19" i="113" s="1"/>
  <c r="CA19" i="113"/>
  <c r="BG19" i="113"/>
  <c r="CD19" i="113"/>
  <c r="Z19" i="113"/>
  <c r="AH19" i="113"/>
  <c r="AP19" i="113"/>
  <c r="BF19" i="113"/>
  <c r="BN19" i="113"/>
  <c r="BV19" i="113"/>
  <c r="BR20" i="113"/>
  <c r="BN20" i="113"/>
  <c r="AP20" i="113"/>
  <c r="AL20" i="113"/>
  <c r="AH20" i="113"/>
  <c r="AD20" i="113"/>
  <c r="Z20" i="113"/>
  <c r="BM20" i="113"/>
  <c r="BI20" i="113"/>
  <c r="AW20" i="113"/>
  <c r="AO20" i="113"/>
  <c r="AQ20" i="113" s="1"/>
  <c r="AK20" i="113"/>
  <c r="AG20" i="113"/>
  <c r="AC20" i="113"/>
  <c r="AE20" i="113" s="1"/>
  <c r="Y20" i="113"/>
  <c r="AA20" i="113" s="1"/>
  <c r="Q20" i="113"/>
  <c r="AN20" i="113" s="1"/>
  <c r="BX20" i="113"/>
  <c r="BH20" i="113"/>
  <c r="BD20" i="113"/>
  <c r="AV20" i="113"/>
  <c r="AX20" i="113" s="1"/>
  <c r="AT20" i="113"/>
  <c r="S20" i="113"/>
  <c r="CG20" i="113"/>
  <c r="BA20" i="113"/>
  <c r="BW20" i="113"/>
  <c r="BQ21" i="113"/>
  <c r="AS21" i="113"/>
  <c r="AU21" i="113" s="1"/>
  <c r="Q21" i="113"/>
  <c r="AN21" i="113" s="1"/>
  <c r="BL21" i="113"/>
  <c r="AZ21" i="113"/>
  <c r="BB21" i="113" s="1"/>
  <c r="CA21" i="113"/>
  <c r="BG21" i="113"/>
  <c r="V21" i="113"/>
  <c r="X21" i="113" s="1"/>
  <c r="AZ17" i="113"/>
  <c r="BB17" i="113" s="1"/>
  <c r="V18" i="113"/>
  <c r="X18" i="113" s="1"/>
  <c r="CD18" i="113"/>
  <c r="BX19" i="113"/>
  <c r="CF19" i="113"/>
  <c r="CH19" i="113" s="1"/>
  <c r="AC19" i="113"/>
  <c r="AE19" i="113" s="1"/>
  <c r="AK19" i="113"/>
  <c r="AS19" i="113"/>
  <c r="AU19" i="113" s="1"/>
  <c r="BA19" i="113"/>
  <c r="BI19" i="113"/>
  <c r="BQ19" i="113"/>
  <c r="BC20" i="113"/>
  <c r="BF21" i="113"/>
  <c r="BV21" i="113"/>
  <c r="T21" i="113"/>
  <c r="AM21" i="113"/>
  <c r="BC21" i="113"/>
  <c r="BK21" i="113"/>
  <c r="BS21" i="113"/>
  <c r="BW21" i="113"/>
  <c r="Q18" i="113"/>
  <c r="AN18" i="113" s="1"/>
  <c r="AS18" i="113"/>
  <c r="AU18" i="113" s="1"/>
  <c r="BQ18" i="113"/>
  <c r="T19" i="113"/>
  <c r="AM19" i="113"/>
  <c r="BC19" i="113"/>
  <c r="BS19" i="113"/>
  <c r="BW19" i="113"/>
  <c r="AS20" i="113"/>
  <c r="AU20" i="113" s="1"/>
  <c r="BQ20" i="113"/>
  <c r="AJ21" i="113"/>
  <c r="AV21" i="113"/>
  <c r="AX21" i="113" s="1"/>
  <c r="BD21" i="113"/>
  <c r="BH21" i="113"/>
  <c r="BP21" i="113"/>
  <c r="BX21" i="113"/>
  <c r="CF21" i="113"/>
  <c r="CH21" i="113" s="1"/>
  <c r="BF18" i="113"/>
  <c r="BV18" i="113"/>
  <c r="AV19" i="113"/>
  <c r="AX19" i="113" s="1"/>
  <c r="BD19" i="113"/>
  <c r="BH19" i="113"/>
  <c r="BV20" i="113"/>
  <c r="Y21" i="113"/>
  <c r="AA21" i="113" s="1"/>
  <c r="AC21" i="113"/>
  <c r="AE21" i="113" s="1"/>
  <c r="AG21" i="113"/>
  <c r="AK21" i="113"/>
  <c r="AO21" i="113"/>
  <c r="AQ21" i="113" s="1"/>
  <c r="AW21" i="113"/>
  <c r="BA21" i="113"/>
  <c r="BI21" i="113"/>
  <c r="BU21" i="113"/>
  <c r="Z15" i="112"/>
  <c r="Z14" i="112"/>
  <c r="Z12" i="112"/>
  <c r="U11" i="112"/>
  <c r="Z10" i="112"/>
  <c r="Z9" i="112"/>
  <c r="Q3" i="112"/>
  <c r="Q5" i="112"/>
  <c r="Q6" i="112"/>
  <c r="Q7" i="112"/>
  <c r="Q8" i="112"/>
  <c r="Q9" i="112"/>
  <c r="Q10" i="112"/>
  <c r="Q11" i="112"/>
  <c r="Q12" i="112"/>
  <c r="Q13" i="112"/>
  <c r="Q14" i="112"/>
  <c r="Q15" i="112"/>
  <c r="Q16" i="112"/>
  <c r="Q17" i="112"/>
  <c r="Q18" i="112"/>
  <c r="Q19" i="112"/>
  <c r="Q20" i="112"/>
  <c r="Q2" i="112"/>
  <c r="J3" i="112"/>
  <c r="K3" i="112"/>
  <c r="M3" i="112"/>
  <c r="N3" i="112"/>
  <c r="O3" i="112"/>
  <c r="P3" i="112"/>
  <c r="J5" i="112"/>
  <c r="K5" i="112"/>
  <c r="U5" i="112" s="1"/>
  <c r="M5" i="112"/>
  <c r="W5" i="112" s="1"/>
  <c r="N5" i="112"/>
  <c r="X5" i="112" s="1"/>
  <c r="O5" i="112"/>
  <c r="Y5" i="112" s="1"/>
  <c r="P5" i="112"/>
  <c r="J6" i="112"/>
  <c r="K6" i="112"/>
  <c r="U6" i="112" s="1"/>
  <c r="M6" i="112"/>
  <c r="W6" i="112" s="1"/>
  <c r="N6" i="112"/>
  <c r="X6" i="112" s="1"/>
  <c r="O6" i="112"/>
  <c r="Y6" i="112" s="1"/>
  <c r="P6" i="112"/>
  <c r="J7" i="112"/>
  <c r="K7" i="112"/>
  <c r="U7" i="112" s="1"/>
  <c r="M7" i="112"/>
  <c r="W7" i="112" s="1"/>
  <c r="N7" i="112"/>
  <c r="X7" i="112" s="1"/>
  <c r="O7" i="112"/>
  <c r="Y7" i="112" s="1"/>
  <c r="P7" i="112"/>
  <c r="J8" i="112"/>
  <c r="K8" i="112"/>
  <c r="U8" i="112" s="1"/>
  <c r="M8" i="112"/>
  <c r="W8" i="112" s="1"/>
  <c r="N8" i="112"/>
  <c r="X8" i="112" s="1"/>
  <c r="O8" i="112"/>
  <c r="Y8" i="112" s="1"/>
  <c r="P8" i="112"/>
  <c r="J9" i="112"/>
  <c r="K9" i="112"/>
  <c r="U9" i="112" s="1"/>
  <c r="M9" i="112"/>
  <c r="W9" i="112" s="1"/>
  <c r="N9" i="112"/>
  <c r="X9" i="112" s="1"/>
  <c r="O9" i="112"/>
  <c r="Y9" i="112" s="1"/>
  <c r="P9" i="112"/>
  <c r="J10" i="112"/>
  <c r="K10" i="112"/>
  <c r="U10" i="112" s="1"/>
  <c r="M10" i="112"/>
  <c r="W10" i="112" s="1"/>
  <c r="N10" i="112"/>
  <c r="X10" i="112" s="1"/>
  <c r="O10" i="112"/>
  <c r="Y10" i="112" s="1"/>
  <c r="P10" i="112"/>
  <c r="J11" i="112"/>
  <c r="K11" i="112"/>
  <c r="M11" i="112"/>
  <c r="W11" i="112" s="1"/>
  <c r="N11" i="112"/>
  <c r="X11" i="112" s="1"/>
  <c r="O11" i="112"/>
  <c r="Y11" i="112" s="1"/>
  <c r="P11" i="112"/>
  <c r="J12" i="112"/>
  <c r="K12" i="112"/>
  <c r="M12" i="112"/>
  <c r="W12" i="112" s="1"/>
  <c r="N12" i="112"/>
  <c r="X12" i="112" s="1"/>
  <c r="O12" i="112"/>
  <c r="P12" i="112"/>
  <c r="J13" i="112"/>
  <c r="K13" i="112"/>
  <c r="U13" i="112" s="1"/>
  <c r="M13" i="112"/>
  <c r="W13" i="112" s="1"/>
  <c r="N13" i="112"/>
  <c r="X13" i="112" s="1"/>
  <c r="O13" i="112"/>
  <c r="Y13" i="112" s="1"/>
  <c r="P13" i="112"/>
  <c r="J14" i="112"/>
  <c r="K14" i="112"/>
  <c r="M14" i="112"/>
  <c r="W14" i="112" s="1"/>
  <c r="N14" i="112"/>
  <c r="X14" i="112" s="1"/>
  <c r="O14" i="112"/>
  <c r="Y14" i="112" s="1"/>
  <c r="P14" i="112"/>
  <c r="J15" i="112"/>
  <c r="K15" i="112"/>
  <c r="U15" i="112" s="1"/>
  <c r="M15" i="112"/>
  <c r="W15" i="112" s="1"/>
  <c r="N15" i="112"/>
  <c r="X15" i="112" s="1"/>
  <c r="O15" i="112"/>
  <c r="Y15" i="112" s="1"/>
  <c r="P15" i="112"/>
  <c r="J16" i="112"/>
  <c r="K16" i="112"/>
  <c r="U16" i="112" s="1"/>
  <c r="M16" i="112"/>
  <c r="W16" i="112" s="1"/>
  <c r="N16" i="112"/>
  <c r="X16" i="112" s="1"/>
  <c r="O16" i="112"/>
  <c r="Y16" i="112" s="1"/>
  <c r="P16" i="112"/>
  <c r="J17" i="112"/>
  <c r="K17" i="112"/>
  <c r="M17" i="112"/>
  <c r="N17" i="112"/>
  <c r="O17" i="112"/>
  <c r="P17" i="112"/>
  <c r="J18" i="112"/>
  <c r="K18" i="112"/>
  <c r="U18" i="112" s="1"/>
  <c r="M18" i="112"/>
  <c r="W18" i="112" s="1"/>
  <c r="N18" i="112"/>
  <c r="X18" i="112" s="1"/>
  <c r="O18" i="112"/>
  <c r="Y18" i="112" s="1"/>
  <c r="P18" i="112"/>
  <c r="Z18" i="112" s="1"/>
  <c r="J19" i="112"/>
  <c r="K19" i="112"/>
  <c r="N19" i="112"/>
  <c r="O19" i="112"/>
  <c r="P19" i="112"/>
  <c r="J20" i="112"/>
  <c r="K20" i="112"/>
  <c r="U20" i="112" s="1"/>
  <c r="M20" i="112"/>
  <c r="W20" i="112" s="1"/>
  <c r="N20" i="112"/>
  <c r="X20" i="112" s="1"/>
  <c r="O20" i="112"/>
  <c r="Y20" i="112" s="1"/>
  <c r="P20" i="112"/>
  <c r="K2" i="112"/>
  <c r="U2" i="112" s="1"/>
  <c r="M2" i="112"/>
  <c r="W2" i="112" s="1"/>
  <c r="N2" i="112"/>
  <c r="X2" i="112" s="1"/>
  <c r="O2" i="112"/>
  <c r="Y2" i="112" s="1"/>
  <c r="P2" i="112"/>
  <c r="J2" i="112"/>
  <c r="T2" i="112" s="1"/>
  <c r="D3" i="112"/>
  <c r="D5" i="112"/>
  <c r="D6" i="112"/>
  <c r="D7" i="112"/>
  <c r="D8" i="112"/>
  <c r="D9" i="112"/>
  <c r="D10" i="112"/>
  <c r="D11" i="112"/>
  <c r="D12" i="112"/>
  <c r="D13" i="112"/>
  <c r="D14" i="112"/>
  <c r="D15" i="112"/>
  <c r="D16" i="112"/>
  <c r="D17" i="112"/>
  <c r="D18" i="112"/>
  <c r="D19" i="112"/>
  <c r="D20" i="112"/>
  <c r="D2" i="112"/>
  <c r="S6" i="32" l="1"/>
  <c r="S7" i="32"/>
  <c r="S8" i="32"/>
  <c r="S9" i="32"/>
  <c r="S10" i="32"/>
  <c r="S11" i="32"/>
  <c r="S12" i="32"/>
  <c r="S13" i="32"/>
  <c r="S14" i="32"/>
  <c r="S15" i="32"/>
  <c r="S16" i="32"/>
  <c r="S17" i="32"/>
  <c r="S18" i="32"/>
  <c r="S19" i="32"/>
  <c r="S21" i="32"/>
  <c r="S22" i="32"/>
  <c r="S23" i="32"/>
  <c r="S5" i="32"/>
  <c r="N25" i="49" l="1"/>
  <c r="O1" i="32"/>
  <c r="N6" i="49" l="1"/>
  <c r="N22" i="49"/>
  <c r="N27" i="49"/>
  <c r="N24" i="49"/>
  <c r="N12" i="49"/>
  <c r="N5" i="49"/>
  <c r="N19" i="49"/>
  <c r="N8" i="49"/>
  <c r="N18" i="49"/>
  <c r="N20" i="49"/>
  <c r="N14" i="49"/>
  <c r="N10" i="49"/>
  <c r="N7" i="49"/>
  <c r="N16" i="49"/>
  <c r="N9" i="49"/>
  <c r="N15" i="49"/>
  <c r="N13" i="49"/>
  <c r="N23" i="49"/>
  <c r="N21" i="49"/>
  <c r="N17" i="49"/>
  <c r="N11" i="49"/>
  <c r="AE15" i="32" l="1"/>
  <c r="AD15" i="32"/>
  <c r="L13" i="113"/>
  <c r="L12" i="112"/>
  <c r="V12" i="112" s="1"/>
  <c r="AD17" i="32"/>
  <c r="AE17" i="32"/>
  <c r="L15" i="113"/>
  <c r="L14" i="112"/>
  <c r="V14" i="112" s="1"/>
  <c r="AE13" i="32"/>
  <c r="AD13" i="32"/>
  <c r="L11" i="113"/>
  <c r="L10" i="112"/>
  <c r="V10" i="112" s="1"/>
  <c r="AD19" i="32"/>
  <c r="AE19" i="32"/>
  <c r="L17" i="113"/>
  <c r="L16" i="112"/>
  <c r="V16" i="112" s="1"/>
  <c r="AE14" i="32"/>
  <c r="AD14" i="32"/>
  <c r="L12" i="113"/>
  <c r="L11" i="112"/>
  <c r="V11" i="112" s="1"/>
  <c r="AD9" i="32"/>
  <c r="AE9" i="32"/>
  <c r="L6" i="113"/>
  <c r="L6" i="112"/>
  <c r="V6" i="112" s="1"/>
  <c r="AD11" i="32"/>
  <c r="AE11" i="32"/>
  <c r="L8" i="113"/>
  <c r="L8" i="112"/>
  <c r="V8" i="112" s="1"/>
  <c r="AE16" i="32"/>
  <c r="AD16" i="32"/>
  <c r="L14" i="113"/>
  <c r="L13" i="112"/>
  <c r="V13" i="112" s="1"/>
  <c r="AD21" i="32"/>
  <c r="AE21" i="32"/>
  <c r="L19" i="113"/>
  <c r="L18" i="112"/>
  <c r="V18" i="112" s="1"/>
  <c r="AD8" i="32"/>
  <c r="AE8" i="32"/>
  <c r="L5" i="113"/>
  <c r="L5" i="112"/>
  <c r="V5" i="112" s="1"/>
  <c r="AD5" i="32"/>
  <c r="AE5" i="32"/>
  <c r="L3" i="113"/>
  <c r="L2" i="112"/>
  <c r="V2" i="112" s="1"/>
  <c r="AE10" i="32"/>
  <c r="AD10" i="32"/>
  <c r="L7" i="113"/>
  <c r="L7" i="112"/>
  <c r="V7" i="112" s="1"/>
  <c r="AE12" i="32"/>
  <c r="AD12" i="32"/>
  <c r="L10" i="113"/>
  <c r="L9" i="112"/>
  <c r="V9" i="112" s="1"/>
  <c r="AD18" i="32"/>
  <c r="AE18" i="32"/>
  <c r="L16" i="113"/>
  <c r="L15" i="112"/>
  <c r="V15" i="112" s="1"/>
  <c r="AE23" i="32"/>
  <c r="AD23" i="32"/>
  <c r="L21" i="113"/>
  <c r="L20" i="112"/>
  <c r="V20" i="112" s="1"/>
  <c r="AI21" i="113" l="1"/>
  <c r="CI21" i="113"/>
  <c r="CB21" i="113"/>
  <c r="BE21" i="113"/>
  <c r="BO21" i="113"/>
  <c r="AR21" i="113"/>
  <c r="BY21" i="113"/>
  <c r="AY21" i="113"/>
  <c r="AB21" i="113"/>
  <c r="BT21" i="113"/>
  <c r="BJ21" i="113"/>
  <c r="AF21"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19" i="113"/>
  <c r="BE19" i="113"/>
  <c r="CI19" i="113"/>
  <c r="AB19" i="113"/>
  <c r="CB19" i="113"/>
  <c r="AI19" i="113"/>
  <c r="BO19" i="113"/>
  <c r="AF19" i="113"/>
  <c r="BY19" i="113"/>
  <c r="AR19" i="113"/>
  <c r="BT19" i="113"/>
  <c r="AY19"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L17" i="112"/>
  <c r="S11" i="103"/>
  <c r="CI18" i="113" l="1"/>
  <c r="AF18" i="113"/>
  <c r="AI18" i="113"/>
  <c r="BJ18" i="113"/>
  <c r="BT18" i="113"/>
  <c r="AY18" i="113"/>
  <c r="AB18" i="113"/>
  <c r="BY18" i="113"/>
  <c r="CB18" i="113"/>
  <c r="BO18" i="113"/>
  <c r="AR18" i="113"/>
  <c r="BE18" i="113"/>
  <c r="O12" i="104"/>
  <c r="P12" i="104"/>
  <c r="R6" i="103"/>
  <c r="K3" i="32" l="1"/>
  <c r="L3" i="32"/>
  <c r="AE6" i="32" l="1"/>
  <c r="AD6" i="32"/>
  <c r="L4" i="113"/>
  <c r="L3" i="112"/>
  <c r="AD22" i="32"/>
  <c r="AE22" i="32"/>
  <c r="L20" i="113"/>
  <c r="L19" i="112"/>
  <c r="N6" i="103"/>
  <c r="M6" i="103"/>
  <c r="P21" i="103"/>
  <c r="N11" i="104"/>
  <c r="P11" i="104"/>
  <c r="O11" i="104"/>
  <c r="N10" i="104"/>
  <c r="N9" i="104"/>
  <c r="O9" i="104" s="1"/>
  <c r="P10" i="104"/>
  <c r="O10" i="104"/>
  <c r="P9" i="104"/>
  <c r="P6" i="103"/>
  <c r="P9" i="103"/>
  <c r="R13" i="103"/>
  <c r="R29" i="103"/>
  <c r="R42" i="103"/>
  <c r="AY20" i="113" l="1"/>
  <c r="AI20" i="113"/>
  <c r="BJ20" i="113"/>
  <c r="AR20" i="113"/>
  <c r="CI20" i="113"/>
  <c r="BO20" i="113"/>
  <c r="BT20" i="113"/>
  <c r="BY20" i="113"/>
  <c r="AB20" i="113"/>
  <c r="CB20" i="113"/>
  <c r="BE20" i="113"/>
  <c r="AF20" i="113"/>
  <c r="CI4" i="113"/>
  <c r="BT4" i="113"/>
  <c r="BE4" i="113"/>
  <c r="BO4" i="113"/>
  <c r="CB4" i="113"/>
  <c r="AB4" i="113"/>
  <c r="BY4" i="113"/>
  <c r="BJ4" i="113"/>
  <c r="AY4" i="113"/>
  <c r="AF4" i="113"/>
  <c r="AI4" i="113"/>
  <c r="AR4" i="113"/>
  <c r="R26" i="103"/>
  <c r="I13" i="85" l="1"/>
  <c r="J13" i="85"/>
  <c r="T13" i="85"/>
  <c r="U13" i="85" l="1"/>
  <c r="R13" i="85"/>
  <c r="S24" i="32" l="1"/>
  <c r="D36" i="84" l="1"/>
  <c r="M20" i="113" l="1"/>
  <c r="M19" i="112"/>
  <c r="W21" i="107"/>
  <c r="W11" i="107"/>
  <c r="W14" i="107"/>
  <c r="W12" i="107"/>
  <c r="W18" i="107"/>
  <c r="W10" i="107"/>
  <c r="W8" i="107"/>
  <c r="W9" i="107"/>
  <c r="W5" i="107"/>
  <c r="W6" i="107"/>
  <c r="W13" i="107"/>
  <c r="W4" i="107"/>
  <c r="W16" i="107"/>
  <c r="W22" i="107"/>
  <c r="W23" i="107"/>
  <c r="W7" i="107"/>
  <c r="W24" i="107"/>
  <c r="W17" i="107"/>
  <c r="W20" i="107"/>
  <c r="W20" i="111"/>
  <c r="W21" i="111"/>
  <c r="W6" i="111"/>
  <c r="W9" i="111"/>
  <c r="W5" i="111"/>
  <c r="W16" i="111"/>
  <c r="W12" i="111"/>
  <c r="W8" i="111"/>
  <c r="W7" i="111"/>
  <c r="W4" i="111"/>
  <c r="W11" i="111"/>
  <c r="W10" i="111"/>
  <c r="W15" i="111"/>
  <c r="W14" i="111"/>
  <c r="W17" i="111"/>
  <c r="W22" i="111"/>
  <c r="W23" i="111"/>
  <c r="W13" i="111"/>
  <c r="W24" i="111"/>
  <c r="W18" i="111"/>
  <c r="V20" i="111"/>
  <c r="V21" i="111"/>
  <c r="V6" i="111"/>
  <c r="V9" i="111"/>
  <c r="V5" i="111"/>
  <c r="V16" i="111"/>
  <c r="V12" i="111"/>
  <c r="V8" i="111"/>
  <c r="V7" i="111"/>
  <c r="V4" i="111"/>
  <c r="X4" i="111" s="1"/>
  <c r="V11" i="111"/>
  <c r="V10" i="111"/>
  <c r="V15" i="111"/>
  <c r="V14" i="111"/>
  <c r="V17" i="111"/>
  <c r="V22" i="111"/>
  <c r="V23" i="111"/>
  <c r="V13" i="111"/>
  <c r="Y13" i="111" s="1"/>
  <c r="V24" i="111"/>
  <c r="V18" i="111"/>
  <c r="U20" i="111"/>
  <c r="U21" i="111"/>
  <c r="U6" i="111"/>
  <c r="U9" i="111"/>
  <c r="U5" i="111"/>
  <c r="U16" i="111"/>
  <c r="U12" i="111"/>
  <c r="AA12" i="111" s="1"/>
  <c r="U8" i="111"/>
  <c r="X8" i="111" s="1"/>
  <c r="U7" i="111"/>
  <c r="Y7" i="111" s="1"/>
  <c r="U4" i="111"/>
  <c r="AA4" i="111" s="1"/>
  <c r="U11" i="111"/>
  <c r="U10" i="111"/>
  <c r="U15" i="111"/>
  <c r="U14" i="111"/>
  <c r="U17" i="111"/>
  <c r="U22" i="111"/>
  <c r="U23" i="111"/>
  <c r="U13" i="111"/>
  <c r="U24" i="111"/>
  <c r="U18" i="111"/>
  <c r="T20" i="111"/>
  <c r="T21" i="111"/>
  <c r="T6" i="111"/>
  <c r="T9" i="111"/>
  <c r="T5" i="111"/>
  <c r="T16" i="111"/>
  <c r="T12" i="111"/>
  <c r="T8" i="111"/>
  <c r="T7" i="111"/>
  <c r="T4" i="111"/>
  <c r="T11" i="111"/>
  <c r="Y11" i="111" s="1"/>
  <c r="T10" i="111"/>
  <c r="Y10" i="111" s="1"/>
  <c r="T15" i="111"/>
  <c r="T14" i="111"/>
  <c r="T17" i="111"/>
  <c r="AA17" i="111" s="1"/>
  <c r="T22" i="111"/>
  <c r="T23" i="111"/>
  <c r="T13" i="111"/>
  <c r="T24" i="111"/>
  <c r="T18" i="111"/>
  <c r="R20" i="111"/>
  <c r="R21" i="111"/>
  <c r="R6" i="111"/>
  <c r="R9" i="111"/>
  <c r="X9" i="111" s="1"/>
  <c r="Z9" i="111" s="1"/>
  <c r="R5" i="111"/>
  <c r="AA5" i="111" s="1"/>
  <c r="R16" i="111"/>
  <c r="AA16" i="111" s="1"/>
  <c r="R12" i="111"/>
  <c r="R8" i="111"/>
  <c r="Y8" i="111" s="1"/>
  <c r="Z8" i="111" s="1"/>
  <c r="R7" i="111"/>
  <c r="R4" i="111"/>
  <c r="R11" i="111"/>
  <c r="R10" i="111"/>
  <c r="R15" i="111"/>
  <c r="R14" i="111"/>
  <c r="R17" i="111"/>
  <c r="R22" i="111"/>
  <c r="R23" i="111"/>
  <c r="R13" i="111"/>
  <c r="R24" i="111"/>
  <c r="R18" i="111"/>
  <c r="Q20" i="111"/>
  <c r="Q21" i="111"/>
  <c r="Q6" i="111"/>
  <c r="Y6" i="111" s="1"/>
  <c r="Z6" i="111" s="1"/>
  <c r="Q9" i="111"/>
  <c r="Q5" i="111"/>
  <c r="Y5" i="111" s="1"/>
  <c r="Z5" i="111" s="1"/>
  <c r="Q16" i="111"/>
  <c r="Q12" i="111"/>
  <c r="Q8" i="111"/>
  <c r="Q7" i="111"/>
  <c r="Q4" i="111"/>
  <c r="Q11" i="111"/>
  <c r="Q10" i="111"/>
  <c r="Q15" i="111"/>
  <c r="Q14" i="111"/>
  <c r="Q17" i="111"/>
  <c r="Q22" i="111"/>
  <c r="Q23" i="111"/>
  <c r="Q13" i="111"/>
  <c r="Q24" i="111"/>
  <c r="Q18" i="111"/>
  <c r="M20" i="111"/>
  <c r="M21" i="111"/>
  <c r="M6" i="111"/>
  <c r="M9" i="111"/>
  <c r="M5" i="111"/>
  <c r="M16" i="111"/>
  <c r="M12" i="111"/>
  <c r="M8" i="111"/>
  <c r="M7" i="111"/>
  <c r="M4" i="111"/>
  <c r="M11" i="111"/>
  <c r="M10" i="111"/>
  <c r="M15" i="111"/>
  <c r="M14" i="111"/>
  <c r="M17" i="111"/>
  <c r="M22" i="111"/>
  <c r="M23" i="111"/>
  <c r="M13" i="111"/>
  <c r="M24" i="111"/>
  <c r="M18" i="111"/>
  <c r="L20" i="111"/>
  <c r="L21" i="111"/>
  <c r="L6" i="111"/>
  <c r="L9" i="111"/>
  <c r="L5" i="111"/>
  <c r="L16" i="111"/>
  <c r="L12" i="111"/>
  <c r="L8" i="111"/>
  <c r="L7" i="111"/>
  <c r="L4" i="111"/>
  <c r="L11" i="111"/>
  <c r="L10" i="111"/>
  <c r="L15" i="111"/>
  <c r="L14" i="111"/>
  <c r="L17" i="111"/>
  <c r="L22" i="111"/>
  <c r="L23" i="111"/>
  <c r="L13" i="111"/>
  <c r="L24" i="111"/>
  <c r="L18" i="111"/>
  <c r="J18" i="111"/>
  <c r="H18" i="111"/>
  <c r="G18" i="111"/>
  <c r="F18" i="111"/>
  <c r="E18" i="111"/>
  <c r="D18" i="111"/>
  <c r="B18" i="111"/>
  <c r="A18" i="111"/>
  <c r="J24" i="111"/>
  <c r="I24" i="111"/>
  <c r="H24" i="111"/>
  <c r="G24" i="111"/>
  <c r="F24" i="111"/>
  <c r="E24" i="111"/>
  <c r="D24" i="111"/>
  <c r="B24" i="111"/>
  <c r="A24" i="111"/>
  <c r="J13" i="111"/>
  <c r="H13" i="111"/>
  <c r="G13" i="111"/>
  <c r="F13" i="111"/>
  <c r="E13" i="111"/>
  <c r="D13" i="111"/>
  <c r="B13" i="111"/>
  <c r="A13" i="111"/>
  <c r="J23" i="111"/>
  <c r="H23" i="111"/>
  <c r="G23" i="111"/>
  <c r="F23" i="111"/>
  <c r="E23" i="111"/>
  <c r="D23" i="111"/>
  <c r="B23" i="111"/>
  <c r="A23" i="111"/>
  <c r="J22" i="111"/>
  <c r="H22" i="111"/>
  <c r="G22" i="111"/>
  <c r="F22" i="111"/>
  <c r="E22" i="111"/>
  <c r="D22" i="111"/>
  <c r="B22" i="111"/>
  <c r="A22" i="111"/>
  <c r="J17" i="111"/>
  <c r="H17" i="111"/>
  <c r="G17" i="111"/>
  <c r="F17" i="111"/>
  <c r="E17" i="111"/>
  <c r="D17" i="111"/>
  <c r="B17" i="111"/>
  <c r="A17" i="111"/>
  <c r="J14" i="111"/>
  <c r="H14" i="111"/>
  <c r="G14" i="111"/>
  <c r="F14" i="111"/>
  <c r="E14" i="111"/>
  <c r="D14" i="111"/>
  <c r="B14" i="111"/>
  <c r="A14" i="111"/>
  <c r="J15" i="111"/>
  <c r="H15" i="111"/>
  <c r="G15" i="111"/>
  <c r="F15" i="111"/>
  <c r="E15" i="111"/>
  <c r="D15" i="111"/>
  <c r="B15" i="111"/>
  <c r="A15" i="111"/>
  <c r="J10" i="111"/>
  <c r="H10" i="111"/>
  <c r="G10" i="111"/>
  <c r="F10" i="111"/>
  <c r="E10" i="111"/>
  <c r="D10" i="111"/>
  <c r="B10" i="111"/>
  <c r="A10" i="111"/>
  <c r="J11" i="111"/>
  <c r="H11" i="111"/>
  <c r="G11" i="111"/>
  <c r="F11" i="111"/>
  <c r="E11" i="111"/>
  <c r="D11" i="111"/>
  <c r="B11" i="111"/>
  <c r="A11" i="111"/>
  <c r="J4" i="111"/>
  <c r="H4" i="111"/>
  <c r="G4" i="111"/>
  <c r="F4" i="111"/>
  <c r="E4" i="111"/>
  <c r="D4" i="111"/>
  <c r="B4" i="111"/>
  <c r="A4" i="111"/>
  <c r="J7" i="111"/>
  <c r="H7" i="111"/>
  <c r="G7" i="111"/>
  <c r="F7" i="111"/>
  <c r="E7" i="111"/>
  <c r="D7" i="111"/>
  <c r="B7" i="111"/>
  <c r="A7" i="111"/>
  <c r="J8" i="111"/>
  <c r="H8" i="111"/>
  <c r="G8" i="111"/>
  <c r="F8" i="111"/>
  <c r="E8" i="111"/>
  <c r="D8" i="111"/>
  <c r="B8" i="111"/>
  <c r="A8" i="111"/>
  <c r="J12" i="111"/>
  <c r="H12" i="111"/>
  <c r="G12" i="111"/>
  <c r="F12" i="111"/>
  <c r="E12" i="111"/>
  <c r="D12" i="111"/>
  <c r="B12" i="111"/>
  <c r="A12" i="111"/>
  <c r="J16" i="111"/>
  <c r="H16" i="111"/>
  <c r="G16" i="111"/>
  <c r="F16" i="111"/>
  <c r="E16" i="111"/>
  <c r="D16" i="111"/>
  <c r="B16" i="111"/>
  <c r="A16" i="111"/>
  <c r="J5" i="111"/>
  <c r="H5" i="111"/>
  <c r="G5" i="111"/>
  <c r="F5" i="111"/>
  <c r="E5" i="111"/>
  <c r="D5" i="111"/>
  <c r="B5" i="111"/>
  <c r="A5" i="111"/>
  <c r="J9" i="111"/>
  <c r="H9" i="111"/>
  <c r="G9" i="111"/>
  <c r="F9" i="111"/>
  <c r="E9" i="111"/>
  <c r="D9" i="111"/>
  <c r="B9" i="111"/>
  <c r="A9" i="111"/>
  <c r="J6" i="111"/>
  <c r="H6" i="111"/>
  <c r="G6" i="111"/>
  <c r="F6" i="111"/>
  <c r="E6" i="111"/>
  <c r="D6" i="111"/>
  <c r="B6" i="111"/>
  <c r="A6" i="111"/>
  <c r="J21" i="111"/>
  <c r="G21" i="111"/>
  <c r="F21" i="111"/>
  <c r="E21" i="111"/>
  <c r="D21" i="111"/>
  <c r="B21" i="111"/>
  <c r="A21" i="111"/>
  <c r="J20" i="111"/>
  <c r="H20" i="111"/>
  <c r="G20" i="111"/>
  <c r="F20" i="111"/>
  <c r="E20" i="111"/>
  <c r="D20" i="111"/>
  <c r="B20" i="111"/>
  <c r="A20" i="111"/>
  <c r="J19" i="111"/>
  <c r="H19" i="111"/>
  <c r="G19" i="111"/>
  <c r="F19" i="111"/>
  <c r="E19" i="111"/>
  <c r="D19" i="111"/>
  <c r="B19" i="111"/>
  <c r="A19" i="111"/>
  <c r="J3" i="111"/>
  <c r="I3" i="111"/>
  <c r="H3" i="111"/>
  <c r="G3" i="111"/>
  <c r="F3" i="111"/>
  <c r="E3" i="111"/>
  <c r="D3" i="111"/>
  <c r="C3" i="111"/>
  <c r="B3" i="111"/>
  <c r="A3" i="111"/>
  <c r="W12" i="110"/>
  <c r="W4" i="110"/>
  <c r="W10" i="110"/>
  <c r="W5" i="110"/>
  <c r="V15" i="110"/>
  <c r="W20" i="110"/>
  <c r="W21" i="110"/>
  <c r="W14" i="110"/>
  <c r="W11" i="110"/>
  <c r="W15" i="110"/>
  <c r="W18" i="110"/>
  <c r="W9" i="110"/>
  <c r="W7" i="110"/>
  <c r="W8" i="110"/>
  <c r="W16" i="110"/>
  <c r="W22" i="110"/>
  <c r="W23" i="110"/>
  <c r="W6" i="110"/>
  <c r="W24" i="110"/>
  <c r="W17" i="110"/>
  <c r="V8" i="110"/>
  <c r="V7" i="110"/>
  <c r="V9" i="110"/>
  <c r="V20" i="110"/>
  <c r="V21" i="110"/>
  <c r="V14" i="110"/>
  <c r="V11" i="110"/>
  <c r="V18" i="110"/>
  <c r="V10" i="110"/>
  <c r="V4" i="110"/>
  <c r="X4" i="110" s="1"/>
  <c r="V5" i="110"/>
  <c r="V16" i="110"/>
  <c r="V22" i="110"/>
  <c r="V23" i="110"/>
  <c r="V6" i="110"/>
  <c r="X6" i="110" s="1"/>
  <c r="V24" i="110"/>
  <c r="V17" i="110"/>
  <c r="U20" i="110"/>
  <c r="U21" i="110"/>
  <c r="U14" i="110"/>
  <c r="U11" i="110"/>
  <c r="U15" i="110"/>
  <c r="U18" i="110"/>
  <c r="U10" i="110"/>
  <c r="X10" i="110" s="1"/>
  <c r="Z10" i="110" s="1"/>
  <c r="U9" i="110"/>
  <c r="X9" i="110" s="1"/>
  <c r="U4" i="110"/>
  <c r="Y4" i="110" s="1"/>
  <c r="Z4" i="110" s="1"/>
  <c r="U7" i="110"/>
  <c r="U8" i="110"/>
  <c r="U12" i="110"/>
  <c r="U16" i="110"/>
  <c r="U22" i="110"/>
  <c r="U23" i="110"/>
  <c r="U6" i="110"/>
  <c r="U24" i="110"/>
  <c r="U17" i="110"/>
  <c r="T20" i="110"/>
  <c r="T21" i="110"/>
  <c r="T14" i="110"/>
  <c r="T11" i="110"/>
  <c r="T15" i="110"/>
  <c r="T18" i="110"/>
  <c r="T10" i="110"/>
  <c r="T9" i="110"/>
  <c r="T4" i="110"/>
  <c r="T7" i="110"/>
  <c r="Y7" i="110" s="1"/>
  <c r="T8" i="110"/>
  <c r="Y8" i="110" s="1"/>
  <c r="T12" i="110"/>
  <c r="T5" i="110"/>
  <c r="T16" i="110"/>
  <c r="T22" i="110"/>
  <c r="T23" i="110"/>
  <c r="T6" i="110"/>
  <c r="T24" i="110"/>
  <c r="T17" i="110"/>
  <c r="S20" i="110"/>
  <c r="S21" i="110"/>
  <c r="S14" i="110"/>
  <c r="S11" i="110"/>
  <c r="S15" i="110"/>
  <c r="S18" i="110"/>
  <c r="S10" i="110"/>
  <c r="S9" i="110"/>
  <c r="S4" i="110"/>
  <c r="S7" i="110"/>
  <c r="S8" i="110"/>
  <c r="S12" i="110"/>
  <c r="S5" i="110"/>
  <c r="X5" i="110" s="1"/>
  <c r="Z5" i="110" s="1"/>
  <c r="S16" i="110"/>
  <c r="S22" i="110"/>
  <c r="S23" i="110"/>
  <c r="S6" i="110"/>
  <c r="S24" i="110"/>
  <c r="S17" i="110"/>
  <c r="M20" i="110"/>
  <c r="M21" i="110"/>
  <c r="M14" i="110"/>
  <c r="M11" i="110"/>
  <c r="M15" i="110"/>
  <c r="M10" i="110"/>
  <c r="M9" i="110"/>
  <c r="M7" i="110"/>
  <c r="M8" i="110"/>
  <c r="M12" i="110"/>
  <c r="M16" i="110"/>
  <c r="M22" i="110"/>
  <c r="M23" i="110"/>
  <c r="M17" i="110"/>
  <c r="J17" i="110"/>
  <c r="H17" i="110"/>
  <c r="G17" i="110"/>
  <c r="F17" i="110"/>
  <c r="E17" i="110"/>
  <c r="D17" i="110"/>
  <c r="B17" i="110"/>
  <c r="A17" i="110"/>
  <c r="J24" i="110"/>
  <c r="I24" i="110"/>
  <c r="H24" i="110"/>
  <c r="G24" i="110"/>
  <c r="F24" i="110"/>
  <c r="E24" i="110"/>
  <c r="D24" i="110"/>
  <c r="B24" i="110"/>
  <c r="A24" i="110"/>
  <c r="J6" i="110"/>
  <c r="H6" i="110"/>
  <c r="G6" i="110"/>
  <c r="F6" i="110"/>
  <c r="E6" i="110"/>
  <c r="D6" i="110"/>
  <c r="B6" i="110"/>
  <c r="A6" i="110"/>
  <c r="J23" i="110"/>
  <c r="H23" i="110"/>
  <c r="G23" i="110"/>
  <c r="F23" i="110"/>
  <c r="E23" i="110"/>
  <c r="D23" i="110"/>
  <c r="B23" i="110"/>
  <c r="A23" i="110"/>
  <c r="J22" i="110"/>
  <c r="H22" i="110"/>
  <c r="G22" i="110"/>
  <c r="F22" i="110"/>
  <c r="E22" i="110"/>
  <c r="D22" i="110"/>
  <c r="B22" i="110"/>
  <c r="A22" i="110"/>
  <c r="J16" i="110"/>
  <c r="H16" i="110"/>
  <c r="G16" i="110"/>
  <c r="F16" i="110"/>
  <c r="E16" i="110"/>
  <c r="D16" i="110"/>
  <c r="B16" i="110"/>
  <c r="A16" i="110"/>
  <c r="J5" i="110"/>
  <c r="H5" i="110"/>
  <c r="G5" i="110"/>
  <c r="F5" i="110"/>
  <c r="E5" i="110"/>
  <c r="D5" i="110"/>
  <c r="B5" i="110"/>
  <c r="A5" i="110"/>
  <c r="J12" i="110"/>
  <c r="H12" i="110"/>
  <c r="G12" i="110"/>
  <c r="F12" i="110"/>
  <c r="E12" i="110"/>
  <c r="D12" i="110"/>
  <c r="B12" i="110"/>
  <c r="A12" i="110"/>
  <c r="J8" i="110"/>
  <c r="H8" i="110"/>
  <c r="G8" i="110"/>
  <c r="F8" i="110"/>
  <c r="E8" i="110"/>
  <c r="D8" i="110"/>
  <c r="B8" i="110"/>
  <c r="A8" i="110"/>
  <c r="J7" i="110"/>
  <c r="H7" i="110"/>
  <c r="G7" i="110"/>
  <c r="F7" i="110"/>
  <c r="E7" i="110"/>
  <c r="D7" i="110"/>
  <c r="B7" i="110"/>
  <c r="A7" i="110"/>
  <c r="J4" i="110"/>
  <c r="H4" i="110"/>
  <c r="G4" i="110"/>
  <c r="F4" i="110"/>
  <c r="E4" i="110"/>
  <c r="D4" i="110"/>
  <c r="B4" i="110"/>
  <c r="A4" i="110"/>
  <c r="J9" i="110"/>
  <c r="H9" i="110"/>
  <c r="G9" i="110"/>
  <c r="F9" i="110"/>
  <c r="E9" i="110"/>
  <c r="D9" i="110"/>
  <c r="B9" i="110"/>
  <c r="A9" i="110"/>
  <c r="J10" i="110"/>
  <c r="H10" i="110"/>
  <c r="G10" i="110"/>
  <c r="F10" i="110"/>
  <c r="E10" i="110"/>
  <c r="D10" i="110"/>
  <c r="B10" i="110"/>
  <c r="A10" i="110"/>
  <c r="J13" i="110"/>
  <c r="H13" i="110"/>
  <c r="G13" i="110"/>
  <c r="F13" i="110"/>
  <c r="E13" i="110"/>
  <c r="D13" i="110"/>
  <c r="B13" i="110"/>
  <c r="A13" i="110"/>
  <c r="J18" i="110"/>
  <c r="H18" i="110"/>
  <c r="G18" i="110"/>
  <c r="F18" i="110"/>
  <c r="E18" i="110"/>
  <c r="D18" i="110"/>
  <c r="B18" i="110"/>
  <c r="A18" i="110"/>
  <c r="J15" i="110"/>
  <c r="H15" i="110"/>
  <c r="G15" i="110"/>
  <c r="F15" i="110"/>
  <c r="E15" i="110"/>
  <c r="D15" i="110"/>
  <c r="B15" i="110"/>
  <c r="J11" i="110"/>
  <c r="H11" i="110"/>
  <c r="G11" i="110"/>
  <c r="F11" i="110"/>
  <c r="E11" i="110"/>
  <c r="D11" i="110"/>
  <c r="B11" i="110"/>
  <c r="A11" i="110"/>
  <c r="J14" i="110"/>
  <c r="H14" i="110"/>
  <c r="G14" i="110"/>
  <c r="F14" i="110"/>
  <c r="E14" i="110"/>
  <c r="D14" i="110"/>
  <c r="B14" i="110"/>
  <c r="A14" i="110"/>
  <c r="J21" i="110"/>
  <c r="G21" i="110"/>
  <c r="F21" i="110"/>
  <c r="E21" i="110"/>
  <c r="D21" i="110"/>
  <c r="B21" i="110"/>
  <c r="A21" i="110"/>
  <c r="J20" i="110"/>
  <c r="H20" i="110"/>
  <c r="G20" i="110"/>
  <c r="F20" i="110"/>
  <c r="E20" i="110"/>
  <c r="D20" i="110"/>
  <c r="B20" i="110"/>
  <c r="A20" i="110"/>
  <c r="J19" i="110"/>
  <c r="H19" i="110"/>
  <c r="G19" i="110"/>
  <c r="F19" i="110"/>
  <c r="E19" i="110"/>
  <c r="D19" i="110"/>
  <c r="B19" i="110"/>
  <c r="A19" i="110"/>
  <c r="J3" i="110"/>
  <c r="I3" i="110"/>
  <c r="H3" i="110"/>
  <c r="G3" i="110"/>
  <c r="F3" i="110"/>
  <c r="E3" i="110"/>
  <c r="D3" i="110"/>
  <c r="C3" i="110"/>
  <c r="B3" i="110"/>
  <c r="A3" i="110"/>
  <c r="I6" i="110"/>
  <c r="AJ20" i="113" l="1"/>
  <c r="BU20" i="113"/>
  <c r="BK20" i="113"/>
  <c r="BP20" i="113"/>
  <c r="BZ20" i="113"/>
  <c r="CC20" i="113"/>
  <c r="CE20" i="113" s="1"/>
  <c r="BF20" i="113"/>
  <c r="CF20" i="113"/>
  <c r="CH20" i="113" s="1"/>
  <c r="AA11" i="111"/>
  <c r="Y12" i="111"/>
  <c r="X12" i="111"/>
  <c r="AA9" i="111"/>
  <c r="Y9" i="110"/>
  <c r="Z9" i="110" s="1"/>
  <c r="X7" i="110"/>
  <c r="Z7" i="110" s="1"/>
  <c r="Y6" i="110"/>
  <c r="Z6" i="110" s="1"/>
  <c r="I13" i="111"/>
  <c r="Y4" i="111"/>
  <c r="Z4" i="111" s="1"/>
  <c r="AA8" i="111"/>
  <c r="AA10" i="111"/>
  <c r="X11" i="111"/>
  <c r="Z11" i="111" s="1"/>
  <c r="AA7" i="111"/>
  <c r="X10" i="111"/>
  <c r="Z10" i="111" s="1"/>
  <c r="X7" i="111"/>
  <c r="Z7" i="111" s="1"/>
  <c r="X13" i="111"/>
  <c r="Z13" i="111" s="1"/>
  <c r="X8" i="110"/>
  <c r="Z8" i="110" s="1"/>
  <c r="AA13" i="111"/>
  <c r="AA18" i="111"/>
  <c r="V12" i="110"/>
  <c r="U5" i="110"/>
  <c r="M6" i="110"/>
  <c r="M5" i="110"/>
  <c r="M4" i="110"/>
  <c r="M18" i="110"/>
  <c r="M24" i="110"/>
  <c r="Z12" i="111" l="1"/>
  <c r="Y2" i="111"/>
  <c r="AA14" i="111"/>
  <c r="Y2" i="110"/>
  <c r="AA2" i="111" l="1"/>
  <c r="X2" i="111"/>
  <c r="X2" i="110"/>
  <c r="N6" i="108" l="1"/>
  <c r="N15" i="108"/>
  <c r="N19" i="108"/>
  <c r="K24" i="108"/>
  <c r="N24" i="108" s="1"/>
  <c r="K23" i="108"/>
  <c r="N23" i="108" s="1"/>
  <c r="K22" i="108"/>
  <c r="P22" i="108" s="1"/>
  <c r="N10" i="108"/>
  <c r="N14" i="108"/>
  <c r="P8" i="108"/>
  <c r="N7" i="108"/>
  <c r="N5" i="108"/>
  <c r="Q19" i="108"/>
  <c r="K17" i="108"/>
  <c r="Q17" i="108" s="1"/>
  <c r="K16" i="108"/>
  <c r="N16" i="108" s="1"/>
  <c r="N4" i="108"/>
  <c r="N13" i="108"/>
  <c r="Q12" i="108"/>
  <c r="U18" i="108"/>
  <c r="K21" i="108"/>
  <c r="N21" i="108" s="1"/>
  <c r="K20" i="108"/>
  <c r="Q20" i="108" s="1"/>
  <c r="Q11" i="108"/>
  <c r="R6" i="108"/>
  <c r="R5" i="108"/>
  <c r="X5" i="108" s="1"/>
  <c r="R7" i="108"/>
  <c r="R13" i="108"/>
  <c r="R14" i="108"/>
  <c r="R15" i="108"/>
  <c r="R4" i="108"/>
  <c r="R22" i="108"/>
  <c r="R19" i="108"/>
  <c r="R11" i="108"/>
  <c r="Q6" i="108"/>
  <c r="Y6" i="108" s="1"/>
  <c r="Z6" i="108" s="1"/>
  <c r="Q5" i="108"/>
  <c r="Q7" i="108"/>
  <c r="Y7" i="108" s="1"/>
  <c r="Q13" i="108"/>
  <c r="Q14" i="108"/>
  <c r="Q15" i="108"/>
  <c r="Q4" i="108"/>
  <c r="Q23" i="108"/>
  <c r="P21" i="108"/>
  <c r="P6" i="108"/>
  <c r="P5" i="108"/>
  <c r="P13" i="108"/>
  <c r="P14" i="108"/>
  <c r="P15" i="108"/>
  <c r="P4" i="108"/>
  <c r="P17" i="108"/>
  <c r="P19" i="108"/>
  <c r="O21" i="108"/>
  <c r="O6" i="108"/>
  <c r="O5" i="108"/>
  <c r="O16" i="108"/>
  <c r="O14" i="108"/>
  <c r="O15" i="108"/>
  <c r="O4" i="108"/>
  <c r="O23" i="108"/>
  <c r="O24" i="108"/>
  <c r="O19" i="108"/>
  <c r="U21" i="108"/>
  <c r="U6" i="108"/>
  <c r="U5" i="108"/>
  <c r="U13" i="108"/>
  <c r="X13" i="108" s="1"/>
  <c r="U15" i="108"/>
  <c r="U4" i="108"/>
  <c r="U10" i="108"/>
  <c r="U19" i="108"/>
  <c r="T21" i="108"/>
  <c r="T6" i="108"/>
  <c r="T5" i="108"/>
  <c r="T16" i="108"/>
  <c r="T14" i="108"/>
  <c r="Y14" i="108" s="1"/>
  <c r="T15" i="108"/>
  <c r="T4" i="108"/>
  <c r="T23" i="108"/>
  <c r="T18" i="108"/>
  <c r="T24" i="108"/>
  <c r="T19" i="108"/>
  <c r="M21" i="108"/>
  <c r="M6" i="108"/>
  <c r="M5" i="108"/>
  <c r="M8" i="108"/>
  <c r="M14" i="108"/>
  <c r="M15" i="108"/>
  <c r="M4" i="108"/>
  <c r="M23" i="108"/>
  <c r="M18" i="108"/>
  <c r="M19" i="108"/>
  <c r="S21" i="108"/>
  <c r="S6" i="108"/>
  <c r="S5" i="108"/>
  <c r="S13" i="108"/>
  <c r="S15" i="108"/>
  <c r="S4" i="108"/>
  <c r="S10" i="108"/>
  <c r="S24" i="108"/>
  <c r="S19" i="108"/>
  <c r="J19" i="108"/>
  <c r="H19" i="108"/>
  <c r="G19" i="108"/>
  <c r="F19" i="108"/>
  <c r="E19" i="108"/>
  <c r="D19" i="108"/>
  <c r="B19" i="108"/>
  <c r="A19" i="108"/>
  <c r="J24" i="108"/>
  <c r="I24" i="108"/>
  <c r="H24" i="108"/>
  <c r="G24" i="108"/>
  <c r="F24" i="108"/>
  <c r="E24" i="108"/>
  <c r="D24" i="108"/>
  <c r="B24" i="108"/>
  <c r="A24" i="108"/>
  <c r="J18" i="108"/>
  <c r="I18" i="108"/>
  <c r="H18" i="108"/>
  <c r="G18" i="108"/>
  <c r="F18" i="108"/>
  <c r="E18" i="108"/>
  <c r="D18" i="108"/>
  <c r="B18" i="108"/>
  <c r="A18" i="108"/>
  <c r="J23" i="108"/>
  <c r="H23" i="108"/>
  <c r="G23" i="108"/>
  <c r="F23" i="108"/>
  <c r="E23" i="108"/>
  <c r="D23" i="108"/>
  <c r="B23" i="108"/>
  <c r="A23" i="108"/>
  <c r="J22" i="108"/>
  <c r="H22" i="108"/>
  <c r="G22" i="108"/>
  <c r="F22" i="108"/>
  <c r="E22" i="108"/>
  <c r="D22" i="108"/>
  <c r="B22" i="108"/>
  <c r="A22" i="108"/>
  <c r="J17" i="108"/>
  <c r="H17" i="108"/>
  <c r="G17" i="108"/>
  <c r="F17" i="108"/>
  <c r="E17" i="108"/>
  <c r="D17" i="108"/>
  <c r="B17" i="108"/>
  <c r="A17" i="108"/>
  <c r="J10" i="108"/>
  <c r="H10" i="108"/>
  <c r="G10" i="108"/>
  <c r="F10" i="108"/>
  <c r="E10" i="108"/>
  <c r="D10" i="108"/>
  <c r="B10" i="108"/>
  <c r="A10" i="108"/>
  <c r="J4" i="108"/>
  <c r="H4" i="108"/>
  <c r="G4" i="108"/>
  <c r="F4" i="108"/>
  <c r="E4" i="108"/>
  <c r="D4" i="108"/>
  <c r="B4" i="108"/>
  <c r="A4" i="108"/>
  <c r="J15" i="108"/>
  <c r="H15" i="108"/>
  <c r="G15" i="108"/>
  <c r="F15" i="108"/>
  <c r="E15" i="108"/>
  <c r="D15" i="108"/>
  <c r="B15" i="108"/>
  <c r="J14" i="108"/>
  <c r="H14" i="108"/>
  <c r="G14" i="108"/>
  <c r="F14" i="108"/>
  <c r="E14" i="108"/>
  <c r="D14" i="108"/>
  <c r="B14" i="108"/>
  <c r="J12" i="108"/>
  <c r="H12" i="108"/>
  <c r="G12" i="108"/>
  <c r="F12" i="108"/>
  <c r="E12" i="108"/>
  <c r="D12" i="108"/>
  <c r="B12" i="108"/>
  <c r="J13" i="108"/>
  <c r="H13" i="108"/>
  <c r="G13" i="108"/>
  <c r="F13" i="108"/>
  <c r="E13" i="108"/>
  <c r="D13" i="108"/>
  <c r="B13" i="108"/>
  <c r="A13" i="108"/>
  <c r="J8" i="108"/>
  <c r="H8" i="108"/>
  <c r="G8" i="108"/>
  <c r="F8" i="108"/>
  <c r="E8" i="108"/>
  <c r="D8" i="108"/>
  <c r="B8" i="108"/>
  <c r="A8" i="108"/>
  <c r="J9" i="108"/>
  <c r="H9" i="108"/>
  <c r="G9" i="108"/>
  <c r="F9" i="108"/>
  <c r="E9" i="108"/>
  <c r="D9" i="108"/>
  <c r="B9" i="108"/>
  <c r="A9" i="108"/>
  <c r="J16" i="108"/>
  <c r="H16" i="108"/>
  <c r="G16" i="108"/>
  <c r="F16" i="108"/>
  <c r="E16" i="108"/>
  <c r="D16" i="108"/>
  <c r="B16" i="108"/>
  <c r="A16" i="108"/>
  <c r="J7" i="108"/>
  <c r="H7" i="108"/>
  <c r="G7" i="108"/>
  <c r="F7" i="108"/>
  <c r="E7" i="108"/>
  <c r="D7" i="108"/>
  <c r="B7" i="108"/>
  <c r="A7" i="108"/>
  <c r="J5" i="108"/>
  <c r="H5" i="108"/>
  <c r="G5" i="108"/>
  <c r="F5" i="108"/>
  <c r="E5" i="108"/>
  <c r="D5" i="108"/>
  <c r="B5" i="108"/>
  <c r="A5" i="108"/>
  <c r="J6" i="108"/>
  <c r="H6" i="108"/>
  <c r="G6" i="108"/>
  <c r="F6" i="108"/>
  <c r="E6" i="108"/>
  <c r="D6" i="108"/>
  <c r="B6" i="108"/>
  <c r="A6" i="108"/>
  <c r="J21" i="108"/>
  <c r="G21" i="108"/>
  <c r="F21" i="108"/>
  <c r="E21" i="108"/>
  <c r="D21" i="108"/>
  <c r="B21" i="108"/>
  <c r="A21" i="108"/>
  <c r="J20" i="108"/>
  <c r="H20" i="108"/>
  <c r="G20" i="108"/>
  <c r="F20" i="108"/>
  <c r="E20" i="108"/>
  <c r="D20" i="108"/>
  <c r="B20" i="108"/>
  <c r="A20" i="108"/>
  <c r="J11" i="108"/>
  <c r="H11" i="108"/>
  <c r="G11" i="108"/>
  <c r="F11" i="108"/>
  <c r="E11" i="108"/>
  <c r="D11" i="108"/>
  <c r="B11" i="108"/>
  <c r="A11" i="108"/>
  <c r="J3" i="108"/>
  <c r="I3" i="108"/>
  <c r="H3" i="108"/>
  <c r="G3" i="108"/>
  <c r="F3" i="108"/>
  <c r="E3" i="108"/>
  <c r="D3" i="108"/>
  <c r="C3" i="108"/>
  <c r="B3" i="108"/>
  <c r="A3" i="108"/>
  <c r="M24" i="108" l="1"/>
  <c r="P24" i="108"/>
  <c r="R24" i="108"/>
  <c r="U24" i="108"/>
  <c r="Q24" i="108"/>
  <c r="X4" i="108"/>
  <c r="Z4" i="108" s="1"/>
  <c r="Y5" i="108"/>
  <c r="Z5" i="108" s="1"/>
  <c r="S16" i="108"/>
  <c r="M16" i="108"/>
  <c r="T7" i="108"/>
  <c r="U16" i="108"/>
  <c r="O7" i="108"/>
  <c r="P10" i="108"/>
  <c r="R10" i="108"/>
  <c r="X10" i="108"/>
  <c r="Z10" i="108" s="1"/>
  <c r="S18" i="108"/>
  <c r="S7" i="108"/>
  <c r="M22" i="108"/>
  <c r="M7" i="108"/>
  <c r="T17" i="108"/>
  <c r="U7" i="108"/>
  <c r="U11" i="108"/>
  <c r="P16" i="108"/>
  <c r="Q10" i="108"/>
  <c r="R8" i="108"/>
  <c r="M11" i="108"/>
  <c r="S23" i="108"/>
  <c r="S14" i="108"/>
  <c r="M10" i="108"/>
  <c r="M13" i="108"/>
  <c r="T10" i="108"/>
  <c r="T13" i="108"/>
  <c r="U23" i="108"/>
  <c r="U14" i="108"/>
  <c r="O11" i="108"/>
  <c r="O10" i="108"/>
  <c r="O13" i="108"/>
  <c r="P23" i="108"/>
  <c r="P7" i="108"/>
  <c r="Q16" i="108"/>
  <c r="Q21" i="108"/>
  <c r="R23" i="108"/>
  <c r="R16" i="108"/>
  <c r="R21" i="108"/>
  <c r="N22" i="108"/>
  <c r="N8" i="108"/>
  <c r="S22" i="108"/>
  <c r="S8" i="108"/>
  <c r="M17" i="108"/>
  <c r="T12" i="108"/>
  <c r="T20" i="108"/>
  <c r="U22" i="108"/>
  <c r="U8" i="108"/>
  <c r="O22" i="108"/>
  <c r="O8" i="108"/>
  <c r="P12" i="108"/>
  <c r="P20" i="108"/>
  <c r="Q22" i="108"/>
  <c r="Q8" i="108"/>
  <c r="R17" i="108"/>
  <c r="N17" i="108"/>
  <c r="Z7" i="108"/>
  <c r="X14" i="108"/>
  <c r="Z14" i="108" s="1"/>
  <c r="Y15" i="108"/>
  <c r="S17" i="108"/>
  <c r="M12" i="108"/>
  <c r="M20" i="108"/>
  <c r="U17" i="108"/>
  <c r="O17" i="108"/>
  <c r="R12" i="108"/>
  <c r="R20" i="108"/>
  <c r="N18" i="108"/>
  <c r="N12" i="108"/>
  <c r="N20" i="108"/>
  <c r="X15" i="108"/>
  <c r="Y13" i="108"/>
  <c r="Z13" i="108" s="1"/>
  <c r="S12" i="108"/>
  <c r="S20" i="108"/>
  <c r="T22" i="108"/>
  <c r="T8" i="108"/>
  <c r="U12" i="108"/>
  <c r="U20" i="108"/>
  <c r="O12" i="108"/>
  <c r="O20" i="108"/>
  <c r="N11" i="108"/>
  <c r="O18" i="108"/>
  <c r="P18" i="108"/>
  <c r="Q18" i="108"/>
  <c r="R18" i="108"/>
  <c r="S11" i="108"/>
  <c r="P11" i="108"/>
  <c r="T11" i="108"/>
  <c r="Z15" i="108" l="1"/>
  <c r="Y8" i="108"/>
  <c r="X11" i="108"/>
  <c r="Y11" i="108"/>
  <c r="Y12" i="108"/>
  <c r="Z12" i="108" s="1"/>
  <c r="X8" i="108"/>
  <c r="X2" i="108" s="1"/>
  <c r="Z8" i="108" l="1"/>
  <c r="Z11" i="108"/>
  <c r="Y2" i="108"/>
  <c r="Q21" i="107"/>
  <c r="Q12" i="107"/>
  <c r="Y12" i="107" s="1"/>
  <c r="Z12" i="107" s="1"/>
  <c r="Q18" i="107"/>
  <c r="Q5" i="107"/>
  <c r="Q13" i="107"/>
  <c r="Q4" i="107"/>
  <c r="Q24" i="107"/>
  <c r="T14" i="107"/>
  <c r="T10" i="107"/>
  <c r="T8" i="107"/>
  <c r="T13" i="107"/>
  <c r="T22" i="107"/>
  <c r="T24" i="107"/>
  <c r="T17" i="107"/>
  <c r="T20" i="107"/>
  <c r="U14" i="107"/>
  <c r="U10" i="107"/>
  <c r="X10" i="107" s="1"/>
  <c r="U8" i="107"/>
  <c r="U13" i="107"/>
  <c r="U22" i="107"/>
  <c r="U23" i="107"/>
  <c r="U24" i="107"/>
  <c r="U17" i="107"/>
  <c r="U20" i="107"/>
  <c r="M21" i="107"/>
  <c r="M24" i="107"/>
  <c r="Q17" i="107"/>
  <c r="V13" i="107"/>
  <c r="O8" i="107"/>
  <c r="M12" i="107"/>
  <c r="R20" i="107"/>
  <c r="M10" i="107"/>
  <c r="L5" i="107"/>
  <c r="R8" i="107"/>
  <c r="R9" i="107"/>
  <c r="R17" i="107"/>
  <c r="L14" i="107"/>
  <c r="M14" i="107"/>
  <c r="L8" i="107"/>
  <c r="M8" i="107"/>
  <c r="L4" i="107"/>
  <c r="M4" i="107"/>
  <c r="M23" i="107"/>
  <c r="L17" i="107"/>
  <c r="M17" i="107"/>
  <c r="L20" i="107"/>
  <c r="V20" i="107"/>
  <c r="V21" i="107"/>
  <c r="S14" i="107"/>
  <c r="V14" i="107"/>
  <c r="S18" i="107"/>
  <c r="V18" i="107"/>
  <c r="S8" i="107"/>
  <c r="V8" i="107"/>
  <c r="P8" i="107"/>
  <c r="S9" i="107"/>
  <c r="V9" i="107"/>
  <c r="X9" i="107" s="1"/>
  <c r="S5" i="107"/>
  <c r="V5" i="107"/>
  <c r="P5" i="107"/>
  <c r="V6" i="107"/>
  <c r="S4" i="107"/>
  <c r="X4" i="107" s="1"/>
  <c r="Z4" i="107" s="1"/>
  <c r="P4" i="107"/>
  <c r="S16" i="107"/>
  <c r="S22" i="107"/>
  <c r="V22" i="107"/>
  <c r="S23" i="107"/>
  <c r="V23" i="107"/>
  <c r="V7" i="107"/>
  <c r="S17" i="107"/>
  <c r="V17" i="107"/>
  <c r="O17" i="107"/>
  <c r="P20" i="107"/>
  <c r="O20" i="107"/>
  <c r="S20" i="107"/>
  <c r="Y8" i="107" l="1"/>
  <c r="X8" i="107"/>
  <c r="Y7" i="107"/>
  <c r="X7" i="107"/>
  <c r="L6" i="107"/>
  <c r="Q6" i="107"/>
  <c r="V11" i="107"/>
  <c r="Q11" i="107"/>
  <c r="Y11" i="107" s="1"/>
  <c r="Z11" i="107" s="1"/>
  <c r="S11" i="107"/>
  <c r="M11" i="107"/>
  <c r="P11" i="107"/>
  <c r="T7" i="107"/>
  <c r="U7" i="107"/>
  <c r="L7" i="107"/>
  <c r="P7" i="107"/>
  <c r="M7" i="107"/>
  <c r="S7" i="107"/>
  <c r="L18" i="107"/>
  <c r="O18" i="107"/>
  <c r="T18" i="107"/>
  <c r="U18" i="107"/>
  <c r="R18" i="107"/>
  <c r="M18" i="107"/>
  <c r="P18" i="107"/>
  <c r="R23" i="107"/>
  <c r="P23" i="107"/>
  <c r="Q23" i="107"/>
  <c r="T6" i="107"/>
  <c r="T11" i="107"/>
  <c r="Q7" i="107"/>
  <c r="O7" i="107"/>
  <c r="L23" i="107"/>
  <c r="R7" i="107"/>
  <c r="T4" i="107"/>
  <c r="U4" i="107"/>
  <c r="V4" i="107"/>
  <c r="R4" i="107"/>
  <c r="O4" i="107"/>
  <c r="R14" i="107"/>
  <c r="O14" i="107"/>
  <c r="Q14" i="107"/>
  <c r="P14" i="107"/>
  <c r="T9" i="107"/>
  <c r="U9" i="107"/>
  <c r="Y9" i="107" s="1"/>
  <c r="Z9" i="107" s="1"/>
  <c r="L9" i="107"/>
  <c r="O9" i="107"/>
  <c r="M9" i="107"/>
  <c r="P9" i="107"/>
  <c r="R16" i="107"/>
  <c r="M16" i="107"/>
  <c r="O16" i="107"/>
  <c r="T16" i="107"/>
  <c r="U16" i="107"/>
  <c r="P16" i="107"/>
  <c r="R22" i="107"/>
  <c r="Q22" i="107"/>
  <c r="O22" i="107"/>
  <c r="L22" i="107"/>
  <c r="P22" i="107"/>
  <c r="U6" i="107"/>
  <c r="U11" i="107"/>
  <c r="T23" i="107"/>
  <c r="Q16" i="107"/>
  <c r="Q9" i="107"/>
  <c r="U5" i="107"/>
  <c r="U21" i="107"/>
  <c r="T5" i="107"/>
  <c r="T21" i="107"/>
  <c r="Q20" i="107"/>
  <c r="Q8" i="107"/>
  <c r="P17" i="107"/>
  <c r="O5" i="107"/>
  <c r="M20" i="107"/>
  <c r="L21" i="107"/>
  <c r="R5" i="107"/>
  <c r="U12" i="107"/>
  <c r="T12" i="107"/>
  <c r="Q10" i="107"/>
  <c r="V10" i="107"/>
  <c r="L10" i="107"/>
  <c r="P12" i="107"/>
  <c r="S12" i="107"/>
  <c r="M13" i="107"/>
  <c r="L12" i="107"/>
  <c r="R13" i="107"/>
  <c r="P13" i="107"/>
  <c r="S13" i="107"/>
  <c r="O12" i="107"/>
  <c r="L13" i="107"/>
  <c r="R6" i="107"/>
  <c r="V24" i="107"/>
  <c r="O13" i="107"/>
  <c r="X13" i="107" s="1"/>
  <c r="Z13" i="107" s="1"/>
  <c r="P6" i="107"/>
  <c r="S6" i="107"/>
  <c r="P10" i="107"/>
  <c r="S10" i="107"/>
  <c r="V12" i="107"/>
  <c r="M6" i="107"/>
  <c r="R12" i="107"/>
  <c r="R24" i="107"/>
  <c r="O6" i="107"/>
  <c r="O10" i="107"/>
  <c r="L24" i="107"/>
  <c r="R21" i="107"/>
  <c r="P21" i="107"/>
  <c r="S21" i="107"/>
  <c r="O21" i="107"/>
  <c r="M22" i="107"/>
  <c r="O23" i="107"/>
  <c r="P24" i="107"/>
  <c r="S24" i="107"/>
  <c r="O24" i="107"/>
  <c r="V16" i="107"/>
  <c r="L16" i="107"/>
  <c r="O11" i="107"/>
  <c r="L11" i="107"/>
  <c r="R11" i="107"/>
  <c r="R10" i="107"/>
  <c r="Y10" i="107" s="1"/>
  <c r="Z10" i="107" s="1"/>
  <c r="M5" i="107"/>
  <c r="Z7" i="107" l="1"/>
  <c r="X14" i="107"/>
  <c r="Z8" i="107"/>
  <c r="Y14" i="107"/>
  <c r="Z14" i="107" s="1"/>
  <c r="Y5" i="107"/>
  <c r="X5" i="107"/>
  <c r="X6" i="107"/>
  <c r="Y6" i="107"/>
  <c r="Z6" i="107" s="1"/>
  <c r="A19" i="107"/>
  <c r="B19" i="107"/>
  <c r="D19" i="107"/>
  <c r="E19" i="107"/>
  <c r="F19" i="107"/>
  <c r="G19" i="107"/>
  <c r="H19" i="107"/>
  <c r="J19" i="107"/>
  <c r="A20" i="107"/>
  <c r="B20" i="107"/>
  <c r="D20" i="107"/>
  <c r="E20" i="107"/>
  <c r="F20" i="107"/>
  <c r="G20" i="107"/>
  <c r="H20" i="107"/>
  <c r="J20" i="107"/>
  <c r="A21" i="107"/>
  <c r="B21" i="107"/>
  <c r="D21" i="107"/>
  <c r="E21" i="107"/>
  <c r="F21" i="107"/>
  <c r="G21" i="107"/>
  <c r="J21" i="107"/>
  <c r="A11" i="107"/>
  <c r="B11" i="107"/>
  <c r="D11" i="107"/>
  <c r="E11" i="107"/>
  <c r="F11" i="107"/>
  <c r="G11" i="107"/>
  <c r="H11" i="107"/>
  <c r="J11" i="107"/>
  <c r="A14" i="107"/>
  <c r="B14" i="107"/>
  <c r="D14" i="107"/>
  <c r="E14" i="107"/>
  <c r="F14" i="107"/>
  <c r="G14" i="107"/>
  <c r="H14" i="107"/>
  <c r="J14" i="107"/>
  <c r="A12" i="107"/>
  <c r="B12" i="107"/>
  <c r="D12" i="107"/>
  <c r="E12" i="107"/>
  <c r="F12" i="107"/>
  <c r="G12" i="107"/>
  <c r="H12" i="107"/>
  <c r="J12" i="107"/>
  <c r="A18" i="107"/>
  <c r="B18" i="107"/>
  <c r="D18" i="107"/>
  <c r="E18" i="107"/>
  <c r="F18" i="107"/>
  <c r="G18" i="107"/>
  <c r="H18" i="107"/>
  <c r="J18" i="107"/>
  <c r="A15" i="107"/>
  <c r="B15" i="107"/>
  <c r="D15" i="107"/>
  <c r="E15" i="107"/>
  <c r="F15" i="107"/>
  <c r="G15" i="107"/>
  <c r="H15" i="107"/>
  <c r="J15" i="107"/>
  <c r="A10" i="107"/>
  <c r="B10" i="107"/>
  <c r="D10" i="107"/>
  <c r="E10" i="107"/>
  <c r="F10" i="107"/>
  <c r="G10" i="107"/>
  <c r="H10" i="107"/>
  <c r="J10" i="107"/>
  <c r="A8" i="107"/>
  <c r="B8" i="107"/>
  <c r="D8" i="107"/>
  <c r="E8" i="107"/>
  <c r="F8" i="107"/>
  <c r="G8" i="107"/>
  <c r="H8" i="107"/>
  <c r="J8" i="107"/>
  <c r="A9" i="107"/>
  <c r="B9" i="107"/>
  <c r="D9" i="107"/>
  <c r="E9" i="107"/>
  <c r="F9" i="107"/>
  <c r="G9" i="107"/>
  <c r="H9" i="107"/>
  <c r="J9" i="107"/>
  <c r="A5" i="107"/>
  <c r="B5" i="107"/>
  <c r="D5" i="107"/>
  <c r="E5" i="107"/>
  <c r="F5" i="107"/>
  <c r="G5" i="107"/>
  <c r="H5" i="107"/>
  <c r="J5" i="107"/>
  <c r="A6" i="107"/>
  <c r="B6" i="107"/>
  <c r="D6" i="107"/>
  <c r="E6" i="107"/>
  <c r="F6" i="107"/>
  <c r="G6" i="107"/>
  <c r="H6" i="107"/>
  <c r="J6" i="107"/>
  <c r="A13" i="107"/>
  <c r="B13" i="107"/>
  <c r="D13" i="107"/>
  <c r="E13" i="107"/>
  <c r="F13" i="107"/>
  <c r="G13" i="107"/>
  <c r="H13" i="107"/>
  <c r="J13" i="107"/>
  <c r="A4" i="107"/>
  <c r="B4" i="107"/>
  <c r="D4" i="107"/>
  <c r="E4" i="107"/>
  <c r="F4" i="107"/>
  <c r="G4" i="107"/>
  <c r="H4" i="107"/>
  <c r="J4" i="107"/>
  <c r="A16" i="107"/>
  <c r="B16" i="107"/>
  <c r="D16" i="107"/>
  <c r="E16" i="107"/>
  <c r="F16" i="107"/>
  <c r="G16" i="107"/>
  <c r="H16" i="107"/>
  <c r="J16" i="107"/>
  <c r="A22" i="107"/>
  <c r="B22" i="107"/>
  <c r="D22" i="107"/>
  <c r="E22" i="107"/>
  <c r="F22" i="107"/>
  <c r="G22" i="107"/>
  <c r="H22" i="107"/>
  <c r="J22" i="107"/>
  <c r="A23" i="107"/>
  <c r="B23" i="107"/>
  <c r="D23" i="107"/>
  <c r="E23" i="107"/>
  <c r="F23" i="107"/>
  <c r="G23" i="107"/>
  <c r="H23" i="107"/>
  <c r="J23" i="107"/>
  <c r="A7" i="107"/>
  <c r="B7" i="107"/>
  <c r="D7" i="107"/>
  <c r="E7" i="107"/>
  <c r="F7" i="107"/>
  <c r="G7" i="107"/>
  <c r="H7" i="107"/>
  <c r="I7" i="107"/>
  <c r="J7" i="107"/>
  <c r="A24" i="107"/>
  <c r="B24" i="107"/>
  <c r="D24" i="107"/>
  <c r="E24" i="107"/>
  <c r="F24" i="107"/>
  <c r="G24" i="107"/>
  <c r="H24" i="107"/>
  <c r="I24" i="107"/>
  <c r="J24" i="107"/>
  <c r="A17" i="107"/>
  <c r="B17" i="107"/>
  <c r="D17" i="107"/>
  <c r="E17" i="107"/>
  <c r="F17" i="107"/>
  <c r="G17" i="107"/>
  <c r="H17" i="107"/>
  <c r="J17" i="107"/>
  <c r="E3" i="107"/>
  <c r="F3" i="107"/>
  <c r="G3" i="107"/>
  <c r="H3" i="107"/>
  <c r="I3" i="107"/>
  <c r="J3" i="107"/>
  <c r="A3" i="107"/>
  <c r="B3" i="107"/>
  <c r="C3" i="107"/>
  <c r="D3" i="107"/>
  <c r="Z5" i="107" l="1"/>
  <c r="X2" i="107"/>
  <c r="Y2" i="107"/>
  <c r="N8" i="104" l="1"/>
  <c r="O8" i="104" s="1"/>
  <c r="P8" i="104"/>
  <c r="N7" i="104" l="1"/>
  <c r="O7" i="104" s="1"/>
  <c r="P7" i="104"/>
  <c r="M7" i="103" l="1"/>
  <c r="N7" i="103" s="1"/>
  <c r="O7" i="103" s="1"/>
  <c r="P7" i="103" s="1"/>
  <c r="P6" i="104" l="1"/>
  <c r="O6" i="104"/>
  <c r="P5" i="104"/>
  <c r="O5" i="104"/>
  <c r="C19" i="85" l="1"/>
  <c r="A19" i="85"/>
  <c r="D19" i="85" l="1"/>
  <c r="I19" i="110"/>
  <c r="I19" i="111"/>
  <c r="I11" i="108"/>
  <c r="I19" i="107"/>
  <c r="I15" i="111"/>
  <c r="I12" i="110"/>
  <c r="I4" i="108"/>
  <c r="I13" i="107"/>
  <c r="I20" i="111"/>
  <c r="I20" i="110"/>
  <c r="I20" i="108"/>
  <c r="I20" i="107"/>
  <c r="I16" i="111"/>
  <c r="I18" i="110"/>
  <c r="I16" i="108"/>
  <c r="I18" i="107"/>
  <c r="I10" i="111"/>
  <c r="I8" i="110"/>
  <c r="I15" i="108"/>
  <c r="I6" i="107"/>
  <c r="I16" i="110"/>
  <c r="I17" i="111"/>
  <c r="I17" i="108"/>
  <c r="I16" i="107"/>
  <c r="I7" i="111"/>
  <c r="I9" i="110"/>
  <c r="I13" i="108"/>
  <c r="I8" i="107"/>
  <c r="I8" i="111"/>
  <c r="I10" i="110"/>
  <c r="I8" i="108"/>
  <c r="I10" i="107"/>
  <c r="I18" i="111"/>
  <c r="I17" i="110"/>
  <c r="I19" i="108"/>
  <c r="I17" i="107"/>
  <c r="I14" i="110"/>
  <c r="I6" i="111"/>
  <c r="I6" i="108"/>
  <c r="I11" i="107"/>
  <c r="I5" i="111"/>
  <c r="I15" i="110"/>
  <c r="I7" i="108"/>
  <c r="I12" i="107"/>
  <c r="I5" i="110"/>
  <c r="I14" i="111"/>
  <c r="I10" i="108"/>
  <c r="I4" i="107"/>
  <c r="I11" i="110"/>
  <c r="I9" i="111"/>
  <c r="I5" i="108"/>
  <c r="I14" i="107"/>
  <c r="I4" i="111"/>
  <c r="I4" i="110"/>
  <c r="I12" i="108"/>
  <c r="I9" i="107"/>
  <c r="I11" i="111"/>
  <c r="I7" i="110"/>
  <c r="I14" i="108"/>
  <c r="I5" i="107"/>
  <c r="I12" i="111"/>
  <c r="I13" i="110"/>
  <c r="I9" i="108"/>
  <c r="I15" i="107"/>
  <c r="C18" i="3" l="1"/>
  <c r="C19" i="3"/>
  <c r="C20" i="3"/>
  <c r="C21" i="3"/>
  <c r="T26" i="49"/>
  <c r="T23" i="49"/>
  <c r="T21"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1" i="32"/>
  <c r="AO22" i="32"/>
  <c r="AO23"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E27" i="8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H21" i="111"/>
  <c r="H21" i="110"/>
  <c r="H21" i="108"/>
  <c r="H21" i="107"/>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I22" i="111"/>
  <c r="I22" i="110"/>
  <c r="I22" i="108"/>
  <c r="I22" i="107"/>
  <c r="I21" i="111"/>
  <c r="I21" i="110"/>
  <c r="I21" i="108"/>
  <c r="I21" i="107"/>
  <c r="I23" i="111"/>
  <c r="I23" i="110"/>
  <c r="I23" i="108"/>
  <c r="I23" i="107"/>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P19" i="84"/>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P14" i="84"/>
  <c r="D13" i="84"/>
  <c r="T13" i="84"/>
  <c r="S13" i="84"/>
  <c r="N13" i="84"/>
  <c r="M13" i="84"/>
  <c r="L13" i="84"/>
  <c r="K13" i="84"/>
  <c r="J13" i="84"/>
  <c r="I13" i="84"/>
  <c r="AI13" i="84" s="1"/>
  <c r="E13" i="84"/>
  <c r="O3" i="76"/>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AH13" i="84"/>
  <c r="AG13" i="84"/>
  <c r="T2" i="32" l="1"/>
  <c r="L15" i="100"/>
  <c r="M15" i="100" s="1"/>
  <c r="N15" i="100" s="1"/>
  <c r="O15" i="100" s="1"/>
  <c r="P15" i="100" s="1"/>
  <c r="Q15" i="100" s="1"/>
  <c r="R15" i="100" s="1"/>
  <c r="S15" i="100" s="1"/>
  <c r="W29" i="86" l="1"/>
  <c r="X30" i="86" s="1"/>
  <c r="H7" i="100" l="1"/>
  <c r="H6" i="100"/>
  <c r="P14" i="100"/>
  <c r="U5" i="32" l="1"/>
  <c r="AL5" i="32"/>
  <c r="AK5" i="32"/>
  <c r="F18" i="102"/>
  <c r="Q5" i="32"/>
  <c r="P5" i="32"/>
  <c r="N5" i="32"/>
  <c r="I2" i="112" s="1"/>
  <c r="L5" i="32"/>
  <c r="K5" i="32"/>
  <c r="B18" i="102" l="1"/>
  <c r="AI5" i="32"/>
  <c r="G18" i="102" s="1"/>
  <c r="G13" i="84"/>
  <c r="AJ5" i="32"/>
  <c r="H18" i="102" s="1"/>
  <c r="E18" i="102"/>
  <c r="AF13" i="84" l="1"/>
  <c r="AE13" i="84"/>
  <c r="M12" i="102"/>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T26" i="84"/>
  <c r="S30" i="100" l="1"/>
  <c r="S31" i="100" s="1"/>
  <c r="C16" i="100"/>
  <c r="S27" i="100"/>
  <c r="S28" i="100" s="1"/>
  <c r="S23" i="100"/>
  <c r="C23" i="100" s="1"/>
  <c r="C15" i="100"/>
  <c r="F29" i="101" s="1"/>
  <c r="F27" i="101" s="1"/>
  <c r="F17" i="101" s="1"/>
  <c r="P29" i="84"/>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1" i="32"/>
  <c r="AL21" i="32"/>
  <c r="AK22" i="32"/>
  <c r="AL22" i="32"/>
  <c r="AK23" i="32"/>
  <c r="AL23"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AI17" i="84" l="1"/>
  <c r="AG22" i="84"/>
  <c r="AH22" i="84"/>
  <c r="AI22" i="84"/>
  <c r="G12" i="84"/>
  <c r="D9" i="84" l="1"/>
  <c r="D33" i="84" s="1"/>
  <c r="AG31" i="84" l="1"/>
  <c r="AH20" i="84"/>
  <c r="AI23" i="84"/>
  <c r="AI18" i="84"/>
  <c r="AI20" i="84"/>
  <c r="AI25" i="84"/>
  <c r="AI24" i="84"/>
  <c r="AI16" i="84"/>
  <c r="AG20" i="84"/>
  <c r="AG21" i="84"/>
  <c r="AH21" i="84"/>
  <c r="AH31" i="84"/>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27" i="84"/>
  <c r="P6" i="92" l="1"/>
  <c r="N6" i="92"/>
  <c r="O6" i="92" s="1"/>
  <c r="D22" i="86" l="1"/>
  <c r="D30" i="84"/>
  <c r="P5" i="92" l="1"/>
  <c r="N5" i="92"/>
  <c r="O5" i="92" s="1"/>
  <c r="P6" i="32" l="1"/>
  <c r="E15" i="83" s="1"/>
  <c r="Q6" i="32"/>
  <c r="P8" i="32"/>
  <c r="E5" i="83" s="1"/>
  <c r="Q8" i="32"/>
  <c r="P9" i="32"/>
  <c r="E7" i="83" s="1"/>
  <c r="F7" i="83" s="1"/>
  <c r="Q9" i="32"/>
  <c r="P10" i="32"/>
  <c r="E12" i="83" s="1"/>
  <c r="Q10" i="32"/>
  <c r="P11" i="32"/>
  <c r="E16" i="83" s="1"/>
  <c r="Q11" i="32"/>
  <c r="P12" i="32"/>
  <c r="E4" i="83" s="1"/>
  <c r="Q12" i="32"/>
  <c r="P13" i="32"/>
  <c r="E9" i="83" s="1"/>
  <c r="F9" i="83" s="1"/>
  <c r="Q13" i="32"/>
  <c r="P14" i="32"/>
  <c r="E13" i="83" s="1"/>
  <c r="Q14" i="32"/>
  <c r="P15" i="32"/>
  <c r="E14" i="83" s="1"/>
  <c r="F14" i="83" s="1"/>
  <c r="Q15" i="32"/>
  <c r="P16" i="32"/>
  <c r="E3" i="83" s="1"/>
  <c r="Q16" i="32"/>
  <c r="P17" i="32"/>
  <c r="E6" i="83" s="1"/>
  <c r="Q17" i="32"/>
  <c r="P18" i="32"/>
  <c r="E17" i="83" s="1"/>
  <c r="F17" i="83" s="1"/>
  <c r="Q18" i="32"/>
  <c r="P19" i="32"/>
  <c r="E18" i="83" s="1"/>
  <c r="Q19" i="32"/>
  <c r="P20" i="32"/>
  <c r="E19" i="83" s="1"/>
  <c r="F19" i="83" s="1"/>
  <c r="Q20" i="32"/>
  <c r="P21" i="32"/>
  <c r="E10" i="83" s="1"/>
  <c r="Q21" i="32"/>
  <c r="P22" i="32"/>
  <c r="E11" i="83" s="1"/>
  <c r="Q22" i="32"/>
  <c r="P23" i="32"/>
  <c r="Q23" i="32"/>
  <c r="Q7" i="32"/>
  <c r="P7" i="32"/>
  <c r="E2" i="83" s="1"/>
  <c r="F2" i="83" s="1"/>
  <c r="F18" i="83" l="1"/>
  <c r="O5" i="83"/>
  <c r="F5" i="83"/>
  <c r="J5" i="83"/>
  <c r="F11" i="83"/>
  <c r="F10" i="83"/>
  <c r="F13" i="83"/>
  <c r="F12" i="83"/>
  <c r="F15" i="83"/>
  <c r="F16" i="83"/>
  <c r="F3" i="83"/>
  <c r="J3" i="83"/>
  <c r="O3" i="83"/>
  <c r="F4" i="83"/>
  <c r="J4" i="83"/>
  <c r="O4" i="83"/>
  <c r="F6" i="83"/>
  <c r="K6" i="83" s="1"/>
  <c r="J6" i="83"/>
  <c r="Q2" i="32"/>
  <c r="P2" i="32"/>
  <c r="G29" i="84"/>
  <c r="AJ21" i="32"/>
  <c r="H2" i="102" s="1"/>
  <c r="AI21" i="32"/>
  <c r="G2" i="102" s="1"/>
  <c r="G26" i="84"/>
  <c r="AJ18" i="32"/>
  <c r="H5" i="102" s="1"/>
  <c r="AI18" i="32"/>
  <c r="G5" i="102" s="1"/>
  <c r="G22" i="84"/>
  <c r="AF22" i="84" s="1"/>
  <c r="AJ14" i="32"/>
  <c r="H7" i="102" s="1"/>
  <c r="AI14" i="32"/>
  <c r="G7" i="102" s="1"/>
  <c r="G15" i="84"/>
  <c r="G28" i="84"/>
  <c r="AJ20" i="32"/>
  <c r="G25" i="84"/>
  <c r="AJ17" i="32"/>
  <c r="H15" i="102" s="1"/>
  <c r="AI17" i="32"/>
  <c r="G15" i="102" s="1"/>
  <c r="G21" i="84"/>
  <c r="AF21" i="84" s="1"/>
  <c r="AJ13" i="32"/>
  <c r="H8" i="102" s="1"/>
  <c r="AI13" i="32"/>
  <c r="G8" i="102" s="1"/>
  <c r="G18" i="84"/>
  <c r="AJ10" i="32"/>
  <c r="H11" i="102" s="1"/>
  <c r="AI10" i="32"/>
  <c r="G11" i="102" s="1"/>
  <c r="G14" i="84"/>
  <c r="AJ6" i="32"/>
  <c r="AI6" i="32"/>
  <c r="G12" i="102" s="1"/>
  <c r="G31" i="84"/>
  <c r="AF31" i="84" s="1"/>
  <c r="AJ23" i="32"/>
  <c r="H6" i="102" s="1"/>
  <c r="AI23" i="32"/>
  <c r="G6" i="102" s="1"/>
  <c r="G24" i="84"/>
  <c r="AJ16" i="32"/>
  <c r="H10" i="102" s="1"/>
  <c r="AI16" i="32"/>
  <c r="G10" i="102" s="1"/>
  <c r="G20" i="84"/>
  <c r="AF20" i="84" s="1"/>
  <c r="AJ12" i="32"/>
  <c r="H3" i="102" s="1"/>
  <c r="AI12" i="32"/>
  <c r="G3" i="102" s="1"/>
  <c r="G17" i="84"/>
  <c r="AJ9" i="32"/>
  <c r="H13" i="102" s="1"/>
  <c r="AI9" i="32"/>
  <c r="G13" i="102" s="1"/>
  <c r="AJ22" i="32"/>
  <c r="H4" i="102" s="1"/>
  <c r="AI22" i="32"/>
  <c r="G4" i="102" s="1"/>
  <c r="G30" i="84"/>
  <c r="G27" i="84"/>
  <c r="AJ19" i="32"/>
  <c r="H17" i="102" s="1"/>
  <c r="AI19" i="32"/>
  <c r="G17" i="102" s="1"/>
  <c r="G23" i="84"/>
  <c r="AI15" i="32"/>
  <c r="G9" i="102" s="1"/>
  <c r="AJ15" i="32"/>
  <c r="H9" i="102" s="1"/>
  <c r="G19" i="84"/>
  <c r="AJ11" i="32"/>
  <c r="H16" i="102" s="1"/>
  <c r="AI11" i="32"/>
  <c r="G16" i="102" s="1"/>
  <c r="G16" i="84"/>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K13" i="105" l="1"/>
  <c r="J12" i="106"/>
  <c r="K5" i="83"/>
  <c r="P5" i="83"/>
  <c r="P3" i="83"/>
  <c r="K3" i="83"/>
  <c r="P4" i="83"/>
  <c r="K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S20" i="94" s="1"/>
  <c r="L21" i="94"/>
  <c r="M8" i="94"/>
  <c r="BV8" i="94" s="1"/>
  <c r="J24" i="84"/>
  <c r="BT21" i="94" l="1"/>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P2" i="83" l="1"/>
  <c r="K2" i="83"/>
  <c r="J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P31" i="84" l="1"/>
  <c r="T30" i="84"/>
  <c r="P30" i="84"/>
  <c r="T28" i="84"/>
  <c r="S28" i="84"/>
  <c r="P28" i="84"/>
  <c r="T27" i="84"/>
  <c r="T25" i="84"/>
  <c r="T24" i="84"/>
  <c r="T19" i="84"/>
  <c r="T18" i="84"/>
  <c r="T17" i="84"/>
  <c r="T16" i="84"/>
  <c r="T14" i="84"/>
  <c r="S14" i="84"/>
  <c r="T12"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I3" i="112" s="1"/>
  <c r="N8" i="32"/>
  <c r="I5" i="112" s="1"/>
  <c r="N9" i="32"/>
  <c r="I6" i="112" s="1"/>
  <c r="N10" i="32"/>
  <c r="I7" i="112" s="1"/>
  <c r="N11" i="32"/>
  <c r="I8" i="112" s="1"/>
  <c r="N12" i="32"/>
  <c r="I9" i="112" s="1"/>
  <c r="N13" i="32"/>
  <c r="I10" i="112" s="1"/>
  <c r="N14" i="32"/>
  <c r="I11" i="112" s="1"/>
  <c r="N15" i="32"/>
  <c r="I12" i="112" s="1"/>
  <c r="N16" i="32"/>
  <c r="I13" i="112" s="1"/>
  <c r="N17" i="32"/>
  <c r="I14" i="112" s="1"/>
  <c r="N18" i="32"/>
  <c r="I15" i="112" s="1"/>
  <c r="N19" i="32"/>
  <c r="I16" i="112" s="1"/>
  <c r="N20" i="32"/>
  <c r="I17" i="112" s="1"/>
  <c r="N21" i="32"/>
  <c r="I18" i="112" s="1"/>
  <c r="N22" i="32"/>
  <c r="I19" i="112" s="1"/>
  <c r="N23" i="32"/>
  <c r="I20" i="112" s="1"/>
  <c r="N7" i="32"/>
  <c r="I4" i="112" s="1"/>
  <c r="S13" i="88" l="1"/>
  <c r="S26" i="88"/>
  <c r="S28" i="88" s="1"/>
  <c r="R16" i="88"/>
  <c r="Q30" i="88"/>
  <c r="Q31" i="88" s="1"/>
  <c r="Q23" i="88"/>
  <c r="R26" i="88"/>
  <c r="R28" i="88" s="1"/>
  <c r="R13" i="88"/>
  <c r="C7" i="88"/>
  <c r="C13" i="88" l="1"/>
  <c r="Z7" i="88" s="1"/>
  <c r="R30" i="88"/>
  <c r="R31" i="88" s="1"/>
  <c r="S16" i="88"/>
  <c r="R23" i="88"/>
  <c r="C26" i="89"/>
  <c r="C22" i="89" s="1"/>
  <c r="C26" i="88"/>
  <c r="C28" i="88" s="1"/>
  <c r="T6" i="49"/>
  <c r="T18"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V8" i="76"/>
  <c r="Y8" i="76"/>
  <c r="O4" i="76"/>
  <c r="R4" i="76"/>
  <c r="O8" i="76"/>
  <c r="R8" i="7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V9" i="76"/>
  <c r="O13" i="76"/>
  <c r="O6" i="76"/>
  <c r="V7" i="76"/>
  <c r="O12" i="76"/>
  <c r="V13" i="76"/>
  <c r="O7" i="76"/>
  <c r="V11" i="76"/>
  <c r="O9" i="76"/>
  <c r="V12" i="76"/>
  <c r="V5" i="76"/>
  <c r="O11" i="76"/>
  <c r="V6" i="76"/>
  <c r="O5" i="76"/>
  <c r="Y13" i="76"/>
  <c r="R12" i="76"/>
  <c r="Y7" i="76"/>
  <c r="R6" i="76"/>
  <c r="R7" i="76"/>
  <c r="Y11" i="76"/>
  <c r="Y12" i="76"/>
  <c r="R9" i="76"/>
  <c r="Y9" i="76"/>
  <c r="R13" i="76"/>
  <c r="R10" i="76"/>
  <c r="Y10" i="76"/>
  <c r="Y5" i="76"/>
  <c r="R11" i="76"/>
  <c r="Y6" i="76"/>
  <c r="R5" i="76"/>
  <c r="Y3" i="76"/>
  <c r="W18" i="76" s="1"/>
  <c r="Y4"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V3" i="76"/>
  <c r="V4" i="76"/>
  <c r="O10" i="76"/>
  <c r="V10" i="7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E14" i="84"/>
  <c r="E16" i="84"/>
  <c r="E17" i="84"/>
  <c r="E18" i="84"/>
  <c r="E19" i="84"/>
  <c r="E20" i="84"/>
  <c r="E21" i="84"/>
  <c r="E22" i="84"/>
  <c r="E23" i="84"/>
  <c r="E24" i="84"/>
  <c r="E25" i="84"/>
  <c r="E26" i="84"/>
  <c r="E28" i="84"/>
  <c r="E29" i="84"/>
  <c r="E30" i="84"/>
  <c r="E31" i="84"/>
  <c r="E15" i="84"/>
  <c r="H14" i="84"/>
  <c r="I14" i="84"/>
  <c r="J14" i="84"/>
  <c r="K14" i="84"/>
  <c r="L14" i="84"/>
  <c r="M14" i="84"/>
  <c r="N14" i="84"/>
  <c r="H16" i="84"/>
  <c r="I16" i="84"/>
  <c r="J16" i="84"/>
  <c r="K16" i="84"/>
  <c r="L16" i="84"/>
  <c r="AE16" i="84" s="1"/>
  <c r="M16" i="84"/>
  <c r="N16" i="84"/>
  <c r="H17" i="84"/>
  <c r="I17" i="84"/>
  <c r="J17" i="84"/>
  <c r="K17" i="84"/>
  <c r="L17" i="84"/>
  <c r="AE17" i="84" s="1"/>
  <c r="M17" i="84"/>
  <c r="N17" i="84"/>
  <c r="H18" i="84"/>
  <c r="I18" i="84"/>
  <c r="J18" i="84"/>
  <c r="K18" i="84"/>
  <c r="L18" i="84"/>
  <c r="AE18" i="84" s="1"/>
  <c r="M18" i="84"/>
  <c r="N18" i="84"/>
  <c r="H19" i="84"/>
  <c r="I19" i="84"/>
  <c r="AI19" i="84" s="1"/>
  <c r="J19" i="84"/>
  <c r="K19" i="84"/>
  <c r="L19" i="84"/>
  <c r="M19" i="84"/>
  <c r="N19" i="84"/>
  <c r="H20" i="84"/>
  <c r="I20" i="84"/>
  <c r="J20" i="84"/>
  <c r="K20" i="84"/>
  <c r="L20" i="84"/>
  <c r="AE20" i="84" s="1"/>
  <c r="M20" i="84"/>
  <c r="N20" i="84"/>
  <c r="H21" i="84"/>
  <c r="I21" i="84"/>
  <c r="J21" i="84"/>
  <c r="K21" i="84"/>
  <c r="L21" i="84"/>
  <c r="M21" i="84"/>
  <c r="N21" i="84"/>
  <c r="H22" i="84"/>
  <c r="I22" i="84"/>
  <c r="J22" i="84"/>
  <c r="K22" i="84"/>
  <c r="L22" i="84"/>
  <c r="AE22" i="84" s="1"/>
  <c r="M22" i="84"/>
  <c r="N22" i="84"/>
  <c r="H23" i="84"/>
  <c r="I23" i="84"/>
  <c r="J23" i="84"/>
  <c r="K23" i="84"/>
  <c r="L23" i="84"/>
  <c r="AE23" i="84" s="1"/>
  <c r="M23" i="84"/>
  <c r="N23" i="84"/>
  <c r="H24" i="84"/>
  <c r="I24" i="84"/>
  <c r="K24" i="84"/>
  <c r="L24" i="84"/>
  <c r="AE24" i="84" s="1"/>
  <c r="M24" i="84"/>
  <c r="N24" i="84"/>
  <c r="H25" i="84"/>
  <c r="I25" i="84"/>
  <c r="J25" i="84"/>
  <c r="K25" i="84"/>
  <c r="L25" i="84"/>
  <c r="AE25" i="84" s="1"/>
  <c r="M25" i="84"/>
  <c r="N25" i="84"/>
  <c r="H26" i="84"/>
  <c r="I26" i="84"/>
  <c r="J26" i="84"/>
  <c r="K26" i="84"/>
  <c r="L26" i="84"/>
  <c r="M26" i="84"/>
  <c r="N26" i="84"/>
  <c r="AD11" i="84" s="1"/>
  <c r="H27" i="84"/>
  <c r="I27" i="84"/>
  <c r="AE27" i="84" s="1"/>
  <c r="J27" i="84"/>
  <c r="K27" i="84"/>
  <c r="L27" i="84"/>
  <c r="M27" i="84"/>
  <c r="N27" i="84"/>
  <c r="H28" i="84"/>
  <c r="I28" i="84"/>
  <c r="J28" i="84"/>
  <c r="K28" i="84"/>
  <c r="L28" i="84"/>
  <c r="M28" i="84"/>
  <c r="N28" i="84"/>
  <c r="H29" i="84"/>
  <c r="J29" i="84"/>
  <c r="K29" i="84"/>
  <c r="L29" i="84"/>
  <c r="M29" i="84"/>
  <c r="N29" i="84"/>
  <c r="H30" i="84"/>
  <c r="I30" i="84"/>
  <c r="J30" i="84"/>
  <c r="K30" i="84"/>
  <c r="L30" i="84"/>
  <c r="M30" i="84"/>
  <c r="N30" i="84"/>
  <c r="H31" i="84"/>
  <c r="I31" i="84"/>
  <c r="AI31" i="84" s="1"/>
  <c r="J31" i="84"/>
  <c r="K31" i="84"/>
  <c r="L31" i="84"/>
  <c r="M31" i="84"/>
  <c r="N31" i="84"/>
  <c r="I15" i="84"/>
  <c r="J15" i="84"/>
  <c r="K15" i="84"/>
  <c r="L15" i="84"/>
  <c r="M15" i="84"/>
  <c r="N15" i="84"/>
  <c r="H15" i="84"/>
  <c r="BL26" i="86" l="1"/>
  <c r="AE19" i="84"/>
  <c r="AE31" i="84"/>
  <c r="AH29" i="84"/>
  <c r="AG29" i="84"/>
  <c r="AF29" i="84"/>
  <c r="Y11" i="84"/>
  <c r="Z11" i="84"/>
  <c r="AF15" i="84"/>
  <c r="AB11" i="84"/>
  <c r="X11" i="84"/>
  <c r="AA11" i="84"/>
  <c r="BK19" i="86"/>
  <c r="AE15" i="84"/>
  <c r="AF26" i="84"/>
  <c r="AH26" i="84"/>
  <c r="AE26" i="84"/>
  <c r="AI26" i="84"/>
  <c r="AI21" i="84"/>
  <c r="AE21" i="84"/>
  <c r="AF14" i="84"/>
  <c r="AH14" i="84"/>
  <c r="AG14" i="84"/>
  <c r="AE14" i="84"/>
  <c r="AI14" i="84"/>
  <c r="AG26" i="84"/>
  <c r="AH15" i="84"/>
  <c r="AG15" i="84"/>
  <c r="AI15" i="84"/>
  <c r="AW2" i="86"/>
  <c r="AX26" i="86"/>
  <c r="BL12" i="86" s="1"/>
  <c r="BL11" i="86"/>
  <c r="AX20" i="86"/>
  <c r="AW16" i="86"/>
  <c r="AX13" i="86"/>
  <c r="BL28" i="86" s="1"/>
  <c r="BK28" i="86"/>
  <c r="AX14" i="86"/>
  <c r="AX28" i="86" s="1"/>
  <c r="BK2" i="86"/>
  <c r="D11" i="84"/>
  <c r="BL16" i="86" l="1"/>
  <c r="AC11" i="84"/>
  <c r="AF18" i="84"/>
  <c r="AG18" i="84"/>
  <c r="AH18" i="84"/>
  <c r="AG19" i="84"/>
  <c r="AF19" i="84"/>
  <c r="AH19" i="84"/>
  <c r="AH16" i="84"/>
  <c r="AF16" i="84"/>
  <c r="AG16" i="84"/>
  <c r="AH24" i="84"/>
  <c r="AG24" i="84"/>
  <c r="AF24" i="84"/>
  <c r="AF23" i="84"/>
  <c r="AH23" i="84"/>
  <c r="AG23" i="84"/>
  <c r="AG17" i="84"/>
  <c r="AH17" i="84"/>
  <c r="AF17" i="84"/>
  <c r="AG25" i="84"/>
  <c r="AF25" i="84"/>
  <c r="AH25" i="84"/>
  <c r="BL2" i="86"/>
  <c r="BK16" i="86"/>
  <c r="AX2" i="86"/>
  <c r="AX27" i="86"/>
  <c r="AX16" i="86" s="1"/>
  <c r="U10" i="84"/>
  <c r="V10" i="84"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W8" i="76" l="1"/>
  <c r="P4" i="76"/>
  <c r="P3" i="76"/>
  <c r="P8" i="76"/>
  <c r="Z8" i="76"/>
  <c r="S3" i="76"/>
  <c r="S8" i="76"/>
  <c r="Z10" i="76" l="1"/>
  <c r="S10" i="76"/>
  <c r="S7" i="76"/>
  <c r="Z11" i="76"/>
  <c r="Z5" i="76"/>
  <c r="S11" i="76"/>
  <c r="P12" i="76"/>
  <c r="W13" i="76"/>
  <c r="W7" i="76"/>
  <c r="P6" i="76"/>
  <c r="P10" i="76"/>
  <c r="W10" i="76"/>
  <c r="P5" i="76"/>
  <c r="W6" i="76"/>
  <c r="Z6" i="76"/>
  <c r="S5" i="76"/>
  <c r="P13" i="76"/>
  <c r="W9" i="76"/>
  <c r="Z12" i="76"/>
  <c r="S9" i="76"/>
  <c r="W11" i="76"/>
  <c r="P7" i="76"/>
  <c r="W5" i="76"/>
  <c r="P11" i="76"/>
  <c r="W3" i="76"/>
  <c r="W4" i="76"/>
  <c r="Z7" i="76"/>
  <c r="S6" i="76"/>
  <c r="S13" i="76"/>
  <c r="Z9" i="76"/>
  <c r="Z4" i="76"/>
  <c r="P9" i="76"/>
  <c r="W12" i="76"/>
  <c r="S4" i="76"/>
  <c r="Q8" i="76"/>
  <c r="X8" i="76"/>
  <c r="Q3" i="76"/>
  <c r="Q4" i="76"/>
  <c r="P5" i="82"/>
  <c r="O5" i="82"/>
  <c r="I11" i="81"/>
  <c r="L11" i="81" s="1"/>
  <c r="N11" i="81" s="1"/>
  <c r="O11" i="81" s="1"/>
  <c r="P11" i="81" s="1"/>
  <c r="Q11" i="81" s="1"/>
  <c r="R11" i="81" s="1"/>
  <c r="X4" i="76" l="1"/>
  <c r="Q7" i="76"/>
  <c r="X11" i="76"/>
  <c r="Q10" i="76"/>
  <c r="X10" i="76"/>
  <c r="X13" i="76"/>
  <c r="Q12" i="76"/>
  <c r="S12" i="76"/>
  <c r="Z13" i="76"/>
  <c r="X5" i="76"/>
  <c r="Q11" i="76"/>
  <c r="X3" i="76"/>
  <c r="X12" i="76"/>
  <c r="Q9" i="76"/>
  <c r="Q13" i="76"/>
  <c r="X9" i="76"/>
  <c r="Q5" i="76"/>
  <c r="X6" i="76"/>
  <c r="Q6" i="76"/>
  <c r="X7" i="76"/>
  <c r="Z3" i="76"/>
  <c r="X18" i="76" s="1"/>
  <c r="W14" i="76"/>
  <c r="X14" i="76" l="1"/>
  <c r="T9" i="49"/>
  <c r="T24"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T11" i="49"/>
  <c r="M40" i="78"/>
  <c r="N7" i="78"/>
  <c r="L40" i="78"/>
  <c r="I6" i="78"/>
  <c r="I13" i="78" s="1"/>
  <c r="T13" i="49"/>
  <c r="T22" i="49"/>
  <c r="T16" i="49"/>
  <c r="T15" i="49"/>
  <c r="T14" i="49"/>
  <c r="T8" i="49"/>
  <c r="T10" i="49"/>
  <c r="T7" i="49"/>
  <c r="T5" i="49"/>
  <c r="K40" i="78"/>
  <c r="N8" i="79"/>
  <c r="P8" i="79"/>
  <c r="O8" i="79"/>
  <c r="P7" i="79"/>
  <c r="C13" i="79" s="1"/>
  <c r="O7" i="79"/>
  <c r="F12" i="79" s="1"/>
  <c r="N6" i="79"/>
  <c r="O6" i="79" s="1"/>
  <c r="P6" i="79"/>
  <c r="E19" i="78"/>
  <c r="C19" i="78" s="1"/>
  <c r="F20" i="79" s="1"/>
  <c r="F21" i="78"/>
  <c r="F6" i="78"/>
  <c r="F26" i="78" s="1"/>
  <c r="G6" i="78"/>
  <c r="J40" i="78"/>
  <c r="U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P18" i="76"/>
  <c r="W16" i="76" l="1"/>
  <c r="W17" i="76" s="1"/>
  <c r="W19" i="76"/>
  <c r="W20" i="76" s="1"/>
  <c r="Q18" i="76"/>
  <c r="Q19" i="76" s="1"/>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s="1"/>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1"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3"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2" i="32" l="1"/>
  <c r="D20" i="113" s="1"/>
  <c r="F15" i="32"/>
  <c r="D13" i="113" s="1"/>
  <c r="F14" i="32"/>
  <c r="D12" i="113" s="1"/>
  <c r="F18" i="32"/>
  <c r="D16" i="113" s="1"/>
  <c r="F17" i="32"/>
  <c r="D15" i="113" s="1"/>
  <c r="F8" i="32"/>
  <c r="D5" i="113" s="1"/>
  <c r="F21" i="32"/>
  <c r="D19" i="113" s="1"/>
  <c r="F16" i="32"/>
  <c r="D14" i="113" s="1"/>
  <c r="F20" i="32"/>
  <c r="D18" i="113" s="1"/>
  <c r="F12" i="32"/>
  <c r="D10" i="113" s="1"/>
  <c r="F19" i="32"/>
  <c r="D17" i="113" s="1"/>
  <c r="F23" i="32"/>
  <c r="D21" i="113" s="1"/>
  <c r="F11" i="32"/>
  <c r="D8" i="113" s="1"/>
  <c r="D11" i="113"/>
  <c r="F10" i="32"/>
  <c r="D7" i="113" s="1"/>
  <c r="F7" i="32"/>
  <c r="E4" i="112" s="1"/>
  <c r="F6" i="32"/>
  <c r="D4" i="113" s="1"/>
  <c r="F9" i="32"/>
  <c r="D6" i="113" s="1"/>
  <c r="F5" i="32"/>
  <c r="D3" i="113" s="1"/>
  <c r="I29" i="84"/>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9" i="113" l="1"/>
  <c r="F20" i="86"/>
  <c r="R20" i="86" s="1"/>
  <c r="C12" i="32"/>
  <c r="E9" i="112"/>
  <c r="C18" i="32"/>
  <c r="E15" i="112"/>
  <c r="C11" i="32"/>
  <c r="E8" i="112"/>
  <c r="C23" i="32"/>
  <c r="E20" i="112"/>
  <c r="C19" i="32"/>
  <c r="E16" i="112"/>
  <c r="C21" i="32"/>
  <c r="E18" i="112"/>
  <c r="C22" i="32"/>
  <c r="E19" i="112"/>
  <c r="C15" i="32"/>
  <c r="E12" i="112"/>
  <c r="C6" i="32"/>
  <c r="E3" i="112"/>
  <c r="C8" i="32"/>
  <c r="E5" i="112"/>
  <c r="C9" i="32"/>
  <c r="E6" i="112"/>
  <c r="C10" i="32"/>
  <c r="E7" i="112"/>
  <c r="C14" i="32"/>
  <c r="E11" i="112"/>
  <c r="C13" i="32"/>
  <c r="E10" i="112"/>
  <c r="C20" i="32"/>
  <c r="E17" i="112"/>
  <c r="C7" i="32"/>
  <c r="C16" i="32"/>
  <c r="E13" i="112"/>
  <c r="C17" i="32"/>
  <c r="E14" i="112"/>
  <c r="C5" i="32"/>
  <c r="E2" i="112"/>
  <c r="C5" i="111"/>
  <c r="C15" i="111"/>
  <c r="C14" i="111"/>
  <c r="C18" i="111"/>
  <c r="C9" i="111"/>
  <c r="C8" i="111"/>
  <c r="C4" i="111"/>
  <c r="C7" i="111"/>
  <c r="C17" i="111"/>
  <c r="C13" i="111"/>
  <c r="C11" i="111"/>
  <c r="C10" i="111"/>
  <c r="C6" i="111"/>
  <c r="C16" i="111"/>
  <c r="C20" i="111"/>
  <c r="C19" i="111"/>
  <c r="C23" i="110"/>
  <c r="C23" i="111"/>
  <c r="C24" i="110"/>
  <c r="C24" i="111"/>
  <c r="C13" i="110"/>
  <c r="C12" i="111"/>
  <c r="C21" i="110"/>
  <c r="C21" i="111"/>
  <c r="C22" i="110"/>
  <c r="C22" i="111"/>
  <c r="C9" i="110"/>
  <c r="C17" i="110"/>
  <c r="C15" i="110"/>
  <c r="C8" i="110"/>
  <c r="C14" i="110"/>
  <c r="C16" i="110"/>
  <c r="C6" i="110"/>
  <c r="C7" i="110"/>
  <c r="C20" i="110"/>
  <c r="C10" i="110"/>
  <c r="C12" i="110"/>
  <c r="C5" i="110"/>
  <c r="C11" i="110"/>
  <c r="C19" i="110"/>
  <c r="C18" i="110"/>
  <c r="C4" i="110"/>
  <c r="C24" i="108"/>
  <c r="C9" i="108"/>
  <c r="C23" i="108"/>
  <c r="C21" i="108"/>
  <c r="C22" i="108"/>
  <c r="C17" i="107"/>
  <c r="C19" i="108"/>
  <c r="C11" i="107"/>
  <c r="C6" i="108"/>
  <c r="C16" i="107"/>
  <c r="C17" i="108"/>
  <c r="C7" i="107"/>
  <c r="C18" i="108"/>
  <c r="C6" i="107"/>
  <c r="C15" i="108"/>
  <c r="C5" i="107"/>
  <c r="C14" i="108"/>
  <c r="C20" i="107"/>
  <c r="C20" i="108"/>
  <c r="C10" i="107"/>
  <c r="C8" i="108"/>
  <c r="C13" i="107"/>
  <c r="C4" i="108"/>
  <c r="C4" i="107"/>
  <c r="C10" i="108"/>
  <c r="C8" i="107"/>
  <c r="C13" i="108"/>
  <c r="C12" i="107"/>
  <c r="C7" i="108"/>
  <c r="C14" i="107"/>
  <c r="C5" i="108"/>
  <c r="C19" i="107"/>
  <c r="C11" i="108"/>
  <c r="C18" i="107"/>
  <c r="C16" i="108"/>
  <c r="C9" i="107"/>
  <c r="C12" i="108"/>
  <c r="C23" i="107"/>
  <c r="C15" i="107"/>
  <c r="C24" i="107"/>
  <c r="C21" i="107"/>
  <c r="C22" i="107"/>
  <c r="F4" i="86"/>
  <c r="R4" i="86" s="1"/>
  <c r="C3" i="94"/>
  <c r="F13" i="84"/>
  <c r="C15" i="94"/>
  <c r="AE29" i="84"/>
  <c r="AI29" i="8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27" i="84"/>
  <c r="F18" i="86"/>
  <c r="R18" i="86" s="1"/>
  <c r="F16" i="84"/>
  <c r="F7" i="86"/>
  <c r="R7" i="86" s="1"/>
  <c r="F17" i="84"/>
  <c r="F8" i="86"/>
  <c r="R8" i="86" s="1"/>
  <c r="F18" i="84"/>
  <c r="F9" i="86"/>
  <c r="R9" i="86" s="1"/>
  <c r="F20" i="84"/>
  <c r="F11" i="86"/>
  <c r="R11" i="86" s="1"/>
  <c r="F25" i="84"/>
  <c r="F16" i="86"/>
  <c r="R16" i="86" s="1"/>
  <c r="F6" i="86"/>
  <c r="R6" i="86" s="1"/>
  <c r="F14" i="84"/>
  <c r="F5" i="86"/>
  <c r="R5" i="86" s="1"/>
  <c r="F15" i="84"/>
  <c r="W15" i="84" s="1"/>
  <c r="S4" i="112" s="1"/>
  <c r="F26" i="84"/>
  <c r="F17" i="86"/>
  <c r="R17" i="86" s="1"/>
  <c r="F28" i="84"/>
  <c r="F19" i="84"/>
  <c r="F23" i="84"/>
  <c r="F21" i="84"/>
  <c r="F30" i="84"/>
  <c r="F31" i="84"/>
  <c r="F29" i="84"/>
  <c r="F24" i="84"/>
  <c r="F22" i="84"/>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C13" i="84"/>
  <c r="V13" i="84"/>
  <c r="R2" i="112" s="1"/>
  <c r="W13" i="84"/>
  <c r="S2" i="112" s="1"/>
  <c r="W22" i="84"/>
  <c r="S11" i="112" s="1"/>
  <c r="V22" i="84"/>
  <c r="R11" i="112" s="1"/>
  <c r="V30" i="84"/>
  <c r="R19" i="112" s="1"/>
  <c r="W30" i="84"/>
  <c r="S19" i="112" s="1"/>
  <c r="V28" i="84"/>
  <c r="R17" i="112" s="1"/>
  <c r="W28" i="84"/>
  <c r="S17" i="112" s="1"/>
  <c r="V20" i="84"/>
  <c r="R9" i="112" s="1"/>
  <c r="W20" i="84"/>
  <c r="S9" i="112" s="1"/>
  <c r="V27" i="84"/>
  <c r="R16" i="112" s="1"/>
  <c r="W27" i="84"/>
  <c r="S16" i="112" s="1"/>
  <c r="V24" i="84"/>
  <c r="R13" i="112" s="1"/>
  <c r="W24" i="84"/>
  <c r="S13" i="112" s="1"/>
  <c r="W29" i="84"/>
  <c r="S18" i="112" s="1"/>
  <c r="V29" i="84"/>
  <c r="R18" i="112" s="1"/>
  <c r="V23" i="84"/>
  <c r="R12" i="112" s="1"/>
  <c r="W23" i="84"/>
  <c r="S12" i="112" s="1"/>
  <c r="W26" i="84"/>
  <c r="S15" i="112" s="1"/>
  <c r="V26" i="84"/>
  <c r="R15" i="112" s="1"/>
  <c r="V14" i="84"/>
  <c r="R3" i="112" s="1"/>
  <c r="W14" i="84"/>
  <c r="S3" i="112" s="1"/>
  <c r="V25" i="84"/>
  <c r="R14" i="112" s="1"/>
  <c r="W25" i="84"/>
  <c r="S14" i="112" s="1"/>
  <c r="V18" i="84"/>
  <c r="R7" i="112" s="1"/>
  <c r="W18" i="84"/>
  <c r="S7" i="112" s="1"/>
  <c r="V16" i="84"/>
  <c r="R5" i="112" s="1"/>
  <c r="W16" i="84"/>
  <c r="S5" i="112" s="1"/>
  <c r="V17" i="84"/>
  <c r="R6" i="112" s="1"/>
  <c r="W17" i="84"/>
  <c r="S6" i="112" s="1"/>
  <c r="V21" i="84"/>
  <c r="R10" i="112" s="1"/>
  <c r="W21" i="84"/>
  <c r="S10" i="112" s="1"/>
  <c r="V31" i="84"/>
  <c r="R20" i="112" s="1"/>
  <c r="W31" i="84"/>
  <c r="S20" i="112" s="1"/>
  <c r="V19" i="84"/>
  <c r="R8" i="112" s="1"/>
  <c r="W19" i="84"/>
  <c r="S8" i="112" s="1"/>
  <c r="V15" i="84"/>
  <c r="R4" i="112" s="1"/>
  <c r="BO28" i="86"/>
  <c r="BO16" i="86" s="1"/>
  <c r="BC16" i="86"/>
  <c r="C20" i="86"/>
  <c r="C22" i="86"/>
  <c r="C4" i="86"/>
  <c r="C21" i="86"/>
  <c r="C14" i="86"/>
  <c r="C23" i="86"/>
  <c r="C10" i="86"/>
  <c r="C12" i="86"/>
  <c r="C15" i="86"/>
  <c r="C13" i="86"/>
  <c r="C19" i="86"/>
  <c r="C26" i="84"/>
  <c r="C20" i="84"/>
  <c r="C14" i="84"/>
  <c r="C18" i="84"/>
  <c r="C17" i="84"/>
  <c r="C17" i="86"/>
  <c r="C5" i="86"/>
  <c r="C16" i="86"/>
  <c r="C9" i="86"/>
  <c r="C15" i="84"/>
  <c r="C16" i="84"/>
  <c r="C27" i="84"/>
  <c r="C25" i="84"/>
  <c r="C6" i="86"/>
  <c r="C11" i="86"/>
  <c r="C8" i="86"/>
  <c r="C7" i="86"/>
  <c r="C18" i="86"/>
  <c r="C29" i="84"/>
  <c r="C19" i="84"/>
  <c r="C24" i="84"/>
  <c r="C31" i="84"/>
  <c r="C21" i="84"/>
  <c r="C23" i="84"/>
  <c r="C28" i="84"/>
  <c r="C22" i="84"/>
  <c r="C30" i="84"/>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<sst xmlns="http://schemas.openxmlformats.org/spreadsheetml/2006/main" count="4738" uniqueCount="1050">
  <si>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</si>
  <si>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</si>
  <si>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</si>
  <si>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</si>
  <si>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</si>
  <si>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</si>
  <si>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</si>
  <si>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</si>
  <si>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</si>
  <si>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</si>
  <si>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</si>
  <si>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</si>
  <si>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</si>
  <si>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</si>
  <si>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</si>
  <si>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</si>
  <si>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</si>
  <si>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</si>
  <si>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</si>
  <si>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</si>
  <si>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</si>
  <si>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</si>
  <si>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</si>
  <si>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</si>
  <si>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</si>
  <si>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</si>
  <si>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</si>
  <si>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</si>
  <si>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</si>
  <si>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</si>
  <si>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</si>
  <si>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</si>
  <si>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</si>
  <si>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</si>
  <si>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</si>
  <si>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</si>
  <si>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</si>
  <si>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</si>
  <si>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</si>
  <si>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</si>
  <si>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</si>
  <si>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</si>
  <si>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</si>
  <si>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</si>
  <si>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</si>
  <si>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</si>
  <si>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</si>
  <si>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</si>
  <si>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</si>
  <si>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</si>
  <si>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</si>
  <si>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</si>
  <si>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</si>
  <si>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</si>
  <si>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</si>
  <si>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</si>
  <si>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</si>
  <si>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</si>
  <si>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</si>
  <si>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</si>
  <si>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</si>
  <si>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</si>
  <si>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</si>
  <si>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</si>
  <si>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</si>
  <si>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</si>
  <si>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</si>
  <si>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</si>
  <si>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</si>
  <si>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</si>
  <si>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</si>
  <si>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</si>
  <si>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</si>
  <si>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</si>
  <si>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</si>
  <si>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</si>
  <si>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</si>
  <si>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</si>
  <si>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</si>
  <si>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</si>
  <si>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</si>
  <si>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</si>
  <si>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</si>
  <si>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</si>
  <si>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</si>
  <si>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</si>
  <si>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</si>
  <si>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</si>
  <si>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</si>
  <si>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</si>
  <si>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</si>
  <si>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</si>
  <si>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</si>
  <si>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</si>
  <si>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</si>
  <si>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</si>
  <si>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</si>
  <si>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</si>
  <si>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</si>
  <si>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</si>
  <si>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</si>
  <si>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</si>
  <si>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</si>
  <si>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</si>
  <si>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</si>
  <si>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</si>
  <si>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</si>
  <si>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</si>
  <si>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</si>
  <si>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</si>
  <si>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</si>
  <si>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</si>
  <si>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</si>
  <si>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</si>
  <si>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</si>
  <si>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</si>
  <si>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</si>
  <si>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</si>
  <si>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</si>
  <si>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</si>
  <si>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</si>
  <si>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</si>
  <si>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</si>
  <si>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</si>
  <si>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</si>
  <si>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</si>
  <si>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</si>
  <si>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</si>
  <si>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</si>
  <si>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</si>
  <si>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</si>
  <si>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</si>
  <si>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</si>
  <si>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</si>
  <si>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</si>
  <si>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</si>
  <si>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</si>
  <si>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</si>
  <si>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</si>
  <si>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</si>
  <si>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</si>
  <si>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</si>
  <si>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</si>
  <si>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</si>
  <si>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</si>
  <si>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</si>
  <si>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</si>
  <si>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</si>
  <si>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</si>
  <si>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</si>
  <si>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</si>
  <si>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</si>
  <si>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</si>
  <si>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</si>
  <si>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</si>
  <si>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</si>
  <si>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</si>
  <si>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</si>
  <si>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</si>
  <si>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</si>
  <si>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</si>
  <si>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</si>
  <si>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</si>
  <si>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</si>
  <si>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</si>
  <si>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</si>
  <si>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</si>
  <si>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</si>
  <si>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</si>
  <si>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</si>
  <si>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</si>
  <si>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</si>
  <si>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</si>
  <si>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</si>
  <si>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</si>
  <si>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</si>
  <si>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</si>
  <si>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</si>
  <si>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</si>
  <si>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</si>
  <si>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</si>
  <si>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</si>
  <si>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</si>
  <si>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</si>
  <si>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</si>
  <si>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</si>
  <si>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</si>
  <si>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</si>
  <si>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</si>
  <si>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</si>
  <si>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</si>
  <si>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</si>
  <si>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</si>
  <si>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</si>
  <si>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</si>
  <si>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</si>
  <si>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</si>
  <si>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</si>
  <si>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</si>
  <si>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</si>
  <si>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</si>
  <si>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</si>
  <si>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</si>
  <si>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</si>
  <si>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</si>
  <si>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</si>
  <si>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</si>
  <si>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</si>
  <si>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</si>
  <si>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</si>
  <si>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</si>
  <si>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</si>
  <si>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</si>
  <si>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</si>
  <si>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</si>
  <si>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</si>
  <si>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</si>
  <si>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</si>
  <si>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</si>
  <si>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</si>
  <si>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</si>
  <si>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</si>
  <si>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</si>
  <si>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</si>
  <si>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</si>
  <si>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</si>
  <si>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</si>
  <si>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</si>
  <si>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</si>
  <si>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</si>
  <si>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</si>
  <si>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</si>
  <si>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</si>
  <si>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</si>
  <si>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</si>
  <si>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</si>
  <si>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</si>
  <si>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</si>
  <si>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</si>
  <si>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</si>
  <si>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</si>
  <si>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</si>
  <si>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</si>
  <si>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</si>
  <si>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</si>
  <si>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</si>
  <si>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</si>
  <si>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</si>
  <si>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</si>
  <si>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</si>
  <si>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</si>
  <si>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</si>
  <si>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</si>
  <si>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</si>
  <si>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</si>
  <si>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</si>
  <si>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</si>
  <si>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</si>
  <si>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</si>
  <si>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</si>
  <si>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</si>
  <si>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</si>
  <si>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</si>
  <si>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</si>
  <si>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</si>
  <si>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</si>
  <si>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</si>
  <si>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</si>
  <si>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</si>
  <si>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</si>
  <si>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</si>
  <si>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</si>
  <si>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</si>
  <si>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</si>
  <si>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</si>
  <si>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</si>
  <si>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</si>
  <si>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</si>
  <si>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</si>
  <si>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</si>
  <si>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</si>
  <si>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</si>
  <si>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</si>
  <si>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</si>
  <si>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</si>
  <si>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</si>
  <si>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</si>
  <si>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</si>
  <si>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</si>
  <si>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</si>
  <si>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</si>
  <si>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</si>
  <si>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</si>
  <si>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</si>
  <si>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</si>
  <si>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</si>
  <si>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</si>
  <si>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</si>
  <si>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</si>
  <si>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</si>
  <si>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</si>
  <si>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</si>
  <si>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</si>
  <si>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</si>
  <si>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</si>
  <si>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</si>
  <si>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</si>
  <si>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</si>
  <si>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</si>
  <si>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</si>
  <si>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</si>
  <si>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</si>
  <si>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</si>
  <si>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</si>
  <si>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</si>
  <si>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</si>
  <si>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</si>
  <si>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</si>
  <si>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</si>
  <si>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</si>
  <si>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</si>
  <si>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</si>
  <si>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</si>
  <si>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</si>
  <si>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</si>
  <si>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</si>
  <si>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</si>
  <si>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</si>
  <si>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</si>
  <si>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</si>
  <si>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</si>
  <si>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</si>
  <si>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</si>
  <si>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</si>
  <si>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</si>
  <si>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</si>
  <si>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</si>
  <si>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</si>
  <si>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</si>
  <si>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</si>
  <si>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</si>
  <si>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</si>
  <si>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</si>
  <si>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</si>
  <si>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</si>
  <si>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</si>
  <si>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</si>
  <si>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</si>
  <si>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</si>
  <si>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</si>
  <si>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</si>
  <si>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</si>
  <si>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</si>
  <si>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</si>
  <si>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</si>
  <si>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</si>
  <si>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</si>
  <si>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</si>
  <si>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</si>
  <si>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</si>
  <si>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</si>
  <si>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</si>
  <si>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</si>
  <si>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</si>
  <si>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</si>
  <si>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</si>
  <si>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</si>
  <si>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</si>
  <si>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</si>
  <si>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</si>
  <si>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</si>
  <si>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</si>
  <si>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</si>
  <si>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</si>
  <si>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</si>
  <si>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</si>
  <si>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</si>
  <si>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</si>
  <si>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</si>
  <si>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</si>
  <si>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</si>
  <si>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</si>
  <si>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</si>
  <si>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</si>
  <si>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</si>
  <si>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</si>
  <si>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</si>
  <si>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</si>
  <si>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</si>
  <si>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</si>
  <si>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</si>
  <si>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</si>
  <si>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</si>
  <si>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</si>
  <si>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</si>
  <si>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</si>
  <si>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</si>
  <si>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</si>
  <si>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</si>
  <si>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</si>
  <si>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</si>
  <si>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</si>
  <si>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</si>
  <si>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</si>
  <si>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</si>
  <si>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</si>
  <si>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</si>
  <si>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</si>
  <si>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</si>
  <si>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</si>
  <si>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</si>
  <si>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</si>
  <si>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</si>
  <si>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</si>
  <si>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</si>
  <si>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</si>
  <si>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</si>
  <si>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</si>
  <si>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</si>
  <si>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</si>
  <si>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</si>
  <si>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</si>
  <si>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</si>
  <si>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</si>
  <si>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</si>
  <si>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</si>
  <si>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</si>
  <si>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</si>
  <si>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</si>
  <si>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</si>
  <si>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</si>
  <si>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</si>
  <si>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</si>
  <si>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</si>
  <si>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</si>
  <si>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</si>
  <si>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</si>
  <si>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</si>
  <si>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</si>
  <si>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</si>
  <si>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</si>
  <si>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</si>
  <si>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</si>
  <si>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</si>
  <si>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</si>
  <si>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</si>
  <si>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</si>
  <si>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</si>
  <si>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</si>
  <si>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</si>
  <si>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</si>
  <si>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</si>
  <si>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</si>
  <si>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</si>
  <si>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</si>
  <si>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</si>
  <si>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</si>
  <si>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</si>
  <si>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</si>
  <si>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</si>
  <si>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</si>
  <si>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</si>
  <si>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</si>
  <si>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</si>
  <si>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</si>
  <si>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</si>
  <si>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</si>
  <si>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</si>
  <si>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</si>
  <si>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</si>
  <si>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</si>
  <si>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</si>
  <si>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</si>
  <si>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</si>
  <si>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</si>
  <si>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</si>
  <si>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</si>
  <si>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</si>
  <si>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</si>
  <si>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</si>
  <si>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</si>
  <si>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</si>
  <si>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</si>
  <si>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</si>
  <si>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</si>
  <si>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</si>
  <si>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</si>
  <si>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</si>
  <si>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</si>
  <si>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</si>
  <si>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</si>
  <si>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</si>
  <si>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</si>
  <si>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</si>
  <si>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</si>
  <si>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</si>
  <si>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</si>
  <si>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</si>
  <si>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</si>
  <si>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</si>
  <si>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</si>
  <si>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</si>
  <si>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</si>
  <si>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</si>
  <si>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</si>
  <si>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</si>
  <si>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</si>
  <si>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</si>
  <si>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</si>
  <si>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</si>
  <si>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</si>
  <si>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</si>
  <si>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</si>
  <si>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</si>
  <si>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</si>
  <si>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</si>
  <si>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</si>
  <si>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</si>
  <si>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</si>
  <si>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</si>
  <si>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</si>
  <si>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</si>
  <si>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</si>
  <si>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</si>
  <si>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</si>
  <si>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</si>
  <si>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</si>
  <si>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</si>
  <si>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</si>
  <si>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</si>
  <si>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</si>
  <si>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</si>
  <si>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</si>
  <si>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</si>
  <si>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</si>
  <si>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</si>
  <si>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</si>
  <si>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</si>
  <si>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</si>
  <si>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</si>
  <si>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</si>
  <si>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</si>
  <si>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</si>
  <si>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</si>
  <si>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</si>
  <si>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</si>
  <si>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</si>
  <si>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</si>
  <si>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</si>
  <si>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</si>
  <si>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</si>
  <si>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</si>
  <si>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</si>
  <si>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</si>
  <si>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</si>
  <si>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</si>
  <si>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</si>
  <si>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</si>
  <si>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</si>
  <si>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</si>
  <si>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</si>
  <si>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</si>
  <si>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</si>
  <si>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</si>
  <si>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</si>
  <si>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</si>
  <si>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</si>
  <si>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</si>
  <si>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</si>
  <si>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</si>
  <si>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</si>
  <si>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</si>
  <si>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</si>
  <si>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</si>
  <si>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</si>
  <si>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</si>
  <si>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</si>
  <si>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</si>
  <si>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</si>
  <si>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</si>
  <si>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</si>
  <si>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</si>
  <si>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</si>
  <si>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</si>
  <si>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</si>
  <si>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</si>
  <si>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</si>
  <si>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</si>
  <si>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</si>
  <si>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</si>
  <si>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</si>
  <si>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</si>
  <si>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</si>
  <si>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</si>
  <si>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</si>
  <si>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</si>
  <si>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</si>
  <si>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</si>
  <si>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</si>
  <si>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</si>
  <si>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</si>
  <si>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</si>
  <si>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</si>
  <si>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</si>
  <si>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</si>
  <si>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</si>
  <si>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</si>
  <si>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</si>
  <si>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</si>
  <si>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</si>
  <si>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</si>
  <si>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</si>
  <si>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</si>
  <si>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</si>
  <si>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</si>
  <si>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</si>
  <si>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</si>
  <si>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</si>
  <si>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</si>
  <si>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</si>
  <si>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</si>
  <si>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</si>
  <si>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</si>
  <si>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</si>
  <si>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</si>
  <si>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</si>
  <si>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</si>
  <si>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</si>
  <si>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</si>
  <si>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</si>
  <si>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</si>
  <si>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</si>
  <si>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</si>
  <si>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</si>
  <si>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</si>
  <si>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</si>
  <si>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</si>
  <si>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</si>
  <si>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</si>
  <si>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</si>
  <si>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</si>
  <si>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</si>
  <si>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Ratio</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</si>
  <si>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</si>
  <si>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</si>
  <si>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</si>
  <si>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</si>
  <si>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</si>
  <si>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</si>
  <si>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</si>
  <si>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</si>
  <si>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</si>
  <si>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</si>
  <si>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</si>
  <si>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</si>
  <si>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</si>
  <si>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</si>
  <si>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</si>
  <si>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</si>
  <si>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</si>
  <si>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</si>
  <si>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</si>
  <si>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</si>
  <si>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</si>
  <si>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</si>
  <si>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</si>
  <si>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</si>
  <si>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</si>
  <si>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</si>
  <si>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</si>
  <si>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</si>
  <si>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</si>
  <si>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</si>
  <si>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</si>
  <si>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</si>
  <si>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</si>
  <si>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</si>
  <si>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</si>
  <si>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</si>
  <si>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</si>
  <si>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</si>
  <si>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</si>
  <si>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</si>
  <si>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</si>
  <si>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</si>
  <si>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</si>
  <si>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</si>
  <si>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</si>
  <si>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</si>
  <si>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</si>
  <si>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</si>
  <si>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</si>
  <si>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</si>
  <si>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</si>
  <si>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</si>
  <si>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</si>
  <si>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</si>
  <si>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</si>
  <si>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</si>
  <si>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</si>
  <si>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</si>
  <si>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</si>
  <si>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</si>
  <si>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</si>
  <si>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</si>
  <si>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</si>
  <si>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</si>
  <si>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</si>
  <si>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</si>
  <si>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</si>
  <si>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</si>
  <si>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</si>
  <si>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</si>
  <si>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</si>
  <si>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</si>
  <si>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</si>
  <si>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</si>
  <si>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</si>
  <si>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</si>
  <si>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</si>
  <si>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</si>
  <si>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</si>
  <si>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</si>
  <si>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</si>
  <si>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</si>
  <si>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</si>
  <si>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</si>
  <si>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</si>
  <si>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</si>
  <si>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</si>
  <si>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</si>
  <si>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</si>
  <si>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</si>
  <si>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</si>
  <si>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</si>
  <si>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</si>
  <si>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HT Medida</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</si>
  <si>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</si>
  <si>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</si>
  <si>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</si>
  <si>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</si>
  <si>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</si>
  <si>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</si>
  <si>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</si>
  <si>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</si>
  <si>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</si>
  <si>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</si>
  <si>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</si>
  <si>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</si>
  <si>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</si>
  <si>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</si>
  <si>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</si>
  <si>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</si>
  <si>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</si>
  <si>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</si>
  <si>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</si>
  <si>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</si>
  <si>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</si>
  <si>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</si>
  <si>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</si>
  <si>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</si>
  <si>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</si>
  <si>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</si>
  <si>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</si>
  <si>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</si>
  <si>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</si>
  <si>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</si>
  <si>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</si>
  <si>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</si>
  <si>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</si>
  <si>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</si>
  <si>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</si>
  <si>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</si>
  <si>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</si>
  <si>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</si>
  <si>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</si>
  <si>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</si>
  <si>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</si>
  <si>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</si>
  <si>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</si>
  <si>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</si>
  <si>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</si>
  <si>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</si>
  <si>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</si>
  <si>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</si>
  <si>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</si>
  <si>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</si>
  <si>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</si>
  <si>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</si>
  <si>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</si>
  <si>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</si>
  <si>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</si>
  <si>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</si>
  <si>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</si>
  <si>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</si>
  <si>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</si>
  <si>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</si>
  <si>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</si>
  <si>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</si>
  <si>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</si>
  <si>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</si>
  <si>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</si>
  <si>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</si>
  <si>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</si>
  <si>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</si>
  <si>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</si>
  <si>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</si>
  <si>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</si>
  <si>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</si>
  <si>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</si>
  <si>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</si>
  <si>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</si>
  <si>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</si>
  <si>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</si>
  <si>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</si>
  <si>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</si>
  <si>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</si>
  <si>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</si>
  <si>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</si>
  <si>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</si>
  <si>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</si>
  <si>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</si>
  <si>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</si>
  <si>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</si>
  <si>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</si>
  <si>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</si>
  <si>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</si>
  <si>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</si>
  <si>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</si>
  <si>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</si>
  <si>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</si>
  <si>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</si>
  <si>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</si>
  <si>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</si>
  <si>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</si>
  <si>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</si>
  <si>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</si>
  <si>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</si>
  <si>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</si>
  <si>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</si>
  <si>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</si>
  <si>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</si>
  <si>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</si>
  <si>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</si>
  <si>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</si>
  <si>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</si>
  <si>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</si>
  <si>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</si>
  <si>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</si>
  <si>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</si>
  <si>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</si>
  <si>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</si>
  <si>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</si>
  <si>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</si>
  <si>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</si>
  <si>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</si>
  <si>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</si>
  <si>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NTL</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</si>
  <si>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</si>
  <si>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</si>
  <si>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</si>
  <si>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</si>
  <si>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</si>
  <si>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</si>
  <si>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</si>
  <si>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</si>
  <si>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</si>
  <si>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</si>
  <si>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</si>
  <si>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</si>
  <si>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</si>
  <si>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</si>
  <si>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</si>
  <si>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</si>
  <si>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</si>
  <si>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</si>
  <si>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</si>
  <si>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NUM</t>
  </si>
  <si>
    <t>CRE</t>
  </si>
  <si>
    <t>BPIAt</t>
  </si>
  <si>
    <t>BPIDf</t>
  </si>
  <si>
    <t>PS</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</si>
  <si>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</si>
  <si>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</si>
  <si>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</si>
  <si>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</si>
  <si>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</si>
  <si>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</si>
  <si>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</si>
  <si>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</si>
  <si>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</si>
  <si>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</si>
  <si>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</si>
  <si>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</si>
  <si>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</si>
  <si>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</si>
  <si>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</si>
  <si>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</si>
  <si>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</si>
  <si>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</si>
  <si>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</si>
  <si>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</si>
  <si>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</si>
  <si>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</si>
  <si>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</si>
  <si>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</si>
  <si>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</si>
  <si>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</si>
  <si>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</si>
  <si>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</si>
  <si>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</si>
  <si>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</si>
  <si>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</si>
  <si>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</si>
  <si>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</si>
  <si>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</si>
  <si>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</si>
  <si>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</si>
  <si>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</si>
  <si>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</si>
  <si>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</si>
  <si>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</si>
  <si>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</si>
  <si>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</si>
  <si>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</si>
  <si>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</si>
  <si>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</si>
  <si>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</si>
  <si>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</si>
  <si>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</si>
  <si>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</si>
  <si>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</si>
  <si>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</si>
  <si>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</si>
  <si>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</si>
  <si>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</si>
  <si>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</si>
  <si>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</si>
  <si>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</si>
  <si>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</si>
  <si>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</si>
  <si>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</si>
  <si>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</si>
  <si>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</si>
  <si>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</si>
  <si>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</si>
  <si>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</si>
  <si>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</si>
  <si>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</si>
  <si>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</si>
  <si>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</si>
  <si>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</si>
  <si>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</si>
  <si>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</si>
  <si>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</si>
  <si>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</si>
  <si>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</si>
  <si>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</si>
  <si>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</si>
  <si>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</si>
  <si>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</si>
  <si>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</si>
  <si>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</si>
  <si>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</si>
  <si>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</si>
  <si>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</si>
  <si>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</si>
  <si>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</si>
  <si>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</si>
  <si>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</si>
  <si>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</si>
  <si>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</si>
  <si>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</si>
  <si>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</si>
  <si>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</si>
  <si>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</si>
  <si>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</si>
  <si>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</si>
  <si>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</si>
  <si>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</si>
  <si>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</si>
  <si>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</si>
  <si>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</si>
  <si>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</si>
  <si>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</si>
  <si>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</si>
  <si>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</si>
  <si>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</si>
  <si>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</si>
  <si>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</si>
  <si>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</si>
  <si>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</si>
  <si>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</si>
  <si>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</si>
  <si>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</si>
  <si>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</si>
  <si>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</si>
  <si>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</si>
  <si>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</si>
  <si>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</si>
  <si>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</si>
  <si>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</si>
  <si>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</si>
  <si>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</si>
  <si>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</si>
  <si>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</si>
  <si>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</si>
  <si>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</si>
  <si>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</si>
  <si>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</si>
  <si>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</si>
  <si>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</si>
  <si>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352-541NId</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</si>
  <si>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</si>
  <si>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</si>
  <si>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</si>
  <si>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</si>
  <si>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</si>
  <si>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</si>
  <si>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</si>
  <si>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</si>
  <si>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</si>
  <si>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</si>
  <si>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</si>
  <si>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</si>
  <si>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</si>
  <si>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</si>
  <si>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</si>
  <si>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</si>
  <si>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</si>
  <si>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</si>
  <si>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</si>
  <si>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</si>
  <si>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</si>
  <si>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</si>
  <si>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</si>
  <si>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</si>
  <si>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</si>
  <si>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</si>
  <si>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</si>
  <si>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</si>
  <si>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</si>
  <si>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Jerry 'das Ekel' Roudil</t>
  </si>
  <si>
    <t>Paolo Giberti</t>
  </si>
  <si>
    <t>Boldizsár Énekes</t>
  </si>
  <si>
    <t>Gholamali Mirzarezaei</t>
  </si>
  <si>
    <t>Küre Kist</t>
  </si>
  <si>
    <t>Kim De Nicola</t>
  </si>
  <si>
    <t>513hts</t>
  </si>
  <si>
    <t>Obiwan-Agricola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</si>
</sst>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8"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b/>
      <u/>
      <sz val="1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80">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0" fillId="0" borderId="1" xfId="0" applyNumberFormat="1" applyBorder="1" applyAlignment="1">
      <alignment horizontal="center"/>
    </xf>
    <xf numFmtId="0" fontId="0" fillId="0" borderId="0" xfId="0"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14" fontId="0" fillId="0" borderId="0" xfId="0" applyNumberFormat="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169" fontId="37" fillId="0" borderId="0" xfId="5" applyNumberFormat="1" applyFont="1" applyFill="1" applyAlignment="1">
      <alignment horizontal="center"/>
    </xf>
    <xf numFmtId="9" fontId="0" fillId="0" borderId="0" xfId="0" applyNumberFormat="1"/>
    <xf numFmtId="1" fontId="51" fillId="0" borderId="1" xfId="5" applyNumberFormat="1" applyFont="1" applyBorder="1" applyAlignment="1">
      <alignment horizontal="center"/>
    </xf>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0" xfId="0"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3" applyNumberFormat="1" applyFont="1" applyAlignment="1">
      <alignment horizontal="right"/>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0" fontId="0" fillId="0" borderId="0" xfId="0" applyNumberFormat="1" applyAlignment="1">
      <alignment horizontal="right"/>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 fillId="12" borderId="1" xfId="0" applyFont="1" applyFill="1" applyBorder="1"/>
    <xf numFmtId="0" fontId="8" fillId="0" borderId="1" xfId="0" applyFont="1" applyFill="1" applyBorder="1"/>
    <xf numFmtId="0" fontId="0" fillId="20" borderId="1" xfId="0" applyFill="1" applyBorder="1"/>
    <xf numFmtId="0" fontId="8" fillId="0" borderId="1" xfId="0" applyFont="1" applyBorder="1"/>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0" fontId="62" fillId="12" borderId="1" xfId="5" applyFont="1" applyFill="1" applyBorder="1" applyAlignment="1">
      <alignment horizontal="right"/>
    </xf>
    <xf numFmtId="0" fontId="38" fillId="12" borderId="1" xfId="5" applyFont="1" applyFill="1" applyBorder="1" applyAlignment="1">
      <alignment horizontal="right"/>
    </xf>
    <xf numFmtId="0" fontId="62" fillId="21" borderId="1" xfId="5" applyFont="1" applyFill="1" applyBorder="1" applyAlignment="1">
      <alignment horizontal="right"/>
    </xf>
    <xf numFmtId="0" fontId="38" fillId="21" borderId="1" xfId="5" applyFont="1" applyFill="1" applyBorder="1" applyAlignment="1">
      <alignment horizontal="right"/>
    </xf>
    <xf numFmtId="169" fontId="52" fillId="0" borderId="0" xfId="5" applyNumberFormat="1"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2" fontId="85" fillId="0" borderId="1" xfId="0" applyNumberFormat="1" applyFont="1" applyBorder="1"/>
    <xf numFmtId="2" fontId="6" fillId="0" borderId="1" xfId="0" applyNumberFormat="1" applyFont="1" applyBorder="1"/>
    <xf numFmtId="0" fontId="55" fillId="26"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6" fillId="0" borderId="0" xfId="0" applyFont="1" applyAlignment="1">
      <alignment horizontal="center"/>
    </xf>
    <xf numFmtId="0" fontId="86" fillId="0" borderId="0" xfId="0" applyFont="1"/>
    <xf numFmtId="14" fontId="86" fillId="0" borderId="0" xfId="0" applyNumberFormat="1" applyFont="1"/>
    <xf numFmtId="0" fontId="87" fillId="0" borderId="0" xfId="0" applyFont="1" applyAlignment="1">
      <alignment horizontal="center"/>
    </xf>
    <xf numFmtId="164" fontId="86"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14" fontId="0" fillId="0" borderId="0" xfId="0" applyNumberFormat="1"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407">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537366088"/>
        <c:axId val="537364912"/>
      </c:barChart>
      <c:catAx>
        <c:axId val="537366088"/>
        <c:scaling>
          <c:orientation val="minMax"/>
        </c:scaling>
        <c:delete val="0"/>
        <c:axPos val="b"/>
        <c:numFmt formatCode="General" sourceLinked="1"/>
        <c:majorTickMark val="out"/>
        <c:minorTickMark val="none"/>
        <c:tickLblPos val="nextTo"/>
        <c:crossAx val="537364912"/>
        <c:crosses val="autoZero"/>
        <c:auto val="1"/>
        <c:lblAlgn val="ctr"/>
        <c:lblOffset val="100"/>
        <c:noMultiLvlLbl val="0"/>
      </c:catAx>
      <c:valAx>
        <c:axId val="537364912"/>
        <c:scaling>
          <c:orientation val="minMax"/>
        </c:scaling>
        <c:delete val="0"/>
        <c:axPos val="l"/>
        <c:majorGridlines/>
        <c:numFmt formatCode="_-* #,##0\ [$€-C0A]_-;\-* #,##0\ [$€-C0A]_-;_-* &quot;-&quot;??\ [$€-C0A]_-;_-@_-" sourceLinked="1"/>
        <c:majorTickMark val="out"/>
        <c:minorTickMark val="none"/>
        <c:tickLblPos val="nextTo"/>
        <c:crossAx val="537366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79312"/>
        <c:axId val="595378136"/>
      </c:barChart>
      <c:catAx>
        <c:axId val="595379312"/>
        <c:scaling>
          <c:orientation val="minMax"/>
        </c:scaling>
        <c:delete val="0"/>
        <c:axPos val="b"/>
        <c:numFmt formatCode="General" sourceLinked="1"/>
        <c:majorTickMark val="out"/>
        <c:minorTickMark val="none"/>
        <c:tickLblPos val="nextTo"/>
        <c:crossAx val="595378136"/>
        <c:crosses val="autoZero"/>
        <c:auto val="1"/>
        <c:lblAlgn val="ctr"/>
        <c:lblOffset val="100"/>
        <c:noMultiLvlLbl val="0"/>
      </c:catAx>
      <c:valAx>
        <c:axId val="595378136"/>
        <c:scaling>
          <c:orientation val="minMax"/>
        </c:scaling>
        <c:delete val="0"/>
        <c:axPos val="l"/>
        <c:majorGridlines/>
        <c:numFmt formatCode="_-* #,##0\ [$€-C0A]_-;\-* #,##0\ [$€-C0A]_-;_-* &quot;-&quot;??\ [$€-C0A]_-;_-@_-" sourceLinked="1"/>
        <c:majorTickMark val="out"/>
        <c:minorTickMark val="none"/>
        <c:tickLblPos val="nextTo"/>
        <c:crossAx val="5953793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595383232"/>
        <c:axId val="595378528"/>
      </c:barChart>
      <c:catAx>
        <c:axId val="595383232"/>
        <c:scaling>
          <c:orientation val="minMax"/>
        </c:scaling>
        <c:delete val="0"/>
        <c:axPos val="b"/>
        <c:numFmt formatCode="General" sourceLinked="1"/>
        <c:majorTickMark val="out"/>
        <c:minorTickMark val="none"/>
        <c:tickLblPos val="nextTo"/>
        <c:crossAx val="595378528"/>
        <c:crosses val="autoZero"/>
        <c:auto val="1"/>
        <c:lblAlgn val="ctr"/>
        <c:lblOffset val="100"/>
        <c:noMultiLvlLbl val="0"/>
      </c:catAx>
      <c:valAx>
        <c:axId val="595378528"/>
        <c:scaling>
          <c:orientation val="minMax"/>
        </c:scaling>
        <c:delete val="0"/>
        <c:axPos val="l"/>
        <c:majorGridlines/>
        <c:numFmt formatCode="_-* #,##0\ [$€-C0A]_-;\-* #,##0\ [$€-C0A]_-;_-* &quot;-&quot;??\ [$€-C0A]_-;_-@_-" sourceLinked="1"/>
        <c:majorTickMark val="out"/>
        <c:minorTickMark val="none"/>
        <c:tickLblPos val="nextTo"/>
        <c:crossAx val="595383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88328"/>
        <c:axId val="595381664"/>
      </c:barChart>
      <c:catAx>
        <c:axId val="595388328"/>
        <c:scaling>
          <c:orientation val="minMax"/>
        </c:scaling>
        <c:delete val="0"/>
        <c:axPos val="b"/>
        <c:numFmt formatCode="General" sourceLinked="1"/>
        <c:majorTickMark val="out"/>
        <c:minorTickMark val="none"/>
        <c:tickLblPos val="nextTo"/>
        <c:crossAx val="595381664"/>
        <c:crosses val="autoZero"/>
        <c:auto val="1"/>
        <c:lblAlgn val="ctr"/>
        <c:lblOffset val="100"/>
        <c:noMultiLvlLbl val="0"/>
      </c:catAx>
      <c:valAx>
        <c:axId val="595381664"/>
        <c:scaling>
          <c:orientation val="minMax"/>
        </c:scaling>
        <c:delete val="0"/>
        <c:axPos val="l"/>
        <c:majorGridlines/>
        <c:numFmt formatCode="_-* #,##0\ [$€-C0A]_-;\-* #,##0\ [$€-C0A]_-;_-* &quot;-&quot;??\ [$€-C0A]_-;_-@_-" sourceLinked="1"/>
        <c:majorTickMark val="out"/>
        <c:minorTickMark val="none"/>
        <c:tickLblPos val="nextTo"/>
        <c:crossAx val="595388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595382840"/>
        <c:axId val="595387544"/>
      </c:barChart>
      <c:catAx>
        <c:axId val="595382840"/>
        <c:scaling>
          <c:orientation val="minMax"/>
        </c:scaling>
        <c:delete val="0"/>
        <c:axPos val="b"/>
        <c:numFmt formatCode="General" sourceLinked="1"/>
        <c:majorTickMark val="out"/>
        <c:minorTickMark val="none"/>
        <c:tickLblPos val="nextTo"/>
        <c:crossAx val="595387544"/>
        <c:crosses val="autoZero"/>
        <c:auto val="1"/>
        <c:lblAlgn val="ctr"/>
        <c:lblOffset val="100"/>
        <c:noMultiLvlLbl val="0"/>
      </c:catAx>
      <c:valAx>
        <c:axId val="595387544"/>
        <c:scaling>
          <c:orientation val="minMax"/>
        </c:scaling>
        <c:delete val="0"/>
        <c:axPos val="l"/>
        <c:majorGridlines/>
        <c:numFmt formatCode="_-* #,##0\ [$€-C0A]_-;\-* #,##0\ [$€-C0A]_-;_-* &quot;-&quot;??\ [$€-C0A]_-;_-@_-" sourceLinked="1"/>
        <c:majorTickMark val="out"/>
        <c:minorTickMark val="none"/>
        <c:tickLblPos val="nextTo"/>
        <c:crossAx val="595382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595384016"/>
        <c:axId val="595382056"/>
      </c:barChart>
      <c:catAx>
        <c:axId val="595384016"/>
        <c:scaling>
          <c:orientation val="minMax"/>
        </c:scaling>
        <c:delete val="0"/>
        <c:axPos val="b"/>
        <c:numFmt formatCode="General" sourceLinked="1"/>
        <c:majorTickMark val="out"/>
        <c:minorTickMark val="none"/>
        <c:tickLblPos val="nextTo"/>
        <c:crossAx val="595382056"/>
        <c:crosses val="autoZero"/>
        <c:auto val="1"/>
        <c:lblAlgn val="ctr"/>
        <c:lblOffset val="100"/>
        <c:noMultiLvlLbl val="0"/>
      </c:catAx>
      <c:valAx>
        <c:axId val="595382056"/>
        <c:scaling>
          <c:orientation val="minMax"/>
        </c:scaling>
        <c:delete val="0"/>
        <c:axPos val="l"/>
        <c:majorGridlines/>
        <c:numFmt formatCode="_-* #,##0\ [$€-C0A]_-;\-* #,##0\ [$€-C0A]_-;_-* &quot;-&quot;??\ [$€-C0A]_-;_-@_-" sourceLinked="1"/>
        <c:majorTickMark val="out"/>
        <c:minorTickMark val="none"/>
        <c:tickLblPos val="nextTo"/>
        <c:crossAx val="595384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595389504"/>
        <c:axId val="595384408"/>
      </c:barChart>
      <c:catAx>
        <c:axId val="595389504"/>
        <c:scaling>
          <c:orientation val="minMax"/>
        </c:scaling>
        <c:delete val="0"/>
        <c:axPos val="b"/>
        <c:numFmt formatCode="General" sourceLinked="1"/>
        <c:majorTickMark val="out"/>
        <c:minorTickMark val="none"/>
        <c:tickLblPos val="nextTo"/>
        <c:crossAx val="595384408"/>
        <c:crosses val="autoZero"/>
        <c:auto val="1"/>
        <c:lblAlgn val="ctr"/>
        <c:lblOffset val="100"/>
        <c:noMultiLvlLbl val="0"/>
      </c:catAx>
      <c:valAx>
        <c:axId val="595384408"/>
        <c:scaling>
          <c:orientation val="minMax"/>
        </c:scaling>
        <c:delete val="0"/>
        <c:axPos val="l"/>
        <c:majorGridlines/>
        <c:numFmt formatCode="_-* #,##0\ [$€-C0A]_-;\-* #,##0\ [$€-C0A]_-;_-* &quot;-&quot;??\ [$€-C0A]_-;_-@_-" sourceLinked="1"/>
        <c:majorTickMark val="out"/>
        <c:minorTickMark val="none"/>
        <c:tickLblPos val="nextTo"/>
        <c:crossAx val="595389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79704"/>
        <c:axId val="595389112"/>
      </c:barChart>
      <c:catAx>
        <c:axId val="595379704"/>
        <c:scaling>
          <c:orientation val="minMax"/>
        </c:scaling>
        <c:delete val="0"/>
        <c:axPos val="b"/>
        <c:numFmt formatCode="General" sourceLinked="1"/>
        <c:majorTickMark val="out"/>
        <c:minorTickMark val="none"/>
        <c:tickLblPos val="nextTo"/>
        <c:crossAx val="595389112"/>
        <c:crosses val="autoZero"/>
        <c:auto val="1"/>
        <c:lblAlgn val="ctr"/>
        <c:lblOffset val="100"/>
        <c:noMultiLvlLbl val="0"/>
      </c:catAx>
      <c:valAx>
        <c:axId val="595389112"/>
        <c:scaling>
          <c:orientation val="minMax"/>
        </c:scaling>
        <c:delete val="0"/>
        <c:axPos val="l"/>
        <c:majorGridlines/>
        <c:numFmt formatCode="_-* #,##0\ [$€-C0A]_-;\-* #,##0\ [$€-C0A]_-;_-* &quot;-&quot;??\ [$€-C0A]_-;_-@_-" sourceLinked="1"/>
        <c:majorTickMark val="out"/>
        <c:minorTickMark val="none"/>
        <c:tickLblPos val="nextTo"/>
        <c:crossAx val="5953797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77352"/>
        <c:axId val="595385192"/>
      </c:barChart>
      <c:catAx>
        <c:axId val="595377352"/>
        <c:scaling>
          <c:orientation val="minMax"/>
        </c:scaling>
        <c:delete val="0"/>
        <c:axPos val="b"/>
        <c:numFmt formatCode="General" sourceLinked="1"/>
        <c:majorTickMark val="out"/>
        <c:minorTickMark val="none"/>
        <c:tickLblPos val="nextTo"/>
        <c:crossAx val="595385192"/>
        <c:crosses val="autoZero"/>
        <c:auto val="1"/>
        <c:lblAlgn val="ctr"/>
        <c:lblOffset val="100"/>
        <c:noMultiLvlLbl val="0"/>
      </c:catAx>
      <c:valAx>
        <c:axId val="595385192"/>
        <c:scaling>
          <c:orientation val="minMax"/>
        </c:scaling>
        <c:delete val="0"/>
        <c:axPos val="l"/>
        <c:majorGridlines/>
        <c:numFmt formatCode="_-* #,##0\ [$€-C0A]_-;\-* #,##0\ [$€-C0A]_-;_-* &quot;-&quot;??\ [$€-C0A]_-;_-@_-" sourceLinked="1"/>
        <c:majorTickMark val="out"/>
        <c:minorTickMark val="none"/>
        <c:tickLblPos val="nextTo"/>
        <c:crossAx val="595377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85584"/>
        <c:axId val="595385976"/>
      </c:barChart>
      <c:catAx>
        <c:axId val="595385584"/>
        <c:scaling>
          <c:orientation val="minMax"/>
        </c:scaling>
        <c:delete val="0"/>
        <c:axPos val="b"/>
        <c:numFmt formatCode="General" sourceLinked="1"/>
        <c:majorTickMark val="out"/>
        <c:minorTickMark val="none"/>
        <c:tickLblPos val="nextTo"/>
        <c:crossAx val="595385976"/>
        <c:crosses val="autoZero"/>
        <c:auto val="1"/>
        <c:lblAlgn val="ctr"/>
        <c:lblOffset val="100"/>
        <c:noMultiLvlLbl val="0"/>
      </c:catAx>
      <c:valAx>
        <c:axId val="595385976"/>
        <c:scaling>
          <c:orientation val="minMax"/>
        </c:scaling>
        <c:delete val="0"/>
        <c:axPos val="l"/>
        <c:majorGridlines/>
        <c:numFmt formatCode="_-* #,##0\ [$€-C0A]_-;\-* #,##0\ [$€-C0A]_-;_-* &quot;-&quot;??\ [$€-C0A]_-;_-@_-" sourceLinked="1"/>
        <c:majorTickMark val="out"/>
        <c:minorTickMark val="none"/>
        <c:tickLblPos val="nextTo"/>
        <c:crossAx val="595385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595387152"/>
        <c:axId val="595378920"/>
      </c:barChart>
      <c:catAx>
        <c:axId val="595387152"/>
        <c:scaling>
          <c:orientation val="minMax"/>
        </c:scaling>
        <c:delete val="0"/>
        <c:axPos val="b"/>
        <c:numFmt formatCode="General" sourceLinked="1"/>
        <c:majorTickMark val="out"/>
        <c:minorTickMark val="none"/>
        <c:tickLblPos val="nextTo"/>
        <c:crossAx val="595378920"/>
        <c:crosses val="autoZero"/>
        <c:auto val="1"/>
        <c:lblAlgn val="ctr"/>
        <c:lblOffset val="100"/>
        <c:noMultiLvlLbl val="0"/>
      </c:catAx>
      <c:valAx>
        <c:axId val="595378920"/>
        <c:scaling>
          <c:orientation val="minMax"/>
        </c:scaling>
        <c:delete val="0"/>
        <c:axPos val="l"/>
        <c:majorGridlines/>
        <c:numFmt formatCode="_-* #,##0\ [$€-C0A]_-;\-* #,##0\ [$€-C0A]_-;_-* &quot;-&quot;??\ [$€-C0A]_-;_-@_-" sourceLinked="1"/>
        <c:majorTickMark val="out"/>
        <c:minorTickMark val="none"/>
        <c:tickLblPos val="nextTo"/>
        <c:crossAx val="5953871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37365304"/>
        <c:axId val="537369616"/>
      </c:barChart>
      <c:catAx>
        <c:axId val="537365304"/>
        <c:scaling>
          <c:orientation val="minMax"/>
        </c:scaling>
        <c:delete val="0"/>
        <c:axPos val="b"/>
        <c:numFmt formatCode="General" sourceLinked="1"/>
        <c:majorTickMark val="out"/>
        <c:minorTickMark val="none"/>
        <c:tickLblPos val="nextTo"/>
        <c:crossAx val="537369616"/>
        <c:crosses val="autoZero"/>
        <c:auto val="1"/>
        <c:lblAlgn val="ctr"/>
        <c:lblOffset val="100"/>
        <c:noMultiLvlLbl val="0"/>
      </c:catAx>
      <c:valAx>
        <c:axId val="537369616"/>
        <c:scaling>
          <c:orientation val="minMax"/>
        </c:scaling>
        <c:delete val="0"/>
        <c:axPos val="l"/>
        <c:majorGridlines/>
        <c:numFmt formatCode="_-* #,##0\ [$€-C0A]_-;\-* #,##0\ [$€-C0A]_-;_-* &quot;-&quot;??\ [$€-C0A]_-;_-@_-" sourceLinked="1"/>
        <c:majorTickMark val="out"/>
        <c:minorTickMark val="none"/>
        <c:tickLblPos val="nextTo"/>
        <c:crossAx val="5373653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80488"/>
        <c:axId val="595390680"/>
      </c:barChart>
      <c:catAx>
        <c:axId val="595380488"/>
        <c:scaling>
          <c:orientation val="minMax"/>
        </c:scaling>
        <c:delete val="0"/>
        <c:axPos val="b"/>
        <c:numFmt formatCode="General" sourceLinked="1"/>
        <c:majorTickMark val="out"/>
        <c:minorTickMark val="none"/>
        <c:tickLblPos val="nextTo"/>
        <c:crossAx val="595390680"/>
        <c:crosses val="autoZero"/>
        <c:auto val="1"/>
        <c:lblAlgn val="ctr"/>
        <c:lblOffset val="100"/>
        <c:noMultiLvlLbl val="0"/>
      </c:catAx>
      <c:valAx>
        <c:axId val="595390680"/>
        <c:scaling>
          <c:orientation val="minMax"/>
        </c:scaling>
        <c:delete val="0"/>
        <c:axPos val="l"/>
        <c:majorGridlines/>
        <c:numFmt formatCode="_-* #,##0\ [$€-C0A]_-;\-* #,##0\ [$€-C0A]_-;_-* &quot;-&quot;??\ [$€-C0A]_-;_-@_-" sourceLinked="1"/>
        <c:majorTickMark val="out"/>
        <c:minorTickMark val="none"/>
        <c:tickLblPos val="nextTo"/>
        <c:crossAx val="595380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595393424"/>
        <c:axId val="595393816"/>
      </c:barChart>
      <c:catAx>
        <c:axId val="595393424"/>
        <c:scaling>
          <c:orientation val="minMax"/>
        </c:scaling>
        <c:delete val="0"/>
        <c:axPos val="b"/>
        <c:numFmt formatCode="General" sourceLinked="1"/>
        <c:majorTickMark val="out"/>
        <c:minorTickMark val="none"/>
        <c:tickLblPos val="nextTo"/>
        <c:crossAx val="595393816"/>
        <c:crosses val="autoZero"/>
        <c:auto val="1"/>
        <c:lblAlgn val="ctr"/>
        <c:lblOffset val="100"/>
        <c:noMultiLvlLbl val="0"/>
      </c:catAx>
      <c:valAx>
        <c:axId val="595393816"/>
        <c:scaling>
          <c:orientation val="minMax"/>
        </c:scaling>
        <c:delete val="0"/>
        <c:axPos val="l"/>
        <c:majorGridlines/>
        <c:numFmt formatCode="_-* #,##0\ [$€-C0A]_-;\-* #,##0\ [$€-C0A]_-;_-* &quot;-&quot;??\ [$€-C0A]_-;_-@_-" sourceLinked="1"/>
        <c:majorTickMark val="out"/>
        <c:minorTickMark val="none"/>
        <c:tickLblPos val="nextTo"/>
        <c:crossAx val="595393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95394600"/>
        <c:axId val="595398128"/>
      </c:barChart>
      <c:catAx>
        <c:axId val="595394600"/>
        <c:scaling>
          <c:orientation val="minMax"/>
        </c:scaling>
        <c:delete val="0"/>
        <c:axPos val="b"/>
        <c:numFmt formatCode="General" sourceLinked="1"/>
        <c:majorTickMark val="out"/>
        <c:minorTickMark val="none"/>
        <c:tickLblPos val="nextTo"/>
        <c:crossAx val="595398128"/>
        <c:crosses val="autoZero"/>
        <c:auto val="1"/>
        <c:lblAlgn val="ctr"/>
        <c:lblOffset val="100"/>
        <c:noMultiLvlLbl val="0"/>
      </c:catAx>
      <c:valAx>
        <c:axId val="595398128"/>
        <c:scaling>
          <c:orientation val="minMax"/>
        </c:scaling>
        <c:delete val="0"/>
        <c:axPos val="l"/>
        <c:majorGridlines/>
        <c:numFmt formatCode="_-* #,##0\ [$€-C0A]_-;\-* #,##0\ [$€-C0A]_-;_-* &quot;-&quot;??\ [$€-C0A]_-;_-@_-" sourceLinked="1"/>
        <c:majorTickMark val="out"/>
        <c:minorTickMark val="none"/>
        <c:tickLblPos val="nextTo"/>
        <c:crossAx val="5953946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595396560"/>
        <c:axId val="595399304"/>
      </c:lineChart>
      <c:catAx>
        <c:axId val="595396560"/>
        <c:scaling>
          <c:orientation val="minMax"/>
        </c:scaling>
        <c:delete val="0"/>
        <c:axPos val="b"/>
        <c:numFmt formatCode="General" sourceLinked="0"/>
        <c:majorTickMark val="out"/>
        <c:minorTickMark val="none"/>
        <c:tickLblPos val="nextTo"/>
        <c:crossAx val="595399304"/>
        <c:crosses val="autoZero"/>
        <c:auto val="1"/>
        <c:lblAlgn val="ctr"/>
        <c:lblOffset val="100"/>
        <c:noMultiLvlLbl val="0"/>
      </c:catAx>
      <c:valAx>
        <c:axId val="595399304"/>
        <c:scaling>
          <c:orientation val="minMax"/>
          <c:min val="0"/>
        </c:scaling>
        <c:delete val="0"/>
        <c:axPos val="l"/>
        <c:majorGridlines/>
        <c:numFmt formatCode="General" sourceLinked="1"/>
        <c:majorTickMark val="out"/>
        <c:minorTickMark val="none"/>
        <c:tickLblPos val="nextTo"/>
        <c:crossAx val="59539656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37367264"/>
        <c:axId val="537373928"/>
      </c:barChart>
      <c:catAx>
        <c:axId val="537367264"/>
        <c:scaling>
          <c:orientation val="minMax"/>
        </c:scaling>
        <c:delete val="0"/>
        <c:axPos val="b"/>
        <c:numFmt formatCode="General" sourceLinked="1"/>
        <c:majorTickMark val="out"/>
        <c:minorTickMark val="none"/>
        <c:tickLblPos val="nextTo"/>
        <c:crossAx val="537373928"/>
        <c:crosses val="autoZero"/>
        <c:auto val="1"/>
        <c:lblAlgn val="ctr"/>
        <c:lblOffset val="100"/>
        <c:noMultiLvlLbl val="0"/>
      </c:catAx>
      <c:valAx>
        <c:axId val="537373928"/>
        <c:scaling>
          <c:orientation val="minMax"/>
        </c:scaling>
        <c:delete val="0"/>
        <c:axPos val="l"/>
        <c:majorGridlines/>
        <c:numFmt formatCode="_-* #,##0\ [$€-C0A]_-;\-* #,##0\ [$€-C0A]_-;_-* &quot;-&quot;??\ [$€-C0A]_-;_-@_-" sourceLinked="1"/>
        <c:majorTickMark val="out"/>
        <c:minorTickMark val="none"/>
        <c:tickLblPos val="nextTo"/>
        <c:crossAx val="537367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37370400"/>
        <c:axId val="537371184"/>
      </c:barChart>
      <c:catAx>
        <c:axId val="537370400"/>
        <c:scaling>
          <c:orientation val="minMax"/>
        </c:scaling>
        <c:delete val="0"/>
        <c:axPos val="b"/>
        <c:numFmt formatCode="General" sourceLinked="1"/>
        <c:majorTickMark val="out"/>
        <c:minorTickMark val="none"/>
        <c:tickLblPos val="nextTo"/>
        <c:crossAx val="537371184"/>
        <c:crosses val="autoZero"/>
        <c:auto val="1"/>
        <c:lblAlgn val="ctr"/>
        <c:lblOffset val="100"/>
        <c:noMultiLvlLbl val="0"/>
      </c:catAx>
      <c:valAx>
        <c:axId val="537371184"/>
        <c:scaling>
          <c:orientation val="minMax"/>
        </c:scaling>
        <c:delete val="0"/>
        <c:axPos val="l"/>
        <c:majorGridlines/>
        <c:numFmt formatCode="_-* #,##0\ [$€-C0A]_-;\-* #,##0\ [$€-C0A]_-;_-* &quot;-&quot;??\ [$€-C0A]_-;_-@_-" sourceLinked="1"/>
        <c:majorTickMark val="out"/>
        <c:minorTickMark val="none"/>
        <c:tickLblPos val="nextTo"/>
        <c:crossAx val="537370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537372752"/>
        <c:axId val="537373144"/>
      </c:barChart>
      <c:catAx>
        <c:axId val="537372752"/>
        <c:scaling>
          <c:orientation val="minMax"/>
        </c:scaling>
        <c:delete val="0"/>
        <c:axPos val="b"/>
        <c:numFmt formatCode="General" sourceLinked="1"/>
        <c:majorTickMark val="out"/>
        <c:minorTickMark val="none"/>
        <c:tickLblPos val="nextTo"/>
        <c:crossAx val="537373144"/>
        <c:crosses val="autoZero"/>
        <c:auto val="1"/>
        <c:lblAlgn val="ctr"/>
        <c:lblOffset val="100"/>
        <c:noMultiLvlLbl val="0"/>
      </c:catAx>
      <c:valAx>
        <c:axId val="537373144"/>
        <c:scaling>
          <c:orientation val="minMax"/>
        </c:scaling>
        <c:delete val="0"/>
        <c:axPos val="l"/>
        <c:majorGridlines/>
        <c:numFmt formatCode="_-* #,##0\ [$€-C0A]_-;\-* #,##0\ [$€-C0A]_-;_-* &quot;-&quot;??\ [$€-C0A]_-;_-@_-" sourceLinked="1"/>
        <c:majorTickMark val="out"/>
        <c:minorTickMark val="none"/>
        <c:tickLblPos val="nextTo"/>
        <c:crossAx val="537372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37368440"/>
        <c:axId val="537368832"/>
      </c:barChart>
      <c:catAx>
        <c:axId val="537368440"/>
        <c:scaling>
          <c:orientation val="minMax"/>
        </c:scaling>
        <c:delete val="0"/>
        <c:axPos val="b"/>
        <c:numFmt formatCode="General" sourceLinked="1"/>
        <c:majorTickMark val="out"/>
        <c:minorTickMark val="none"/>
        <c:tickLblPos val="nextTo"/>
        <c:crossAx val="537368832"/>
        <c:crosses val="autoZero"/>
        <c:auto val="1"/>
        <c:lblAlgn val="ctr"/>
        <c:lblOffset val="100"/>
        <c:noMultiLvlLbl val="0"/>
      </c:catAx>
      <c:valAx>
        <c:axId val="537368832"/>
        <c:scaling>
          <c:orientation val="minMax"/>
        </c:scaling>
        <c:delete val="0"/>
        <c:axPos val="l"/>
        <c:majorGridlines/>
        <c:numFmt formatCode="_-* #,##0\ [$€-C0A]_-;\-* #,##0\ [$€-C0A]_-;_-* &quot;-&quot;??\ [$€-C0A]_-;_-@_-" sourceLinked="1"/>
        <c:majorTickMark val="out"/>
        <c:minorTickMark val="none"/>
        <c:tickLblPos val="nextTo"/>
        <c:crossAx val="537368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37377064"/>
        <c:axId val="537376672"/>
      </c:barChart>
      <c:catAx>
        <c:axId val="537377064"/>
        <c:scaling>
          <c:orientation val="minMax"/>
        </c:scaling>
        <c:delete val="0"/>
        <c:axPos val="b"/>
        <c:numFmt formatCode="General" sourceLinked="1"/>
        <c:majorTickMark val="out"/>
        <c:minorTickMark val="none"/>
        <c:tickLblPos val="nextTo"/>
        <c:crossAx val="537376672"/>
        <c:crosses val="autoZero"/>
        <c:auto val="1"/>
        <c:lblAlgn val="ctr"/>
        <c:lblOffset val="100"/>
        <c:noMultiLvlLbl val="0"/>
      </c:catAx>
      <c:valAx>
        <c:axId val="537376672"/>
        <c:scaling>
          <c:orientation val="minMax"/>
        </c:scaling>
        <c:delete val="0"/>
        <c:axPos val="l"/>
        <c:majorGridlines/>
        <c:numFmt formatCode="_-* #,##0\ [$€-C0A]_-;\-* #,##0\ [$€-C0A]_-;_-* &quot;-&quot;??\ [$€-C0A]_-;_-@_-" sourceLinked="1"/>
        <c:majorTickMark val="out"/>
        <c:minorTickMark val="none"/>
        <c:tickLblPos val="nextTo"/>
        <c:crossAx val="5373770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537375104"/>
        <c:axId val="537377456"/>
      </c:barChart>
      <c:catAx>
        <c:axId val="537375104"/>
        <c:scaling>
          <c:orientation val="minMax"/>
        </c:scaling>
        <c:delete val="0"/>
        <c:axPos val="b"/>
        <c:numFmt formatCode="General" sourceLinked="1"/>
        <c:majorTickMark val="out"/>
        <c:minorTickMark val="none"/>
        <c:tickLblPos val="nextTo"/>
        <c:crossAx val="537377456"/>
        <c:crosses val="autoZero"/>
        <c:auto val="1"/>
        <c:lblAlgn val="ctr"/>
        <c:lblOffset val="100"/>
        <c:noMultiLvlLbl val="0"/>
      </c:catAx>
      <c:valAx>
        <c:axId val="537377456"/>
        <c:scaling>
          <c:orientation val="minMax"/>
        </c:scaling>
        <c:delete val="0"/>
        <c:axPos val="l"/>
        <c:majorGridlines/>
        <c:numFmt formatCode="_-* #,##0\ [$€-C0A]_-;\-* #,##0\ [$€-C0A]_-;_-* &quot;-&quot;??\ [$€-C0A]_-;_-@_-" sourceLinked="1"/>
        <c:majorTickMark val="out"/>
        <c:minorTickMark val="none"/>
        <c:tickLblPos val="nextTo"/>
        <c:crossAx val="5373751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537375888"/>
        <c:axId val="537376280"/>
      </c:barChart>
      <c:catAx>
        <c:axId val="537375888"/>
        <c:scaling>
          <c:orientation val="minMax"/>
        </c:scaling>
        <c:delete val="0"/>
        <c:axPos val="b"/>
        <c:numFmt formatCode="General" sourceLinked="1"/>
        <c:majorTickMark val="out"/>
        <c:minorTickMark val="none"/>
        <c:tickLblPos val="nextTo"/>
        <c:crossAx val="537376280"/>
        <c:crosses val="autoZero"/>
        <c:auto val="1"/>
        <c:lblAlgn val="ctr"/>
        <c:lblOffset val="100"/>
        <c:noMultiLvlLbl val="0"/>
      </c:catAx>
      <c:valAx>
        <c:axId val="537376280"/>
        <c:scaling>
          <c:orientation val="minMax"/>
        </c:scaling>
        <c:delete val="0"/>
        <c:axPos val="l"/>
        <c:majorGridlines/>
        <c:numFmt formatCode="_-* #,##0\ [$€-C0A]_-;\-* #,##0\ [$€-C0A]_-;_-* &quot;-&quot;??\ [$€-C0A]_-;_-@_-" sourceLinked="1"/>
        <c:majorTickMark val="out"/>
        <c:minorTickMark val="none"/>
        <c:tickLblPos val="nextTo"/>
        <c:crossAx val="537375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21.bin"/><Relationship Id="rId4" Type="http://schemas.openxmlformats.org/officeDocument/2006/relationships/comments" Target="../comments5.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3.bin"/><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E20" sqref="E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3" bestFit="1" customWidth="1"/>
    <col min="7" max="7" width="4.5703125" bestFit="1" customWidth="1"/>
    <col min="8" max="8" width="5.5703125" style="543" bestFit="1" customWidth="1"/>
    <col min="9" max="9" width="5" bestFit="1" customWidth="1"/>
    <col min="10" max="10" width="4.5703125" bestFit="1" customWidth="1"/>
    <col min="11" max="11" width="10.7109375" bestFit="1" customWidth="1"/>
    <col min="12" max="12" width="8.42578125" style="543"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2">
        <f ca="1">TODAY()</f>
        <v>43055</v>
      </c>
      <c r="D1" s="725">
        <v>41471</v>
      </c>
      <c r="E1" s="725"/>
      <c r="F1" s="725"/>
      <c r="H1" s="310"/>
    </row>
    <row r="2" spans="1:17" s="3" customFormat="1" x14ac:dyDescent="0.25">
      <c r="A2" s="3">
        <v>16</v>
      </c>
      <c r="B2" s="310"/>
      <c r="C2" s="341"/>
      <c r="D2" s="324"/>
      <c r="E2" s="324"/>
    </row>
    <row r="3" spans="1:17" s="271" customFormat="1" x14ac:dyDescent="0.25">
      <c r="A3" s="325"/>
      <c r="B3" s="325" t="s">
        <v>502</v>
      </c>
      <c r="C3" s="321" t="s">
        <v>635</v>
      </c>
      <c r="D3" s="287" t="s">
        <v>595</v>
      </c>
      <c r="F3" s="544"/>
      <c r="J3" s="556" t="s">
        <v>595</v>
      </c>
    </row>
    <row r="4" spans="1:17" x14ac:dyDescent="0.25">
      <c r="A4" s="326" t="s">
        <v>453</v>
      </c>
      <c r="B4" s="326" t="s">
        <v>316</v>
      </c>
      <c r="C4" s="328" t="s">
        <v>182</v>
      </c>
      <c r="D4" s="326" t="s">
        <v>185</v>
      </c>
      <c r="E4" s="453" t="s">
        <v>859</v>
      </c>
      <c r="F4" s="453" t="s">
        <v>858</v>
      </c>
      <c r="G4" s="453" t="s">
        <v>860</v>
      </c>
      <c r="H4" s="453" t="s">
        <v>831</v>
      </c>
      <c r="I4" s="453" t="s">
        <v>63</v>
      </c>
      <c r="J4" s="326" t="s">
        <v>185</v>
      </c>
      <c r="K4" s="557" t="s">
        <v>1</v>
      </c>
      <c r="L4" s="557" t="s">
        <v>2</v>
      </c>
      <c r="M4" s="557" t="s">
        <v>839</v>
      </c>
      <c r="N4" s="557" t="s">
        <v>704</v>
      </c>
      <c r="O4" s="557" t="s">
        <v>840</v>
      </c>
      <c r="P4" s="557" t="s">
        <v>713</v>
      </c>
      <c r="Q4" s="557" t="s">
        <v>0</v>
      </c>
    </row>
    <row r="5" spans="1:17" s="266" customFormat="1" x14ac:dyDescent="0.25">
      <c r="A5" s="416" t="s">
        <v>577</v>
      </c>
      <c r="B5" s="416" t="s">
        <v>1</v>
      </c>
      <c r="C5" s="482" t="s">
        <v>306</v>
      </c>
      <c r="D5" s="420" t="s">
        <v>175</v>
      </c>
      <c r="E5" s="548">
        <v>41400</v>
      </c>
      <c r="F5" s="631">
        <f ca="1">TODAY()-E5</f>
        <v>1655</v>
      </c>
      <c r="G5" s="632">
        <f ca="1">F5/112</f>
        <v>14.776785714285714</v>
      </c>
      <c r="H5" s="545">
        <v>19</v>
      </c>
      <c r="I5" s="545">
        <v>11</v>
      </c>
      <c r="J5" s="420" t="s">
        <v>175</v>
      </c>
      <c r="K5" s="558" t="s">
        <v>861</v>
      </c>
      <c r="L5" s="600" t="s">
        <v>471</v>
      </c>
      <c r="M5" s="558"/>
      <c r="N5" s="558"/>
      <c r="O5" s="558"/>
      <c r="P5" s="558"/>
      <c r="Q5" s="558"/>
    </row>
    <row r="6" spans="1:17" s="288" customFormat="1" x14ac:dyDescent="0.25">
      <c r="A6" s="416" t="s">
        <v>443</v>
      </c>
      <c r="B6" s="416" t="s">
        <v>1</v>
      </c>
      <c r="C6" s="482" t="s">
        <v>307</v>
      </c>
      <c r="D6" s="420" t="s">
        <v>595</v>
      </c>
      <c r="E6" s="548">
        <v>41400</v>
      </c>
      <c r="F6" s="631">
        <f t="shared" ref="F6:F20" ca="1" si="0">TODAY()-E6</f>
        <v>1655</v>
      </c>
      <c r="G6" s="632">
        <f t="shared" ref="G6:G20" ca="1" si="1">F6/112</f>
        <v>14.776785714285714</v>
      </c>
      <c r="H6" s="348">
        <v>20</v>
      </c>
      <c r="I6" s="348">
        <v>2</v>
      </c>
      <c r="J6" s="420" t="s">
        <v>595</v>
      </c>
      <c r="K6" s="558" t="s">
        <v>861</v>
      </c>
      <c r="L6" s="388" t="s">
        <v>471</v>
      </c>
      <c r="M6" s="559"/>
      <c r="N6" s="559"/>
      <c r="O6" s="559"/>
      <c r="P6" s="559"/>
      <c r="Q6" s="559"/>
    </row>
    <row r="7" spans="1:17" s="272" customFormat="1" x14ac:dyDescent="0.25">
      <c r="A7" s="332" t="s">
        <v>452</v>
      </c>
      <c r="B7" s="285" t="s">
        <v>2</v>
      </c>
      <c r="C7" s="483" t="s">
        <v>315</v>
      </c>
      <c r="D7" s="287" t="s">
        <v>595</v>
      </c>
      <c r="E7" s="549">
        <v>41519</v>
      </c>
      <c r="F7" s="631">
        <f t="shared" ca="1" si="0"/>
        <v>1536</v>
      </c>
      <c r="G7" s="632">
        <f t="shared" ca="1" si="1"/>
        <v>13.714285714285714</v>
      </c>
      <c r="H7" s="546">
        <f>24-7</f>
        <v>17</v>
      </c>
      <c r="I7" s="546">
        <f>102-(5*7+1)</f>
        <v>66</v>
      </c>
      <c r="J7" s="287" t="s">
        <v>595</v>
      </c>
      <c r="K7" s="558"/>
      <c r="L7" s="558" t="s">
        <v>470</v>
      </c>
      <c r="M7" s="558" t="s">
        <v>465</v>
      </c>
      <c r="N7" s="558"/>
      <c r="O7" s="558" t="s">
        <v>470</v>
      </c>
      <c r="P7" s="558" t="s">
        <v>465</v>
      </c>
      <c r="Q7" s="558"/>
    </row>
    <row r="8" spans="1:17" s="264" customFormat="1" x14ac:dyDescent="0.25">
      <c r="A8" s="416" t="s">
        <v>445</v>
      </c>
      <c r="B8" s="285" t="s">
        <v>2</v>
      </c>
      <c r="C8" s="483" t="s">
        <v>313</v>
      </c>
      <c r="D8" s="287"/>
      <c r="E8" s="549">
        <v>41527</v>
      </c>
      <c r="F8" s="631">
        <f t="shared" ca="1" si="0"/>
        <v>1528</v>
      </c>
      <c r="G8" s="632">
        <f t="shared" ca="1" si="1"/>
        <v>13.642857142857142</v>
      </c>
      <c r="H8" s="546">
        <f>24-7</f>
        <v>17</v>
      </c>
      <c r="I8" s="546">
        <f>41-(4*7)</f>
        <v>13</v>
      </c>
      <c r="J8" s="287"/>
      <c r="K8" s="558"/>
      <c r="L8" s="558" t="s">
        <v>464</v>
      </c>
      <c r="M8" s="558"/>
      <c r="N8" s="558" t="s">
        <v>861</v>
      </c>
      <c r="O8" s="558" t="s">
        <v>464</v>
      </c>
      <c r="P8" s="558" t="s">
        <v>573</v>
      </c>
      <c r="Q8" s="558"/>
    </row>
    <row r="9" spans="1:17" s="265" customFormat="1" x14ac:dyDescent="0.25">
      <c r="A9" s="416" t="s">
        <v>597</v>
      </c>
      <c r="B9" s="416" t="s">
        <v>2</v>
      </c>
      <c r="C9" s="482" t="s">
        <v>309</v>
      </c>
      <c r="D9" s="420"/>
      <c r="E9" s="550">
        <v>41539</v>
      </c>
      <c r="F9" s="631">
        <f t="shared" ca="1" si="0"/>
        <v>1516</v>
      </c>
      <c r="G9" s="632">
        <f t="shared" ca="1" si="1"/>
        <v>13.535714285714286</v>
      </c>
      <c r="H9" s="478">
        <f>24-7</f>
        <v>17</v>
      </c>
      <c r="I9" s="478">
        <v>40</v>
      </c>
      <c r="J9" s="420"/>
      <c r="K9" s="558"/>
      <c r="L9" s="603" t="s">
        <v>271</v>
      </c>
      <c r="M9" s="558" t="s">
        <v>464</v>
      </c>
      <c r="N9" s="558" t="s">
        <v>470</v>
      </c>
      <c r="O9" s="558" t="s">
        <v>470</v>
      </c>
      <c r="P9" s="558" t="s">
        <v>465</v>
      </c>
      <c r="Q9" s="558"/>
    </row>
    <row r="10" spans="1:17" s="289" customFormat="1" x14ac:dyDescent="0.25">
      <c r="A10" s="416" t="s">
        <v>444</v>
      </c>
      <c r="B10" s="416" t="s">
        <v>65</v>
      </c>
      <c r="C10" s="482" t="s">
        <v>312</v>
      </c>
      <c r="D10" s="420"/>
      <c r="E10" s="552">
        <v>41552</v>
      </c>
      <c r="F10" s="631">
        <f t="shared" ca="1" si="0"/>
        <v>1503</v>
      </c>
      <c r="G10" s="632">
        <f t="shared" ca="1" si="1"/>
        <v>13.419642857142858</v>
      </c>
      <c r="H10" s="348">
        <f>24-7</f>
        <v>17</v>
      </c>
      <c r="I10" s="348">
        <v>2</v>
      </c>
      <c r="J10" s="420"/>
      <c r="K10" s="558"/>
      <c r="L10" s="558" t="s">
        <v>573</v>
      </c>
      <c r="M10" s="601" t="s">
        <v>471</v>
      </c>
      <c r="N10" s="558" t="s">
        <v>465</v>
      </c>
      <c r="O10" s="558" t="s">
        <v>465</v>
      </c>
      <c r="P10" s="558" t="s">
        <v>465</v>
      </c>
      <c r="Q10" s="558"/>
    </row>
    <row r="11" spans="1:17" s="289" customFormat="1" ht="15.75" x14ac:dyDescent="0.25">
      <c r="A11" s="416" t="s">
        <v>448</v>
      </c>
      <c r="B11" s="416" t="s">
        <v>66</v>
      </c>
      <c r="C11" s="482" t="s">
        <v>310</v>
      </c>
      <c r="D11" s="420" t="s">
        <v>311</v>
      </c>
      <c r="E11" s="551">
        <v>41583</v>
      </c>
      <c r="F11" s="631">
        <f t="shared" ca="1" si="0"/>
        <v>1472</v>
      </c>
      <c r="G11" s="632">
        <f t="shared" ca="1" si="1"/>
        <v>13.142857142857142</v>
      </c>
      <c r="H11" s="547">
        <f>23-6</f>
        <v>17</v>
      </c>
      <c r="I11" s="547">
        <v>46</v>
      </c>
      <c r="J11" s="420" t="s">
        <v>311</v>
      </c>
      <c r="K11" s="561"/>
      <c r="L11" s="602" t="s">
        <v>471</v>
      </c>
      <c r="M11" s="561" t="s">
        <v>465</v>
      </c>
      <c r="N11" s="561" t="s">
        <v>464</v>
      </c>
      <c r="O11" s="602" t="s">
        <v>471</v>
      </c>
      <c r="P11" s="602" t="s">
        <v>471</v>
      </c>
      <c r="Q11" s="561" t="s">
        <v>465</v>
      </c>
    </row>
    <row r="12" spans="1:17" s="272" customFormat="1" ht="15.75" x14ac:dyDescent="0.25">
      <c r="A12" s="332" t="s">
        <v>447</v>
      </c>
      <c r="B12" s="416" t="s">
        <v>65</v>
      </c>
      <c r="C12" s="482" t="s">
        <v>325</v>
      </c>
      <c r="D12" s="420" t="s">
        <v>308</v>
      </c>
      <c r="E12" s="552">
        <v>41653</v>
      </c>
      <c r="F12" s="631">
        <f t="shared" ca="1" si="0"/>
        <v>1402</v>
      </c>
      <c r="G12" s="632">
        <f t="shared" ca="1" si="1"/>
        <v>12.517857142857142</v>
      </c>
      <c r="H12" s="348">
        <v>18</v>
      </c>
      <c r="I12" s="348">
        <v>109</v>
      </c>
      <c r="J12" s="420" t="s">
        <v>308</v>
      </c>
      <c r="K12" s="561"/>
      <c r="L12" s="561" t="s">
        <v>465</v>
      </c>
      <c r="M12" s="605" t="s">
        <v>272</v>
      </c>
      <c r="N12" s="561" t="s">
        <v>464</v>
      </c>
      <c r="O12" s="561"/>
      <c r="P12" s="561" t="s">
        <v>470</v>
      </c>
      <c r="Q12" s="561" t="s">
        <v>464</v>
      </c>
    </row>
    <row r="13" spans="1:17" s="288" customFormat="1" ht="15.75" x14ac:dyDescent="0.25">
      <c r="A13" s="416" t="s">
        <v>599</v>
      </c>
      <c r="B13" s="416" t="s">
        <v>67</v>
      </c>
      <c r="C13" s="482" t="s">
        <v>327</v>
      </c>
      <c r="D13" s="420" t="s">
        <v>336</v>
      </c>
      <c r="E13" s="549">
        <v>41664</v>
      </c>
      <c r="F13" s="631">
        <f t="shared" ca="1" si="0"/>
        <v>1391</v>
      </c>
      <c r="G13" s="632">
        <f t="shared" ca="1" si="1"/>
        <v>12.419642857142858</v>
      </c>
      <c r="H13" s="546">
        <f>23-6</f>
        <v>17</v>
      </c>
      <c r="I13" s="546">
        <v>14</v>
      </c>
      <c r="J13" s="420" t="s">
        <v>336</v>
      </c>
      <c r="K13" s="561"/>
      <c r="L13" s="602" t="s">
        <v>471</v>
      </c>
      <c r="M13" s="561" t="s">
        <v>465</v>
      </c>
      <c r="N13" s="561" t="s">
        <v>465</v>
      </c>
      <c r="O13" s="604" t="s">
        <v>271</v>
      </c>
      <c r="P13" s="561" t="s">
        <v>465</v>
      </c>
      <c r="Q13" s="561" t="s">
        <v>272</v>
      </c>
    </row>
    <row r="14" spans="1:17" s="289" customFormat="1" ht="15.75" x14ac:dyDescent="0.25">
      <c r="A14" s="332" t="s">
        <v>451</v>
      </c>
      <c r="B14" s="285" t="s">
        <v>65</v>
      </c>
      <c r="C14" s="483" t="s">
        <v>440</v>
      </c>
      <c r="D14" s="287"/>
      <c r="E14" s="552">
        <v>41686</v>
      </c>
      <c r="F14" s="631">
        <f t="shared" ca="1" si="0"/>
        <v>1369</v>
      </c>
      <c r="G14" s="632">
        <f t="shared" ca="1" si="1"/>
        <v>12.223214285714286</v>
      </c>
      <c r="H14" s="348">
        <v>17</v>
      </c>
      <c r="I14" s="348">
        <v>111</v>
      </c>
      <c r="J14" s="287"/>
      <c r="K14" s="561"/>
      <c r="L14" s="561" t="s">
        <v>573</v>
      </c>
      <c r="M14" s="604" t="s">
        <v>271</v>
      </c>
      <c r="N14" s="562" t="s">
        <v>465</v>
      </c>
      <c r="O14" s="604" t="s">
        <v>271</v>
      </c>
      <c r="P14" s="561" t="s">
        <v>573</v>
      </c>
      <c r="Q14" s="562" t="s">
        <v>465</v>
      </c>
    </row>
    <row r="15" spans="1:17" ht="15.75" x14ac:dyDescent="0.25">
      <c r="A15" s="416" t="s">
        <v>450</v>
      </c>
      <c r="B15" s="416" t="s">
        <v>66</v>
      </c>
      <c r="C15" s="482" t="s">
        <v>338</v>
      </c>
      <c r="D15" s="420" t="s">
        <v>308</v>
      </c>
      <c r="E15" s="549">
        <v>41722</v>
      </c>
      <c r="F15" s="631">
        <f t="shared" ca="1" si="0"/>
        <v>1333</v>
      </c>
      <c r="G15" s="632">
        <f t="shared" ca="1" si="1"/>
        <v>11.901785714285714</v>
      </c>
      <c r="H15" s="546">
        <f>23-5</f>
        <v>18</v>
      </c>
      <c r="I15" s="546">
        <v>20</v>
      </c>
      <c r="J15" s="420" t="s">
        <v>308</v>
      </c>
      <c r="K15" s="561"/>
      <c r="L15" s="561" t="s">
        <v>470</v>
      </c>
      <c r="M15" s="561" t="s">
        <v>470</v>
      </c>
      <c r="N15" s="602" t="s">
        <v>471</v>
      </c>
      <c r="O15" s="561" t="s">
        <v>465</v>
      </c>
      <c r="P15" s="561" t="s">
        <v>464</v>
      </c>
      <c r="Q15" s="561" t="s">
        <v>464</v>
      </c>
    </row>
    <row r="16" spans="1:17" s="4" customFormat="1" ht="15.75" x14ac:dyDescent="0.25">
      <c r="A16" s="332" t="s">
        <v>598</v>
      </c>
      <c r="B16" s="285" t="s">
        <v>65</v>
      </c>
      <c r="C16" s="483" t="s">
        <v>454</v>
      </c>
      <c r="D16" s="287"/>
      <c r="E16" s="551">
        <v>41737</v>
      </c>
      <c r="F16" s="631">
        <f t="shared" ca="1" si="0"/>
        <v>1318</v>
      </c>
      <c r="G16" s="632">
        <f t="shared" ca="1" si="1"/>
        <v>11.767857142857142</v>
      </c>
      <c r="H16" s="547">
        <f>22-5</f>
        <v>17</v>
      </c>
      <c r="I16" s="547">
        <f>42-(7*6)</f>
        <v>0</v>
      </c>
      <c r="J16" s="287"/>
      <c r="K16" s="562"/>
      <c r="L16" s="561" t="s">
        <v>464</v>
      </c>
      <c r="M16" s="602" t="s">
        <v>471</v>
      </c>
      <c r="N16" s="561" t="s">
        <v>464</v>
      </c>
      <c r="O16" s="562"/>
      <c r="P16" s="561" t="s">
        <v>465</v>
      </c>
      <c r="Q16" s="561" t="s">
        <v>573</v>
      </c>
    </row>
    <row r="17" spans="1:17" s="288" customFormat="1" ht="15.75" x14ac:dyDescent="0.25">
      <c r="A17" s="416" t="s">
        <v>446</v>
      </c>
      <c r="B17" s="285" t="s">
        <v>65</v>
      </c>
      <c r="C17" s="483" t="s">
        <v>754</v>
      </c>
      <c r="D17" s="420" t="s">
        <v>308</v>
      </c>
      <c r="E17" s="551">
        <v>41747</v>
      </c>
      <c r="F17" s="631">
        <f t="shared" ca="1" si="0"/>
        <v>1308</v>
      </c>
      <c r="G17" s="632">
        <f t="shared" ca="1" si="1"/>
        <v>11.678571428571429</v>
      </c>
      <c r="H17" s="547">
        <f>22-5</f>
        <v>17</v>
      </c>
      <c r="I17" s="547">
        <v>57</v>
      </c>
      <c r="J17" s="420" t="s">
        <v>308</v>
      </c>
      <c r="K17" s="561"/>
      <c r="L17" s="561" t="s">
        <v>464</v>
      </c>
      <c r="M17" s="602" t="s">
        <v>471</v>
      </c>
      <c r="N17" s="561" t="s">
        <v>464</v>
      </c>
      <c r="O17" s="561"/>
      <c r="P17" s="561" t="s">
        <v>465</v>
      </c>
      <c r="Q17" s="561" t="s">
        <v>470</v>
      </c>
    </row>
    <row r="18" spans="1:17" s="289" customFormat="1" ht="14.25" customHeight="1" x14ac:dyDescent="0.25">
      <c r="A18" s="416" t="s">
        <v>449</v>
      </c>
      <c r="B18" s="416" t="s">
        <v>66</v>
      </c>
      <c r="C18" s="482" t="s">
        <v>600</v>
      </c>
      <c r="D18" s="420" t="s">
        <v>595</v>
      </c>
      <c r="E18" s="552">
        <v>41911</v>
      </c>
      <c r="F18" s="631">
        <f t="shared" ca="1" si="0"/>
        <v>1144</v>
      </c>
      <c r="G18" s="632">
        <f t="shared" ca="1" si="1"/>
        <v>10.214285714285714</v>
      </c>
      <c r="H18" s="348">
        <f>20-3</f>
        <v>17</v>
      </c>
      <c r="I18" s="348">
        <v>0</v>
      </c>
      <c r="J18" s="420" t="s">
        <v>595</v>
      </c>
      <c r="K18" s="562"/>
      <c r="L18" s="561" t="s">
        <v>465</v>
      </c>
      <c r="M18" s="604" t="s">
        <v>271</v>
      </c>
      <c r="N18" s="561" t="s">
        <v>464</v>
      </c>
      <c r="O18" s="561" t="s">
        <v>464</v>
      </c>
      <c r="P18" s="602" t="s">
        <v>471</v>
      </c>
      <c r="Q18" s="562"/>
    </row>
    <row r="19" spans="1:17" s="272" customFormat="1" ht="15.75" x14ac:dyDescent="0.25">
      <c r="A19" s="416" t="s">
        <v>633</v>
      </c>
      <c r="B19" s="416" t="s">
        <v>67</v>
      </c>
      <c r="C19" s="483" t="s">
        <v>634</v>
      </c>
      <c r="D19" s="287"/>
      <c r="E19" s="551">
        <v>41973</v>
      </c>
      <c r="F19" s="631">
        <f t="shared" ca="1" si="0"/>
        <v>1082</v>
      </c>
      <c r="G19" s="632">
        <f t="shared" ca="1" si="1"/>
        <v>9.6607142857142865</v>
      </c>
      <c r="H19" s="547">
        <f>20-3</f>
        <v>17</v>
      </c>
      <c r="I19" s="547">
        <v>0</v>
      </c>
      <c r="J19" s="287"/>
      <c r="K19" s="561"/>
      <c r="L19" s="561" t="s">
        <v>465</v>
      </c>
      <c r="M19" s="561" t="s">
        <v>470</v>
      </c>
      <c r="N19" s="561" t="s">
        <v>470</v>
      </c>
      <c r="O19" s="604" t="s">
        <v>271</v>
      </c>
      <c r="P19" s="561" t="s">
        <v>271</v>
      </c>
      <c r="Q19" s="560"/>
    </row>
    <row r="20" spans="1:17" s="289" customFormat="1" ht="15.75" x14ac:dyDescent="0.25">
      <c r="A20" s="331" t="s">
        <v>588</v>
      </c>
      <c r="B20" s="285" t="s">
        <v>2</v>
      </c>
      <c r="C20" s="483" t="s">
        <v>702</v>
      </c>
      <c r="D20" s="287"/>
      <c r="E20" s="551">
        <v>42106</v>
      </c>
      <c r="F20" s="631">
        <f t="shared" ca="1" si="0"/>
        <v>949</v>
      </c>
      <c r="G20" s="632">
        <f t="shared" ca="1" si="1"/>
        <v>8.4732142857142865</v>
      </c>
      <c r="H20" s="547">
        <v>18</v>
      </c>
      <c r="I20" s="547">
        <v>55</v>
      </c>
      <c r="J20" s="287"/>
      <c r="K20" s="560"/>
      <c r="L20" s="604" t="s">
        <v>271</v>
      </c>
      <c r="M20" s="605" t="s">
        <v>272</v>
      </c>
      <c r="N20" s="602" t="s">
        <v>471</v>
      </c>
      <c r="O20" s="561" t="s">
        <v>465</v>
      </c>
      <c r="P20" s="561" t="s">
        <v>470</v>
      </c>
      <c r="Q20" s="560" t="s">
        <v>465</v>
      </c>
    </row>
    <row r="21" spans="1:17" x14ac:dyDescent="0.25">
      <c r="D21" s="4"/>
      <c r="H21"/>
      <c r="J21" s="4"/>
      <c r="L21"/>
    </row>
    <row r="22" spans="1:17" x14ac:dyDescent="0.25">
      <c r="D22" s="543"/>
      <c r="H22"/>
      <c r="J22" s="543"/>
      <c r="L22"/>
    </row>
    <row r="23" spans="1:17" x14ac:dyDescent="0.25">
      <c r="D23" s="543"/>
      <c r="H23"/>
      <c r="J23" s="543"/>
      <c r="L23"/>
    </row>
    <row r="24" spans="1:17" s="284" customFormat="1" ht="15.75" x14ac:dyDescent="0.25">
      <c r="A24" s="416" t="s">
        <v>929</v>
      </c>
      <c r="B24" s="416" t="s">
        <v>67</v>
      </c>
      <c r="C24" s="418" t="s">
        <v>930</v>
      </c>
      <c r="D24" s="420" t="s">
        <v>595</v>
      </c>
      <c r="H24" s="547">
        <v>19</v>
      </c>
      <c r="I24" s="547">
        <v>0</v>
      </c>
      <c r="J24" s="420" t="s">
        <v>595</v>
      </c>
      <c r="K24" s="560"/>
      <c r="L24" s="561" t="s">
        <v>464</v>
      </c>
      <c r="M24" s="561" t="s">
        <v>470</v>
      </c>
      <c r="N24" s="604" t="s">
        <v>271</v>
      </c>
      <c r="O24" s="561" t="s">
        <v>464</v>
      </c>
      <c r="P24" s="604" t="s">
        <v>932</v>
      </c>
      <c r="Q24" s="560" t="s">
        <v>573</v>
      </c>
    </row>
    <row r="25" spans="1:17" s="272" customFormat="1" x14ac:dyDescent="0.25">
      <c r="A25" s="416" t="s">
        <v>774</v>
      </c>
      <c r="B25" s="285" t="s">
        <v>2</v>
      </c>
      <c r="C25" s="321" t="s">
        <v>314</v>
      </c>
      <c r="D25" s="287"/>
      <c r="E25" s="549"/>
      <c r="F25" s="546"/>
      <c r="G25" s="545"/>
      <c r="H25" s="546"/>
      <c r="I25" s="546"/>
      <c r="J25" s="287"/>
      <c r="K25" s="554"/>
      <c r="L25" s="554"/>
      <c r="M25" s="554"/>
      <c r="N25" s="554"/>
      <c r="O25" s="554"/>
      <c r="P25" s="554"/>
      <c r="Q25" s="554"/>
    </row>
    <row r="26" spans="1:17" s="265" customFormat="1" x14ac:dyDescent="0.25">
      <c r="A26" s="416" t="s">
        <v>718</v>
      </c>
      <c r="B26" s="416" t="s">
        <v>2</v>
      </c>
      <c r="C26" s="321" t="s">
        <v>711</v>
      </c>
      <c r="D26" s="287"/>
      <c r="E26" s="546"/>
      <c r="F26" s="546"/>
      <c r="G26" s="546"/>
      <c r="H26" s="546"/>
      <c r="I26" s="546"/>
      <c r="J26" s="287"/>
      <c r="K26" s="555"/>
      <c r="L26" s="555"/>
      <c r="M26" s="555"/>
      <c r="N26" s="555"/>
      <c r="O26" s="555"/>
      <c r="P26" s="555"/>
      <c r="Q26" s="555"/>
    </row>
    <row r="27" spans="1:17" s="284" customFormat="1" x14ac:dyDescent="0.25">
      <c r="A27" s="332" t="s">
        <v>773</v>
      </c>
      <c r="B27" s="285" t="s">
        <v>65</v>
      </c>
      <c r="C27" s="321" t="s">
        <v>765</v>
      </c>
      <c r="D27" s="420" t="s">
        <v>595</v>
      </c>
      <c r="E27" s="547"/>
      <c r="F27" s="547"/>
      <c r="G27" s="547"/>
      <c r="H27" s="547"/>
      <c r="I27" s="547"/>
      <c r="J27" s="420" t="s">
        <v>595</v>
      </c>
      <c r="K27" s="554"/>
      <c r="L27" s="554"/>
      <c r="M27" s="554"/>
      <c r="N27" s="554"/>
      <c r="O27" s="554"/>
      <c r="P27" s="554"/>
      <c r="Q27" s="554"/>
    </row>
    <row r="28" spans="1:17" s="288" customFormat="1" x14ac:dyDescent="0.25">
      <c r="A28" s="331" t="s">
        <v>719</v>
      </c>
      <c r="B28" s="285" t="s">
        <v>65</v>
      </c>
      <c r="C28" s="321" t="s">
        <v>441</v>
      </c>
      <c r="D28" s="287" t="s">
        <v>311</v>
      </c>
      <c r="E28" s="348"/>
      <c r="F28" s="348"/>
      <c r="G28" s="348"/>
      <c r="H28" s="348"/>
      <c r="I28" s="348"/>
      <c r="J28" s="287" t="s">
        <v>311</v>
      </c>
      <c r="K28" s="553"/>
      <c r="L28" s="553"/>
      <c r="M28" s="553"/>
      <c r="N28" s="553"/>
      <c r="O28" s="553"/>
      <c r="P28" s="553"/>
      <c r="Q28" s="553"/>
    </row>
    <row r="29" spans="1:17" s="284" customFormat="1" x14ac:dyDescent="0.25">
      <c r="A29" s="416" t="s">
        <v>853</v>
      </c>
      <c r="B29" s="416" t="s">
        <v>67</v>
      </c>
      <c r="C29" s="418" t="s">
        <v>852</v>
      </c>
      <c r="D29" s="420" t="s">
        <v>336</v>
      </c>
      <c r="E29" s="547"/>
      <c r="F29" s="547"/>
      <c r="G29" s="547"/>
      <c r="H29" s="547"/>
      <c r="I29" s="547"/>
      <c r="J29" s="420" t="s">
        <v>336</v>
      </c>
      <c r="K29" s="554"/>
      <c r="L29" s="554"/>
      <c r="M29" s="554"/>
      <c r="N29" s="554"/>
      <c r="O29" s="554"/>
      <c r="P29" s="554"/>
      <c r="Q29" s="554"/>
    </row>
    <row r="30" spans="1:17" x14ac:dyDescent="0.25">
      <c r="D30" s="543"/>
      <c r="H30"/>
      <c r="J30" s="543"/>
      <c r="L30"/>
    </row>
    <row r="31" spans="1:17" x14ac:dyDescent="0.25">
      <c r="C31" s="178"/>
      <c r="D31" s="543"/>
      <c r="H31"/>
      <c r="J31" s="543"/>
      <c r="L31"/>
    </row>
    <row r="32" spans="1:17" x14ac:dyDescent="0.25">
      <c r="C32" s="178"/>
      <c r="D32" s="543"/>
      <c r="H32"/>
      <c r="J32" s="543"/>
      <c r="L32"/>
    </row>
    <row r="33" spans="3:17" x14ac:dyDescent="0.25">
      <c r="C33" s="539"/>
      <c r="D33" s="543"/>
      <c r="H33"/>
      <c r="J33" s="543"/>
      <c r="K33" s="521">
        <v>0</v>
      </c>
      <c r="L33" s="522">
        <v>4</v>
      </c>
      <c r="M33" s="521">
        <v>3</v>
      </c>
      <c r="N33" s="522">
        <v>6</v>
      </c>
      <c r="O33" s="521">
        <v>4</v>
      </c>
      <c r="P33" s="522">
        <v>6.8</v>
      </c>
      <c r="Q33" s="521">
        <v>1</v>
      </c>
    </row>
    <row r="34" spans="3:17" x14ac:dyDescent="0.25">
      <c r="C34" s="540"/>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406"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Z36"/>
  <sheetViews>
    <sheetView zoomScaleNormal="100" workbookViewId="0">
      <pane xSplit="16" ySplit="1" topLeftCell="Q2" activePane="bottomRight" state="frozen"/>
      <selection pane="topRight" activeCell="T1" sqref="T1"/>
      <selection pane="bottomLeft" activeCell="A4" sqref="A4"/>
      <selection pane="bottomRight" activeCell="C19" sqref="C19"/>
    </sheetView>
  </sheetViews>
  <sheetFormatPr baseColWidth="10" defaultColWidth="11.42578125" defaultRowHeight="15" x14ac:dyDescent="0.25"/>
  <cols>
    <col min="1" max="1" width="4.7109375" bestFit="1" customWidth="1"/>
    <col min="2" max="2" width="5.42578125" bestFit="1" customWidth="1"/>
    <col min="3" max="3" width="13.7109375" style="180" bestFit="1" customWidth="1"/>
    <col min="4" max="4" width="5.5703125" bestFit="1" customWidth="1"/>
    <col min="5" max="5" width="5" bestFit="1" customWidth="1"/>
    <col min="6" max="6" width="4.5703125" style="681" bestFit="1" customWidth="1"/>
    <col min="7" max="7" width="3.7109375" style="4" bestFit="1" customWidth="1"/>
    <col min="8" max="8" width="4.5703125" bestFit="1" customWidth="1"/>
    <col min="9" max="9" width="5" style="681" bestFit="1" customWidth="1"/>
    <col min="10" max="10" width="6.140625" style="156" bestFit="1" customWidth="1"/>
    <col min="11" max="14" width="6.140625" bestFit="1" customWidth="1"/>
    <col min="15" max="15" width="5" bestFit="1" customWidth="1"/>
    <col min="16" max="16" width="6.140625" bestFit="1" customWidth="1"/>
    <col min="17" max="17" width="7.42578125" style="681" bestFit="1" customWidth="1"/>
    <col min="18" max="18" width="5.5703125" style="681" bestFit="1" customWidth="1"/>
    <col min="19" max="19" width="5" style="681" bestFit="1" customWidth="1"/>
    <col min="20" max="26" width="6.85546875" customWidth="1"/>
  </cols>
  <sheetData>
    <row r="1" spans="1:26" x14ac:dyDescent="0.25">
      <c r="A1" s="326" t="s">
        <v>453</v>
      </c>
      <c r="B1" s="326" t="s">
        <v>316</v>
      </c>
      <c r="C1" s="328" t="s">
        <v>182</v>
      </c>
      <c r="D1" s="326" t="s">
        <v>183</v>
      </c>
      <c r="E1" s="326" t="s">
        <v>63</v>
      </c>
      <c r="F1" s="326" t="s">
        <v>185</v>
      </c>
      <c r="G1" s="326" t="s">
        <v>186</v>
      </c>
      <c r="H1" s="326" t="s">
        <v>176</v>
      </c>
      <c r="I1" s="326" t="s">
        <v>751</v>
      </c>
      <c r="J1" s="326" t="s">
        <v>337</v>
      </c>
      <c r="K1" s="326" t="s">
        <v>188</v>
      </c>
      <c r="L1" s="326" t="s">
        <v>189</v>
      </c>
      <c r="M1" s="326" t="s">
        <v>190</v>
      </c>
      <c r="N1" s="326" t="s">
        <v>191</v>
      </c>
      <c r="O1" s="326" t="s">
        <v>192</v>
      </c>
      <c r="P1" s="326" t="s">
        <v>185</v>
      </c>
      <c r="Q1" s="326" t="s">
        <v>502</v>
      </c>
      <c r="R1" s="653" t="s">
        <v>183</v>
      </c>
      <c r="S1" s="653" t="s">
        <v>63</v>
      </c>
      <c r="T1" s="653" t="s">
        <v>337</v>
      </c>
      <c r="U1" s="653" t="s">
        <v>188</v>
      </c>
      <c r="V1" s="653" t="s">
        <v>189</v>
      </c>
      <c r="W1" s="653" t="s">
        <v>190</v>
      </c>
      <c r="X1" s="653" t="s">
        <v>191</v>
      </c>
      <c r="Y1" s="653" t="s">
        <v>192</v>
      </c>
      <c r="Z1" s="653" t="s">
        <v>185</v>
      </c>
    </row>
    <row r="2" spans="1:26" x14ac:dyDescent="0.25">
      <c r="A2" s="416" t="s">
        <v>443</v>
      </c>
      <c r="B2" s="416" t="s">
        <v>1</v>
      </c>
      <c r="C2" s="676" t="s">
        <v>934</v>
      </c>
      <c r="D2" s="419">
        <f>PLANTILLA!E5</f>
        <v>29</v>
      </c>
      <c r="E2" s="419">
        <f ca="1">PLANTILLA!F5</f>
        <v>89</v>
      </c>
      <c r="F2" s="420"/>
      <c r="G2" s="435">
        <v>6</v>
      </c>
      <c r="H2" s="335">
        <v>14.9</v>
      </c>
      <c r="I2" s="480">
        <f>PLANTILLA!N5</f>
        <v>96</v>
      </c>
      <c r="J2" s="521">
        <f>PLANTILLA!V5</f>
        <v>16.666666666666668</v>
      </c>
      <c r="K2" s="521">
        <f>PLANTILLA!W5</f>
        <v>11.650909090909092</v>
      </c>
      <c r="L2" s="521">
        <f>PLANTILLA!X5</f>
        <v>2.0199999999999996</v>
      </c>
      <c r="M2" s="521">
        <f>PLANTILLA!Y5</f>
        <v>2.1199999999999992</v>
      </c>
      <c r="N2" s="521">
        <f>PLANTILLA!Z5</f>
        <v>1.0300000000000002</v>
      </c>
      <c r="O2" s="521">
        <f>PLANTILLA!AA5</f>
        <v>0.14055555555555557</v>
      </c>
      <c r="P2" s="521">
        <f>PLANTILLA!AB5</f>
        <v>17.849999999999998</v>
      </c>
      <c r="Q2" s="596" t="e">
        <f>PLANTILLA!#REF!</f>
        <v>#REF!</v>
      </c>
      <c r="R2" s="681">
        <f ca="1">Plan_Entreno!V13</f>
        <v>31</v>
      </c>
      <c r="S2" s="371">
        <f ca="1">Plan_Entreno!W13</f>
        <v>68</v>
      </c>
      <c r="T2" s="636">
        <f>J2</f>
        <v>16.666666666666668</v>
      </c>
      <c r="U2" s="684">
        <f>K2+(0.08*2)</f>
        <v>11.810909090909092</v>
      </c>
      <c r="V2" s="636">
        <f>L2</f>
        <v>2.0199999999999996</v>
      </c>
      <c r="W2" s="636">
        <f t="shared" ref="W2:Y2" si="0">M2</f>
        <v>2.1199999999999992</v>
      </c>
      <c r="X2" s="636">
        <f t="shared" si="0"/>
        <v>1.0300000000000002</v>
      </c>
      <c r="Y2" s="636">
        <f t="shared" si="0"/>
        <v>0.14055555555555557</v>
      </c>
      <c r="Z2" s="685">
        <v>17.5</v>
      </c>
    </row>
    <row r="3" spans="1:26" s="288" customFormat="1" x14ac:dyDescent="0.25">
      <c r="A3" s="416" t="s">
        <v>577</v>
      </c>
      <c r="B3" s="416" t="s">
        <v>1</v>
      </c>
      <c r="C3" s="678" t="s">
        <v>307</v>
      </c>
      <c r="D3" s="419">
        <f>PLANTILLA!E6</f>
        <v>33</v>
      </c>
      <c r="E3" s="419">
        <f ca="1">PLANTILLA!F6</f>
        <v>98</v>
      </c>
      <c r="F3" s="420" t="s">
        <v>595</v>
      </c>
      <c r="G3" s="401">
        <v>3</v>
      </c>
      <c r="H3" s="335">
        <v>7.4</v>
      </c>
      <c r="I3" s="480">
        <f>PLANTILLA!N6</f>
        <v>71</v>
      </c>
      <c r="J3" s="521">
        <f>PLANTILLA!V6</f>
        <v>10.3</v>
      </c>
      <c r="K3" s="521">
        <f>PLANTILLA!W6</f>
        <v>10.794999999999998</v>
      </c>
      <c r="L3" s="521">
        <f>PLANTILLA!X6</f>
        <v>4.6100000000000012</v>
      </c>
      <c r="M3" s="521">
        <f>PLANTILLA!Y6</f>
        <v>4.99</v>
      </c>
      <c r="N3" s="521">
        <f>PLANTILLA!Z6</f>
        <v>6.5444444444444434</v>
      </c>
      <c r="O3" s="521">
        <f>PLANTILLA!AA6</f>
        <v>3.99</v>
      </c>
      <c r="P3" s="521">
        <f>PLANTILLA!AB6</f>
        <v>15.778888888888888</v>
      </c>
      <c r="Q3" s="596" t="e">
        <f>PLANTILLA!#REF!</f>
        <v>#REF!</v>
      </c>
      <c r="R3" s="681">
        <f ca="1">Plan_Entreno!V14</f>
        <v>35</v>
      </c>
      <c r="S3" s="371">
        <f ca="1">Plan_Entreno!W14</f>
        <v>77</v>
      </c>
      <c r="T3" s="636"/>
      <c r="U3" s="636"/>
      <c r="V3" s="636"/>
      <c r="W3" s="636"/>
      <c r="X3" s="636"/>
      <c r="Y3" s="636"/>
      <c r="Z3" s="636"/>
    </row>
    <row r="4" spans="1:26" s="266" customFormat="1" x14ac:dyDescent="0.25">
      <c r="A4" s="416"/>
      <c r="B4" s="416"/>
      <c r="C4" s="678"/>
      <c r="D4" s="419">
        <f>PLANTILLA!E7</f>
        <v>29</v>
      </c>
      <c r="E4" s="419">
        <f ca="1">PLANTILLA!F7</f>
        <v>101</v>
      </c>
      <c r="F4" s="420"/>
      <c r="G4" s="426"/>
      <c r="H4" s="335"/>
      <c r="I4" s="480">
        <f>PLANTILLA!N7</f>
        <v>96</v>
      </c>
      <c r="J4" s="521">
        <f>PLANTILLA!V7</f>
        <v>0</v>
      </c>
      <c r="K4" s="521">
        <f>PLANTILLA!W7</f>
        <v>14.200000000000003</v>
      </c>
      <c r="L4" s="521">
        <f>PLANTILLA!X7</f>
        <v>9.283333333333335</v>
      </c>
      <c r="M4" s="521">
        <f>PLANTILLA!Y7</f>
        <v>14.249999999999996</v>
      </c>
      <c r="N4" s="521">
        <f>PLANTILLA!Z7</f>
        <v>9.3499999999999979</v>
      </c>
      <c r="O4" s="521">
        <f>PLANTILLA!AA7</f>
        <v>1.1428571428571428</v>
      </c>
      <c r="P4" s="521">
        <f>PLANTILLA!AB7</f>
        <v>9.4</v>
      </c>
      <c r="Q4" s="596" t="e">
        <f>PLANTILLA!#REF!</f>
        <v>#REF!</v>
      </c>
      <c r="R4" s="681">
        <f ca="1">Plan_Entreno!V15</f>
        <v>31</v>
      </c>
      <c r="S4" s="371">
        <f ca="1">Plan_Entreno!W15</f>
        <v>80</v>
      </c>
      <c r="T4" s="636"/>
      <c r="U4" s="636"/>
      <c r="V4" s="636"/>
      <c r="W4" s="636"/>
      <c r="X4" s="636"/>
      <c r="Y4" s="636"/>
      <c r="Z4" s="636"/>
    </row>
    <row r="5" spans="1:26" s="272" customFormat="1" x14ac:dyDescent="0.25">
      <c r="A5" s="332" t="s">
        <v>452</v>
      </c>
      <c r="B5" s="285" t="s">
        <v>2</v>
      </c>
      <c r="C5" s="677" t="s">
        <v>315</v>
      </c>
      <c r="D5" s="419">
        <f>PLANTILLA!E8</f>
        <v>31</v>
      </c>
      <c r="E5" s="419">
        <f ca="1">PLANTILLA!F8</f>
        <v>34</v>
      </c>
      <c r="F5" s="287" t="s">
        <v>595</v>
      </c>
      <c r="G5" s="426">
        <v>4</v>
      </c>
      <c r="H5" s="232">
        <v>5.8</v>
      </c>
      <c r="I5" s="480">
        <f>PLANTILLA!N8</f>
        <v>85</v>
      </c>
      <c r="J5" s="521">
        <f>PLANTILLA!V8</f>
        <v>0</v>
      </c>
      <c r="K5" s="521">
        <f>PLANTILLA!W8</f>
        <v>11</v>
      </c>
      <c r="L5" s="521">
        <f>PLANTILLA!X8</f>
        <v>6.1594444444444418</v>
      </c>
      <c r="M5" s="521">
        <f>PLANTILLA!Y8</f>
        <v>5.98</v>
      </c>
      <c r="N5" s="521">
        <f>PLANTILLA!Z8</f>
        <v>7.7227777777777789</v>
      </c>
      <c r="O5" s="521">
        <f>PLANTILLA!AA8</f>
        <v>4.383333333333332</v>
      </c>
      <c r="P5" s="521">
        <f>PLANTILLA!AB8</f>
        <v>15.349999999999998</v>
      </c>
      <c r="Q5" s="596" t="e">
        <f>PLANTILLA!#REF!</f>
        <v>#REF!</v>
      </c>
      <c r="R5" s="681">
        <f ca="1">Plan_Entreno!V16</f>
        <v>33</v>
      </c>
      <c r="S5" s="371">
        <f ca="1">Plan_Entreno!W16</f>
        <v>13</v>
      </c>
      <c r="T5" s="636"/>
      <c r="U5" s="685">
        <f>K5+(0.11*0.83*2)</f>
        <v>11.182600000000001</v>
      </c>
      <c r="V5" s="636">
        <f t="shared" ref="V5:V20" si="1">L5</f>
        <v>6.1594444444444418</v>
      </c>
      <c r="W5" s="636">
        <f t="shared" ref="W5:W20" si="2">M5</f>
        <v>5.98</v>
      </c>
      <c r="X5" s="636">
        <f t="shared" ref="X5:X20" si="3">N5</f>
        <v>7.7227777777777789</v>
      </c>
      <c r="Y5" s="636">
        <f t="shared" ref="Y5" si="4">O5</f>
        <v>4.383333333333332</v>
      </c>
      <c r="Z5" s="685">
        <v>15</v>
      </c>
    </row>
    <row r="6" spans="1:26" s="264" customFormat="1" x14ac:dyDescent="0.25">
      <c r="A6" s="416" t="s">
        <v>597</v>
      </c>
      <c r="B6" s="416" t="s">
        <v>2</v>
      </c>
      <c r="C6" s="676" t="s">
        <v>309</v>
      </c>
      <c r="D6" s="419">
        <f>PLANTILLA!E9</f>
        <v>30</v>
      </c>
      <c r="E6" s="419">
        <f ca="1">PLANTILLA!F9</f>
        <v>100</v>
      </c>
      <c r="F6" s="420"/>
      <c r="G6" s="426">
        <v>4</v>
      </c>
      <c r="H6" s="335">
        <v>9</v>
      </c>
      <c r="I6" s="480">
        <f>PLANTILLA!N9</f>
        <v>92</v>
      </c>
      <c r="J6" s="521">
        <f>PLANTILLA!V9</f>
        <v>0</v>
      </c>
      <c r="K6" s="521">
        <f>PLANTILLA!W9</f>
        <v>12.060000000000004</v>
      </c>
      <c r="L6" s="521">
        <f>PLANTILLA!X9</f>
        <v>13.020999999999999</v>
      </c>
      <c r="M6" s="521">
        <f>PLANTILLA!Y9</f>
        <v>9.7100000000000062</v>
      </c>
      <c r="N6" s="521">
        <f>PLANTILLA!Z9</f>
        <v>9.5299999999999994</v>
      </c>
      <c r="O6" s="521">
        <f>PLANTILLA!AA9</f>
        <v>3.6816666666666658</v>
      </c>
      <c r="P6" s="521">
        <f>PLANTILLA!AB9</f>
        <v>16.627777777777773</v>
      </c>
      <c r="Q6" s="596" t="e">
        <f>PLANTILLA!#REF!</f>
        <v>#REF!</v>
      </c>
      <c r="R6" s="681">
        <f ca="1">Plan_Entreno!V17</f>
        <v>32</v>
      </c>
      <c r="S6" s="371">
        <f ca="1">Plan_Entreno!W17</f>
        <v>79</v>
      </c>
      <c r="T6" s="636"/>
      <c r="U6" s="685">
        <f>K6+0.08*2</f>
        <v>12.220000000000004</v>
      </c>
      <c r="V6" s="636">
        <f t="shared" si="1"/>
        <v>13.020999999999999</v>
      </c>
      <c r="W6" s="636">
        <f t="shared" si="2"/>
        <v>9.7100000000000062</v>
      </c>
      <c r="X6" s="636">
        <f t="shared" si="3"/>
        <v>9.5299999999999994</v>
      </c>
      <c r="Y6" s="685">
        <f>O6+(0.5/12*3)</f>
        <v>3.8066666666666658</v>
      </c>
      <c r="Z6" s="685">
        <v>16</v>
      </c>
    </row>
    <row r="7" spans="1:26" s="265" customFormat="1" x14ac:dyDescent="0.25">
      <c r="A7" s="416" t="s">
        <v>445</v>
      </c>
      <c r="B7" s="285" t="s">
        <v>2</v>
      </c>
      <c r="C7" s="677" t="s">
        <v>313</v>
      </c>
      <c r="D7" s="419">
        <f>PLANTILLA!E10</f>
        <v>30</v>
      </c>
      <c r="E7" s="419">
        <f ca="1">PLANTILLA!F10</f>
        <v>85</v>
      </c>
      <c r="F7" s="287"/>
      <c r="G7" s="401">
        <v>3</v>
      </c>
      <c r="H7" s="232">
        <v>7.5</v>
      </c>
      <c r="I7" s="480">
        <f>PLANTILLA!N10</f>
        <v>89</v>
      </c>
      <c r="J7" s="521">
        <f>PLANTILLA!V10</f>
        <v>0</v>
      </c>
      <c r="K7" s="521">
        <f>PLANTILLA!W10</f>
        <v>11.649999999999997</v>
      </c>
      <c r="L7" s="521">
        <f>PLANTILLA!X10</f>
        <v>6.6275000000000022</v>
      </c>
      <c r="M7" s="521">
        <f>PLANTILLA!Y10</f>
        <v>7.2200000000000015</v>
      </c>
      <c r="N7" s="521">
        <f>PLANTILLA!Z10</f>
        <v>9.0199999999999978</v>
      </c>
      <c r="O7" s="521">
        <f>PLANTILLA!AA10</f>
        <v>4.6199999999999966</v>
      </c>
      <c r="P7" s="521">
        <f>PLANTILLA!AB10</f>
        <v>15.6</v>
      </c>
      <c r="Q7" s="596" t="e">
        <f>PLANTILLA!#REF!</f>
        <v>#REF!</v>
      </c>
      <c r="R7" s="681">
        <f ca="1">Plan_Entreno!V18</f>
        <v>32</v>
      </c>
      <c r="S7" s="371">
        <f ca="1">Plan_Entreno!W18</f>
        <v>64</v>
      </c>
      <c r="T7" s="636"/>
      <c r="U7" s="685">
        <f>K7+0.08*2</f>
        <v>11.809999999999997</v>
      </c>
      <c r="V7" s="636">
        <f t="shared" si="1"/>
        <v>6.6275000000000022</v>
      </c>
      <c r="W7" s="636">
        <f t="shared" si="2"/>
        <v>7.2200000000000015</v>
      </c>
      <c r="X7" s="636">
        <f t="shared" si="3"/>
        <v>9.0199999999999978</v>
      </c>
      <c r="Y7" s="685">
        <f>O7+3/28</f>
        <v>4.7271428571428533</v>
      </c>
      <c r="Z7" s="685">
        <v>15</v>
      </c>
    </row>
    <row r="8" spans="1:26" s="289" customFormat="1" x14ac:dyDescent="0.25">
      <c r="A8" s="331" t="s">
        <v>588</v>
      </c>
      <c r="B8" s="285" t="s">
        <v>2</v>
      </c>
      <c r="C8" s="677" t="s">
        <v>702</v>
      </c>
      <c r="D8" s="419">
        <f>PLANTILLA!E11</f>
        <v>26</v>
      </c>
      <c r="E8" s="419">
        <f ca="1">PLANTILLA!F11</f>
        <v>108</v>
      </c>
      <c r="F8" s="287"/>
      <c r="G8" s="426">
        <v>4</v>
      </c>
      <c r="H8" s="232">
        <v>4.0999999999999996</v>
      </c>
      <c r="I8" s="480">
        <f>PLANTILLA!N11</f>
        <v>89</v>
      </c>
      <c r="J8" s="521">
        <f>PLANTILLA!V11</f>
        <v>0</v>
      </c>
      <c r="K8" s="521">
        <f>PLANTILLA!W11</f>
        <v>9.5796666666666663</v>
      </c>
      <c r="L8" s="521">
        <f>PLANTILLA!X11</f>
        <v>7.7107222222222234</v>
      </c>
      <c r="M8" s="521">
        <f>PLANTILLA!Y11</f>
        <v>6.129999999999999</v>
      </c>
      <c r="N8" s="521">
        <f>PLANTILLA!Z11</f>
        <v>8.8633333333333315</v>
      </c>
      <c r="O8" s="521">
        <f>PLANTILLA!AA11</f>
        <v>3.2566666666666673</v>
      </c>
      <c r="P8" s="521">
        <f>PLANTILLA!AB11</f>
        <v>13.238888888888889</v>
      </c>
      <c r="Q8" s="596" t="e">
        <f>PLANTILLA!#REF!</f>
        <v>#REF!</v>
      </c>
      <c r="R8" s="681">
        <f ca="1">Plan_Entreno!V19</f>
        <v>28</v>
      </c>
      <c r="S8" s="371">
        <f ca="1">Plan_Entreno!W19</f>
        <v>87</v>
      </c>
      <c r="T8" s="636"/>
      <c r="U8" s="685">
        <f>K8+0.12*2</f>
        <v>9.8196666666666665</v>
      </c>
      <c r="V8" s="636">
        <f t="shared" si="1"/>
        <v>7.7107222222222234</v>
      </c>
      <c r="W8" s="636">
        <f t="shared" si="2"/>
        <v>6.129999999999999</v>
      </c>
      <c r="X8" s="636">
        <f t="shared" si="3"/>
        <v>8.8633333333333315</v>
      </c>
      <c r="Y8" s="685">
        <f>O8+3/19</f>
        <v>3.4145614035087726</v>
      </c>
      <c r="Z8" s="685">
        <v>13</v>
      </c>
    </row>
    <row r="9" spans="1:26" s="289" customFormat="1" x14ac:dyDescent="0.25">
      <c r="A9" s="416" t="s">
        <v>448</v>
      </c>
      <c r="B9" s="416" t="s">
        <v>66</v>
      </c>
      <c r="C9" s="676" t="s">
        <v>986</v>
      </c>
      <c r="D9" s="419">
        <f>PLANTILLA!E12</f>
        <v>30</v>
      </c>
      <c r="E9" s="419">
        <f ca="1">PLANTILLA!F12</f>
        <v>62</v>
      </c>
      <c r="F9" s="420" t="s">
        <v>311</v>
      </c>
      <c r="G9" s="401">
        <v>0</v>
      </c>
      <c r="H9" s="335">
        <v>9.1</v>
      </c>
      <c r="I9" s="480">
        <f>PLANTILLA!N12</f>
        <v>93</v>
      </c>
      <c r="J9" s="521">
        <f>PLANTILLA!V12</f>
        <v>0</v>
      </c>
      <c r="K9" s="521">
        <f>PLANTILLA!W12</f>
        <v>11.99</v>
      </c>
      <c r="L9" s="521">
        <f>PLANTILLA!X12</f>
        <v>12.399111111111115</v>
      </c>
      <c r="M9" s="521">
        <f>PLANTILLA!Y12</f>
        <v>13.05</v>
      </c>
      <c r="N9" s="521">
        <f>PLANTILLA!Z12</f>
        <v>10.84</v>
      </c>
      <c r="O9" s="521">
        <f>PLANTILLA!AA12</f>
        <v>7.7700000000000005</v>
      </c>
      <c r="P9" s="521">
        <f>PLANTILLA!AB12</f>
        <v>17.13</v>
      </c>
      <c r="Q9" s="596" t="e">
        <f>PLANTILLA!#REF!</f>
        <v>#REF!</v>
      </c>
      <c r="R9" s="681">
        <f ca="1">Plan_Entreno!V20</f>
        <v>32</v>
      </c>
      <c r="S9" s="371">
        <f ca="1">Plan_Entreno!W20</f>
        <v>41</v>
      </c>
      <c r="T9" s="636"/>
      <c r="U9" s="685">
        <f>K9+0.08*2</f>
        <v>12.15</v>
      </c>
      <c r="V9" s="636">
        <f t="shared" si="1"/>
        <v>12.399111111111115</v>
      </c>
      <c r="W9" s="636">
        <f t="shared" si="2"/>
        <v>13.05</v>
      </c>
      <c r="X9" s="636">
        <f t="shared" si="3"/>
        <v>10.84</v>
      </c>
      <c r="Y9" s="685">
        <f>O9+0.01*3</f>
        <v>7.8000000000000007</v>
      </c>
      <c r="Z9" s="685">
        <f>16.5</f>
        <v>16.5</v>
      </c>
    </row>
    <row r="10" spans="1:26" s="272" customFormat="1" x14ac:dyDescent="0.25">
      <c r="A10" s="416" t="s">
        <v>450</v>
      </c>
      <c r="B10" s="416" t="s">
        <v>66</v>
      </c>
      <c r="C10" s="676" t="s">
        <v>338</v>
      </c>
      <c r="D10" s="419">
        <f>PLANTILLA!E13</f>
        <v>30</v>
      </c>
      <c r="E10" s="419">
        <f ca="1">PLANTILLA!F13</f>
        <v>9</v>
      </c>
      <c r="F10" s="420" t="s">
        <v>308</v>
      </c>
      <c r="G10" s="401">
        <v>2</v>
      </c>
      <c r="H10" s="335">
        <v>7.6</v>
      </c>
      <c r="I10" s="480">
        <f>PLANTILLA!N13</f>
        <v>95</v>
      </c>
      <c r="J10" s="521">
        <f>PLANTILLA!V13</f>
        <v>0</v>
      </c>
      <c r="K10" s="521">
        <f>PLANTILLA!W13</f>
        <v>7.11</v>
      </c>
      <c r="L10" s="521">
        <f>PLANTILLA!X13</f>
        <v>10.250000000000004</v>
      </c>
      <c r="M10" s="521">
        <f>PLANTILLA!Y13</f>
        <v>13.305</v>
      </c>
      <c r="N10" s="521">
        <f>PLANTILLA!Z13</f>
        <v>10.289999999999997</v>
      </c>
      <c r="O10" s="521">
        <f>PLANTILLA!AA13</f>
        <v>5.4050000000000002</v>
      </c>
      <c r="P10" s="521">
        <f>PLANTILLA!AB13</f>
        <v>17.300000000000004</v>
      </c>
      <c r="Q10" s="596" t="e">
        <f>PLANTILLA!#REF!</f>
        <v>#REF!</v>
      </c>
      <c r="R10" s="681">
        <f ca="1">Plan_Entreno!V21</f>
        <v>31</v>
      </c>
      <c r="S10" s="371">
        <f ca="1">Plan_Entreno!W21</f>
        <v>100</v>
      </c>
      <c r="T10" s="636"/>
      <c r="U10" s="685">
        <f>K10+2/7</f>
        <v>7.3957142857142859</v>
      </c>
      <c r="V10" s="636">
        <f t="shared" si="1"/>
        <v>10.250000000000004</v>
      </c>
      <c r="W10" s="636">
        <f t="shared" si="2"/>
        <v>13.305</v>
      </c>
      <c r="X10" s="636">
        <f t="shared" si="3"/>
        <v>10.289999999999997</v>
      </c>
      <c r="Y10" s="685">
        <f>O10+2/6</f>
        <v>5.7383333333333333</v>
      </c>
      <c r="Z10" s="685">
        <f>17+1/5</f>
        <v>17.2</v>
      </c>
    </row>
    <row r="11" spans="1:26" s="288" customFormat="1" x14ac:dyDescent="0.25">
      <c r="A11" s="416" t="s">
        <v>449</v>
      </c>
      <c r="B11" s="416" t="s">
        <v>66</v>
      </c>
      <c r="C11" s="676" t="s">
        <v>600</v>
      </c>
      <c r="D11" s="419">
        <f>PLANTILLA!E14</f>
        <v>27</v>
      </c>
      <c r="E11" s="419">
        <f ca="1">PLANTILLA!F14</f>
        <v>24</v>
      </c>
      <c r="F11" s="420" t="s">
        <v>595</v>
      </c>
      <c r="G11" s="401">
        <v>2</v>
      </c>
      <c r="H11" s="335">
        <v>6.4</v>
      </c>
      <c r="I11" s="480">
        <f>PLANTILLA!N14</f>
        <v>98</v>
      </c>
      <c r="J11" s="521">
        <f>PLANTILLA!V14</f>
        <v>0</v>
      </c>
      <c r="K11" s="521">
        <f>PLANTILLA!W14</f>
        <v>8.1199999999999992</v>
      </c>
      <c r="L11" s="521">
        <f>PLANTILLA!X14</f>
        <v>11.958412698412697</v>
      </c>
      <c r="M11" s="521">
        <f>PLANTILLA!Y14</f>
        <v>12.13</v>
      </c>
      <c r="N11" s="521">
        <f>PLANTILLA!Z14</f>
        <v>10.24</v>
      </c>
      <c r="O11" s="521">
        <f>PLANTILLA!AA14</f>
        <v>7.4766666666666666</v>
      </c>
      <c r="P11" s="521">
        <f>PLANTILLA!AB14</f>
        <v>15.270000000000001</v>
      </c>
      <c r="Q11" s="596" t="e">
        <f>PLANTILLA!#REF!</f>
        <v>#REF!</v>
      </c>
      <c r="R11" s="681">
        <f ca="1">Plan_Entreno!V22</f>
        <v>29</v>
      </c>
      <c r="S11" s="371">
        <f ca="1">Plan_Entreno!W22</f>
        <v>3</v>
      </c>
      <c r="T11" s="636"/>
      <c r="U11" s="685">
        <f>7+1/7</f>
        <v>7.1428571428571432</v>
      </c>
      <c r="V11" s="636">
        <f t="shared" si="1"/>
        <v>11.958412698412697</v>
      </c>
      <c r="W11" s="636">
        <f t="shared" si="2"/>
        <v>12.13</v>
      </c>
      <c r="X11" s="636">
        <f t="shared" si="3"/>
        <v>10.24</v>
      </c>
      <c r="Y11" s="685">
        <f>O11+1/7+1/36</f>
        <v>7.6473015873015875</v>
      </c>
      <c r="Z11" s="685">
        <v>15</v>
      </c>
    </row>
    <row r="12" spans="1:26" s="289" customFormat="1" x14ac:dyDescent="0.25">
      <c r="A12" s="416" t="s">
        <v>446</v>
      </c>
      <c r="B12" s="285" t="s">
        <v>65</v>
      </c>
      <c r="C12" s="677" t="s">
        <v>754</v>
      </c>
      <c r="D12" s="419">
        <f>PLANTILLA!E15</f>
        <v>29</v>
      </c>
      <c r="E12" s="419">
        <f ca="1">PLANTILLA!F15</f>
        <v>21</v>
      </c>
      <c r="F12" s="420" t="s">
        <v>308</v>
      </c>
      <c r="G12" s="401">
        <v>3</v>
      </c>
      <c r="H12" s="232">
        <v>7.4</v>
      </c>
      <c r="I12" s="480">
        <f>PLANTILLA!N15</f>
        <v>98</v>
      </c>
      <c r="J12" s="521">
        <f>PLANTILLA!V15</f>
        <v>0</v>
      </c>
      <c r="K12" s="521">
        <f>PLANTILLA!W15</f>
        <v>9.0936666666666657</v>
      </c>
      <c r="L12" s="521">
        <f>PLANTILLA!X15</f>
        <v>13.499999999999998</v>
      </c>
      <c r="M12" s="521">
        <f>PLANTILLA!Y15</f>
        <v>12.725000000000001</v>
      </c>
      <c r="N12" s="521">
        <f>PLANTILLA!Z15</f>
        <v>9.6033333333333353</v>
      </c>
      <c r="O12" s="521">
        <f>PLANTILLA!AA15</f>
        <v>5.0296666666666656</v>
      </c>
      <c r="P12" s="521">
        <f>PLANTILLA!AB15</f>
        <v>15.2</v>
      </c>
      <c r="Q12" s="596" t="e">
        <f>PLANTILLA!#REF!</f>
        <v>#REF!</v>
      </c>
      <c r="R12" s="681">
        <f ca="1">Plan_Entreno!V23</f>
        <v>31</v>
      </c>
      <c r="S12" s="371">
        <f ca="1">Plan_Entreno!W23</f>
        <v>0</v>
      </c>
      <c r="T12" s="636"/>
      <c r="U12" s="685">
        <v>9</v>
      </c>
      <c r="V12" s="636">
        <f t="shared" si="1"/>
        <v>13.499999999999998</v>
      </c>
      <c r="W12" s="636">
        <f t="shared" si="2"/>
        <v>12.725000000000001</v>
      </c>
      <c r="X12" s="636">
        <f t="shared" si="3"/>
        <v>9.6033333333333353</v>
      </c>
      <c r="Y12" s="685">
        <v>5</v>
      </c>
      <c r="Z12" s="685">
        <f>14.5</f>
        <v>14.5</v>
      </c>
    </row>
    <row r="13" spans="1:26" x14ac:dyDescent="0.25">
      <c r="A13" s="332" t="s">
        <v>447</v>
      </c>
      <c r="B13" s="416" t="s">
        <v>65</v>
      </c>
      <c r="C13" s="676" t="s">
        <v>325</v>
      </c>
      <c r="D13" s="419">
        <f>PLANTILLA!E16</f>
        <v>31</v>
      </c>
      <c r="E13" s="419">
        <f ca="1">PLANTILLA!F16</f>
        <v>55</v>
      </c>
      <c r="F13" s="420" t="s">
        <v>308</v>
      </c>
      <c r="G13" s="426">
        <v>4</v>
      </c>
      <c r="H13" s="335">
        <v>8.3000000000000007</v>
      </c>
      <c r="I13" s="480">
        <f>PLANTILLA!N16</f>
        <v>90</v>
      </c>
      <c r="J13" s="521">
        <f>PLANTILLA!V16</f>
        <v>0</v>
      </c>
      <c r="K13" s="521">
        <f>PLANTILLA!W16</f>
        <v>8.6075555555555585</v>
      </c>
      <c r="L13" s="521">
        <f>PLANTILLA!X16</f>
        <v>14.09516031746031</v>
      </c>
      <c r="M13" s="521">
        <f>PLANTILLA!Y16</f>
        <v>10.049999999999995</v>
      </c>
      <c r="N13" s="521">
        <f>PLANTILLA!Z16</f>
        <v>10.029999999999999</v>
      </c>
      <c r="O13" s="521">
        <f>PLANTILLA!AA16</f>
        <v>4.3999999999999995</v>
      </c>
      <c r="P13" s="521">
        <f>PLANTILLA!AB16</f>
        <v>16.544444444444441</v>
      </c>
      <c r="Q13" s="596" t="e">
        <f>PLANTILLA!#REF!</f>
        <v>#REF!</v>
      </c>
      <c r="R13" s="681">
        <f ca="1">Plan_Entreno!V24</f>
        <v>33</v>
      </c>
      <c r="S13" s="371">
        <f ca="1">Plan_Entreno!W24</f>
        <v>34</v>
      </c>
      <c r="T13" s="636"/>
      <c r="U13" s="685">
        <f>K13+2/10</f>
        <v>8.8075555555555578</v>
      </c>
      <c r="V13" s="636">
        <f t="shared" si="1"/>
        <v>14.09516031746031</v>
      </c>
      <c r="W13" s="636">
        <f t="shared" si="2"/>
        <v>10.049999999999995</v>
      </c>
      <c r="X13" s="636">
        <f t="shared" si="3"/>
        <v>10.029999999999999</v>
      </c>
      <c r="Y13" s="685">
        <f>O13+3/5</f>
        <v>4.9999999999999991</v>
      </c>
      <c r="Z13" s="685">
        <v>16</v>
      </c>
    </row>
    <row r="14" spans="1:26" s="4" customFormat="1" x14ac:dyDescent="0.25">
      <c r="A14" s="416" t="s">
        <v>444</v>
      </c>
      <c r="B14" s="416" t="s">
        <v>65</v>
      </c>
      <c r="C14" s="676" t="s">
        <v>312</v>
      </c>
      <c r="D14" s="419">
        <f>PLANTILLA!E17</f>
        <v>30</v>
      </c>
      <c r="E14" s="419">
        <f ca="1">PLANTILLA!F17</f>
        <v>49</v>
      </c>
      <c r="F14" s="420"/>
      <c r="G14" s="401">
        <v>3</v>
      </c>
      <c r="H14" s="335">
        <v>7</v>
      </c>
      <c r="I14" s="480">
        <f>PLANTILLA!N17</f>
        <v>92</v>
      </c>
      <c r="J14" s="521">
        <f>PLANTILLA!V17</f>
        <v>0</v>
      </c>
      <c r="K14" s="521">
        <f>PLANTILLA!W17</f>
        <v>10.149999999999997</v>
      </c>
      <c r="L14" s="521">
        <f>PLANTILLA!X17</f>
        <v>12.749777777777778</v>
      </c>
      <c r="M14" s="521">
        <f>PLANTILLA!Y17</f>
        <v>5.1199999999999983</v>
      </c>
      <c r="N14" s="521">
        <f>PLANTILLA!Z17</f>
        <v>9.17</v>
      </c>
      <c r="O14" s="521">
        <f>PLANTILLA!AA17</f>
        <v>2.98</v>
      </c>
      <c r="P14" s="521">
        <f>PLANTILLA!AB17</f>
        <v>16.959999999999997</v>
      </c>
      <c r="Q14" s="596" t="e">
        <f>PLANTILLA!#REF!</f>
        <v>#REF!</v>
      </c>
      <c r="R14" s="681">
        <f ca="1">Plan_Entreno!V25</f>
        <v>32</v>
      </c>
      <c r="S14" s="371">
        <f ca="1">Plan_Entreno!W25</f>
        <v>28</v>
      </c>
      <c r="T14" s="636"/>
      <c r="U14" s="685">
        <v>10</v>
      </c>
      <c r="V14" s="636">
        <f t="shared" si="1"/>
        <v>12.749777777777778</v>
      </c>
      <c r="W14" s="636">
        <f t="shared" si="2"/>
        <v>5.1199999999999983</v>
      </c>
      <c r="X14" s="636">
        <f t="shared" si="3"/>
        <v>9.17</v>
      </c>
      <c r="Y14" s="636">
        <f>O14+3/20</f>
        <v>3.13</v>
      </c>
      <c r="Z14" s="685">
        <f>16+2/5</f>
        <v>16.399999999999999</v>
      </c>
    </row>
    <row r="15" spans="1:26" s="288" customFormat="1" x14ac:dyDescent="0.25">
      <c r="A15" s="332" t="s">
        <v>451</v>
      </c>
      <c r="B15" s="285" t="s">
        <v>65</v>
      </c>
      <c r="C15" s="677" t="s">
        <v>440</v>
      </c>
      <c r="D15" s="419">
        <f>PLANTILLA!E18</f>
        <v>30</v>
      </c>
      <c r="E15" s="419">
        <f ca="1">PLANTILLA!F18</f>
        <v>24</v>
      </c>
      <c r="F15" s="287"/>
      <c r="G15" s="401">
        <v>0</v>
      </c>
      <c r="H15" s="232">
        <v>6</v>
      </c>
      <c r="I15" s="480">
        <f>PLANTILLA!N18</f>
        <v>94</v>
      </c>
      <c r="J15" s="521">
        <f>PLANTILLA!V18</f>
        <v>0</v>
      </c>
      <c r="K15" s="521">
        <f>PLANTILLA!W18</f>
        <v>5.2811111111111115</v>
      </c>
      <c r="L15" s="521">
        <f>PLANTILLA!X18</f>
        <v>14.193842857142847</v>
      </c>
      <c r="M15" s="521">
        <f>PLANTILLA!Y18</f>
        <v>3.4924999999999993</v>
      </c>
      <c r="N15" s="521">
        <f>PLANTILLA!Z18</f>
        <v>9.0700000000000038</v>
      </c>
      <c r="O15" s="521">
        <f>PLANTILLA!AA18</f>
        <v>7.4318888888888894</v>
      </c>
      <c r="P15" s="521">
        <f>PLANTILLA!AB18</f>
        <v>16.07</v>
      </c>
      <c r="Q15" s="596" t="e">
        <f>PLANTILLA!#REF!</f>
        <v>#REF!</v>
      </c>
      <c r="R15" s="681">
        <f ca="1">Plan_Entreno!V26</f>
        <v>32</v>
      </c>
      <c r="S15" s="371">
        <f ca="1">Plan_Entreno!W26</f>
        <v>3</v>
      </c>
      <c r="T15" s="636"/>
      <c r="U15" s="685">
        <f>K15+3/30</f>
        <v>5.3811111111111112</v>
      </c>
      <c r="V15" s="636">
        <f t="shared" si="1"/>
        <v>14.193842857142847</v>
      </c>
      <c r="W15" s="636">
        <f t="shared" si="2"/>
        <v>3.4924999999999993</v>
      </c>
      <c r="X15" s="636">
        <f t="shared" si="3"/>
        <v>9.0700000000000038</v>
      </c>
      <c r="Y15" s="685">
        <f>O15+3/40</f>
        <v>7.5068888888888896</v>
      </c>
      <c r="Z15" s="685">
        <f>15.5</f>
        <v>15.5</v>
      </c>
    </row>
    <row r="16" spans="1:26" s="289" customFormat="1" ht="14.25" customHeight="1" x14ac:dyDescent="0.25">
      <c r="A16" s="332" t="s">
        <v>598</v>
      </c>
      <c r="B16" s="285" t="s">
        <v>65</v>
      </c>
      <c r="C16" s="677" t="s">
        <v>454</v>
      </c>
      <c r="D16" s="419">
        <f>PLANTILLA!E19</f>
        <v>28</v>
      </c>
      <c r="E16" s="419">
        <f ca="1">PLANTILLA!F19</f>
        <v>86</v>
      </c>
      <c r="F16" s="287"/>
      <c r="G16" s="401">
        <v>2</v>
      </c>
      <c r="H16" s="232">
        <v>3.5</v>
      </c>
      <c r="I16" s="480">
        <f>PLANTILLA!N19</f>
        <v>90</v>
      </c>
      <c r="J16" s="521">
        <f>PLANTILLA!V19</f>
        <v>0</v>
      </c>
      <c r="K16" s="521">
        <f>PLANTILLA!W19</f>
        <v>5.6315555555555523</v>
      </c>
      <c r="L16" s="521">
        <f>PLANTILLA!X19</f>
        <v>9.8263388888888876</v>
      </c>
      <c r="M16" s="521">
        <f>PLANTILLA!Y19</f>
        <v>7.0526666666666671</v>
      </c>
      <c r="N16" s="521">
        <f>PLANTILLA!Z19</f>
        <v>9.2666666666666639</v>
      </c>
      <c r="O16" s="521">
        <f>PLANTILLA!AA19</f>
        <v>3.5417777777777766</v>
      </c>
      <c r="P16" s="521">
        <f>PLANTILLA!AB19</f>
        <v>12.450000000000001</v>
      </c>
      <c r="Q16" s="596" t="e">
        <f>PLANTILLA!#REF!</f>
        <v>#REF!</v>
      </c>
      <c r="R16" s="681">
        <f ca="1">Plan_Entreno!V27</f>
        <v>30</v>
      </c>
      <c r="S16" s="371">
        <f ca="1">Plan_Entreno!W27</f>
        <v>65</v>
      </c>
      <c r="T16" s="636"/>
      <c r="U16" s="685">
        <f>K16+2/35</f>
        <v>5.6886984126984093</v>
      </c>
      <c r="V16" s="636">
        <f t="shared" si="1"/>
        <v>9.8263388888888876</v>
      </c>
      <c r="W16" s="636">
        <f t="shared" si="2"/>
        <v>7.0526666666666671</v>
      </c>
      <c r="X16" s="636">
        <f t="shared" si="3"/>
        <v>9.2666666666666639</v>
      </c>
      <c r="Y16" s="685">
        <f>O16+3/22</f>
        <v>3.6781414141414128</v>
      </c>
      <c r="Z16" s="685">
        <v>12.66</v>
      </c>
    </row>
    <row r="17" spans="1:26" s="288" customFormat="1" x14ac:dyDescent="0.25">
      <c r="A17" s="331" t="s">
        <v>719</v>
      </c>
      <c r="B17" s="285" t="s">
        <v>65</v>
      </c>
      <c r="C17" s="679" t="s">
        <v>441</v>
      </c>
      <c r="D17" s="419">
        <f>PLANTILLA!E20</f>
        <v>28</v>
      </c>
      <c r="E17" s="419">
        <f ca="1">PLANTILLA!F20</f>
        <v>93</v>
      </c>
      <c r="F17" s="287" t="s">
        <v>311</v>
      </c>
      <c r="G17" s="426">
        <v>4</v>
      </c>
      <c r="H17" s="232">
        <v>1.2</v>
      </c>
      <c r="I17" s="480">
        <f>PLANTILLA!N20</f>
        <v>88</v>
      </c>
      <c r="J17" s="521">
        <f>PLANTILLA!V20</f>
        <v>0</v>
      </c>
      <c r="K17" s="521">
        <f>PLANTILLA!W20</f>
        <v>2.47611111111111</v>
      </c>
      <c r="L17" s="521">
        <f>PLANTILLA!X20</f>
        <v>7.2899999999999983</v>
      </c>
      <c r="M17" s="521">
        <f>PLANTILLA!Y20</f>
        <v>4.1588235294117641</v>
      </c>
      <c r="N17" s="521">
        <f>PLANTILLA!Z20</f>
        <v>7.2649999999999988</v>
      </c>
      <c r="O17" s="521">
        <f>PLANTILLA!AA20</f>
        <v>4.3299999999999983</v>
      </c>
      <c r="P17" s="521">
        <f>PLANTILLA!AB20</f>
        <v>9.5</v>
      </c>
      <c r="Q17" s="596" t="e">
        <f>PLANTILLA!#REF!</f>
        <v>#REF!</v>
      </c>
      <c r="R17" s="681">
        <f ca="1">Plan_Entreno!V28</f>
        <v>30</v>
      </c>
      <c r="S17" s="371">
        <f ca="1">Plan_Entreno!W28</f>
        <v>72</v>
      </c>
      <c r="T17" s="636"/>
      <c r="U17" s="636"/>
      <c r="V17" s="636"/>
      <c r="W17" s="636"/>
      <c r="X17" s="636"/>
      <c r="Y17" s="636"/>
      <c r="Z17" s="636"/>
    </row>
    <row r="18" spans="1:26" s="272" customFormat="1" x14ac:dyDescent="0.25">
      <c r="A18" s="416" t="s">
        <v>599</v>
      </c>
      <c r="B18" s="416" t="s">
        <v>67</v>
      </c>
      <c r="C18" s="676" t="s">
        <v>327</v>
      </c>
      <c r="D18" s="419">
        <f>PLANTILLA!E21</f>
        <v>29</v>
      </c>
      <c r="E18" s="419">
        <f ca="1">PLANTILLA!F21</f>
        <v>61</v>
      </c>
      <c r="F18" s="420" t="s">
        <v>336</v>
      </c>
      <c r="G18" s="401">
        <v>3</v>
      </c>
      <c r="H18" s="335">
        <v>8</v>
      </c>
      <c r="I18" s="480">
        <f>PLANTILLA!N21</f>
        <v>94</v>
      </c>
      <c r="J18" s="521">
        <f>PLANTILLA!V21</f>
        <v>0</v>
      </c>
      <c r="K18" s="521">
        <f>PLANTILLA!W21</f>
        <v>6.8176190476190497</v>
      </c>
      <c r="L18" s="521">
        <f>PLANTILLA!X21</f>
        <v>8.3125</v>
      </c>
      <c r="M18" s="521">
        <f>PLANTILLA!Y21</f>
        <v>8.7199999999999971</v>
      </c>
      <c r="N18" s="521">
        <f>PLANTILLA!Z21</f>
        <v>9.6800000000000015</v>
      </c>
      <c r="O18" s="521">
        <f>PLANTILLA!AA21</f>
        <v>8.5625000000000018</v>
      </c>
      <c r="P18" s="521">
        <f>PLANTILLA!AB21</f>
        <v>18.639999999999993</v>
      </c>
      <c r="Q18" s="596" t="e">
        <f>PLANTILLA!#REF!</f>
        <v>#REF!</v>
      </c>
      <c r="R18" s="681">
        <f ca="1">Plan_Entreno!V29</f>
        <v>31</v>
      </c>
      <c r="S18" s="371">
        <f ca="1">Plan_Entreno!W29</f>
        <v>40</v>
      </c>
      <c r="T18" s="636"/>
      <c r="U18" s="685">
        <f>K18+3/36</f>
        <v>6.9009523809523827</v>
      </c>
      <c r="V18" s="636">
        <f t="shared" si="1"/>
        <v>8.3125</v>
      </c>
      <c r="W18" s="636">
        <f t="shared" si="2"/>
        <v>8.7199999999999971</v>
      </c>
      <c r="X18" s="636">
        <f t="shared" si="3"/>
        <v>9.6800000000000015</v>
      </c>
      <c r="Y18" s="685">
        <f>O18+3/7</f>
        <v>8.9910714285714306</v>
      </c>
      <c r="Z18" s="685">
        <f>P18+3/6</f>
        <v>19.139999999999993</v>
      </c>
    </row>
    <row r="19" spans="1:26" s="284" customFormat="1" x14ac:dyDescent="0.25">
      <c r="A19" s="416" t="s">
        <v>929</v>
      </c>
      <c r="B19" s="416" t="s">
        <v>67</v>
      </c>
      <c r="C19" s="678" t="s">
        <v>930</v>
      </c>
      <c r="D19" s="419">
        <f>PLANTILLA!E22</f>
        <v>30</v>
      </c>
      <c r="E19" s="419">
        <f ca="1">PLANTILLA!F22</f>
        <v>18</v>
      </c>
      <c r="F19" s="420" t="s">
        <v>595</v>
      </c>
      <c r="G19" s="426">
        <v>4</v>
      </c>
      <c r="H19" s="335">
        <v>1</v>
      </c>
      <c r="I19" s="480">
        <f>PLANTILLA!N22</f>
        <v>94</v>
      </c>
      <c r="J19" s="521">
        <f>PLANTILLA!V22</f>
        <v>0</v>
      </c>
      <c r="K19" s="521">
        <f>PLANTILLA!W22</f>
        <v>2</v>
      </c>
      <c r="L19" s="521">
        <f>PLANTILLA!X22</f>
        <v>14.0938</v>
      </c>
      <c r="M19" s="521">
        <f>PLANTILLA!Y22</f>
        <v>3</v>
      </c>
      <c r="N19" s="521">
        <f>PLANTILLA!Z22</f>
        <v>15.01</v>
      </c>
      <c r="O19" s="521">
        <f>PLANTILLA!AA22</f>
        <v>10</v>
      </c>
      <c r="P19" s="521">
        <f>PLANTILLA!AB22</f>
        <v>9.3000000000000007</v>
      </c>
      <c r="Q19" s="596" t="e">
        <f>PLANTILLA!#REF!</f>
        <v>#REF!</v>
      </c>
      <c r="R19" s="681">
        <f ca="1">Plan_Entreno!V30</f>
        <v>31</v>
      </c>
      <c r="S19" s="371">
        <f ca="1">Plan_Entreno!W30</f>
        <v>109</v>
      </c>
      <c r="T19" s="636"/>
      <c r="U19" s="636"/>
      <c r="V19" s="636"/>
      <c r="W19" s="636"/>
      <c r="X19" s="636"/>
      <c r="Y19" s="636"/>
      <c r="Z19" s="636"/>
    </row>
    <row r="20" spans="1:26" s="289" customFormat="1" x14ac:dyDescent="0.25">
      <c r="A20" s="416" t="s">
        <v>633</v>
      </c>
      <c r="B20" s="416" t="s">
        <v>67</v>
      </c>
      <c r="C20" s="677" t="s">
        <v>634</v>
      </c>
      <c r="D20" s="419">
        <f>PLANTILLA!E23</f>
        <v>26</v>
      </c>
      <c r="E20" s="419">
        <f ca="1">PLANTILLA!F23</f>
        <v>92</v>
      </c>
      <c r="F20" s="287"/>
      <c r="G20" s="428">
        <v>5</v>
      </c>
      <c r="H20" s="232">
        <v>4.0999999999999996</v>
      </c>
      <c r="I20" s="480">
        <f>PLANTILLA!N23</f>
        <v>95</v>
      </c>
      <c r="J20" s="521">
        <f>PLANTILLA!V23</f>
        <v>0</v>
      </c>
      <c r="K20" s="521">
        <f>PLANTILLA!W23</f>
        <v>4</v>
      </c>
      <c r="L20" s="521">
        <f>PLANTILLA!X23</f>
        <v>5.5138722222222212</v>
      </c>
      <c r="M20" s="521">
        <f>PLANTILLA!Y23</f>
        <v>5.47</v>
      </c>
      <c r="N20" s="521">
        <f>PLANTILLA!Z23</f>
        <v>10.799999999999999</v>
      </c>
      <c r="O20" s="521">
        <f>PLANTILLA!AA23</f>
        <v>8.384500000000001</v>
      </c>
      <c r="P20" s="521">
        <f>PLANTILLA!AB23</f>
        <v>13.566666666666668</v>
      </c>
      <c r="Q20" s="596" t="e">
        <f>PLANTILLA!#REF!</f>
        <v>#REF!</v>
      </c>
      <c r="R20" s="681">
        <f ca="1">Plan_Entreno!V31</f>
        <v>28</v>
      </c>
      <c r="S20" s="371">
        <f ca="1">Plan_Entreno!W31</f>
        <v>71</v>
      </c>
      <c r="T20" s="636"/>
      <c r="U20" s="685">
        <f>K20+2/20</f>
        <v>4.0999999999999996</v>
      </c>
      <c r="V20" s="636">
        <f t="shared" si="1"/>
        <v>5.5138722222222212</v>
      </c>
      <c r="W20" s="636">
        <f t="shared" si="2"/>
        <v>5.47</v>
      </c>
      <c r="X20" s="636">
        <f t="shared" si="3"/>
        <v>10.799999999999999</v>
      </c>
      <c r="Y20" s="685">
        <f>O20+2/7</f>
        <v>8.6702142857142874</v>
      </c>
      <c r="Z20" s="685">
        <v>13.66</v>
      </c>
    </row>
    <row r="21" spans="1:26" x14ac:dyDescent="0.25">
      <c r="F21" s="4"/>
      <c r="G21"/>
      <c r="H21" s="681"/>
      <c r="J21"/>
      <c r="P21" s="681"/>
      <c r="Q21" s="262"/>
    </row>
    <row r="22" spans="1:26" x14ac:dyDescent="0.25">
      <c r="Q22" s="371"/>
    </row>
    <row r="23" spans="1:26" x14ac:dyDescent="0.25">
      <c r="H23" s="290"/>
      <c r="K23" s="159"/>
    </row>
    <row r="24" spans="1:26" x14ac:dyDescent="0.25">
      <c r="C24" s="645"/>
      <c r="H24" s="290"/>
      <c r="K24" s="159"/>
    </row>
    <row r="25" spans="1:26" x14ac:dyDescent="0.25">
      <c r="H25" s="290"/>
      <c r="K25" s="159"/>
    </row>
    <row r="26" spans="1:26" x14ac:dyDescent="0.25">
      <c r="C26" s="646"/>
      <c r="H26" s="290"/>
      <c r="K26" s="159"/>
    </row>
    <row r="27" spans="1:26" x14ac:dyDescent="0.25">
      <c r="C27" s="646"/>
      <c r="H27" s="290"/>
      <c r="K27" s="159"/>
    </row>
    <row r="28" spans="1:26" x14ac:dyDescent="0.25">
      <c r="C28" s="681"/>
      <c r="H28" s="290"/>
      <c r="K28" s="159"/>
      <c r="Q28" s="682"/>
    </row>
    <row r="29" spans="1:26" x14ac:dyDescent="0.25">
      <c r="H29" s="290"/>
      <c r="K29" s="159"/>
    </row>
    <row r="30" spans="1:26" x14ac:dyDescent="0.25">
      <c r="H30" s="290"/>
      <c r="K30" s="159"/>
    </row>
    <row r="31" spans="1:26" x14ac:dyDescent="0.25">
      <c r="H31" s="290"/>
      <c r="K31" s="159"/>
    </row>
    <row r="32" spans="1:26" x14ac:dyDescent="0.25">
      <c r="H32" s="290"/>
      <c r="K32" s="159"/>
    </row>
    <row r="33" spans="3:17" x14ac:dyDescent="0.25">
      <c r="C33"/>
      <c r="F33"/>
      <c r="G33"/>
      <c r="H33" s="290"/>
      <c r="I33"/>
      <c r="J33"/>
      <c r="Q33"/>
    </row>
    <row r="34" spans="3:17" x14ac:dyDescent="0.25">
      <c r="C34"/>
      <c r="F34"/>
      <c r="G34"/>
      <c r="H34" s="290"/>
      <c r="I34"/>
      <c r="J34"/>
      <c r="Q34"/>
    </row>
    <row r="35" spans="3:17" x14ac:dyDescent="0.25">
      <c r="C35"/>
      <c r="F35"/>
      <c r="G35"/>
      <c r="H35" s="290"/>
      <c r="I35"/>
      <c r="J35"/>
      <c r="Q35"/>
    </row>
    <row r="36" spans="3:17" x14ac:dyDescent="0.25">
      <c r="C36"/>
      <c r="F36"/>
      <c r="G36"/>
      <c r="H36" s="290"/>
      <c r="I36"/>
      <c r="J36"/>
      <c r="Q36"/>
    </row>
  </sheetData>
  <conditionalFormatting sqref="I2:I20">
    <cfRule type="cellIs" dxfId="338" priority="37" operator="greaterThan">
      <formula>82</formula>
    </cfRule>
    <cfRule type="cellIs" dxfId="337" priority="38" operator="lessThan">
      <formula>79</formula>
    </cfRule>
  </conditionalFormatting>
  <conditionalFormatting sqref="H2:H20">
    <cfRule type="cellIs" dxfId="336" priority="6" operator="lessThan">
      <formula>3</formula>
    </cfRule>
    <cfRule type="cellIs" dxfId="335" priority="7" operator="greaterThan">
      <formula>7</formula>
    </cfRule>
  </conditionalFormatting>
  <conditionalFormatting sqref="Q2:Q20">
    <cfRule type="dataBar" priority="1839">
      <dataBar>
        <cfvo type="min"/>
        <cfvo type="max"/>
        <color rgb="FFFFB628"/>
      </dataBar>
      <extLst>
        <ext xmlns:x14="http://schemas.microsoft.com/office/spreadsheetml/2009/9/main" uri="{B025F937-C7B1-47D3-B67F-A62EFF666E3E}">
          <x14:id>{15E88A33-53C5-47A7-A33B-9FF68A37C0EC}</x14:id>
        </ext>
      </extLst>
    </cfRule>
  </conditionalFormatting>
  <conditionalFormatting sqref="J2:P20">
    <cfRule type="cellIs" dxfId="334" priority="1841" operator="greaterThan">
      <formula>7.99</formula>
    </cfRule>
    <cfRule type="colorScale" priority="1842">
      <colorScale>
        <cfvo type="min"/>
        <cfvo type="max"/>
        <color rgb="FFFFEF9C"/>
        <color rgb="FF63BE7B"/>
      </colorScale>
    </cfRule>
  </conditionalFormatting>
  <conditionalFormatting sqref="T2:Z20">
    <cfRule type="colorScale" priority="1845">
      <colorScale>
        <cfvo type="min"/>
        <cfvo type="max"/>
        <color rgb="FFFCFCFF"/>
        <color rgb="FFF8696B"/>
      </colorScale>
    </cfRule>
  </conditionalFormatting>
  <pageMargins left="0.7" right="0.7" top="0.75" bottom="0.75"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dataBar" id="{15E88A33-53C5-47A7-A33B-9FF68A37C0EC}">
            <x14:dataBar minLength="0" maxLength="100" gradient="0">
              <x14:cfvo type="autoMin"/>
              <x14:cfvo type="autoMax"/>
              <x14:negativeFillColor rgb="FFFF0000"/>
              <x14:axisColor rgb="FF000000"/>
            </x14:dataBar>
          </x14:cfRule>
          <xm:sqref>Q2:Q20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AI3" sqref="AI3"/>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3"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3"/>
      <c r="X1" t="s">
        <v>824</v>
      </c>
      <c r="AA1" t="s">
        <v>825</v>
      </c>
      <c r="AE1" t="s">
        <v>826</v>
      </c>
      <c r="AI1" t="s">
        <v>827</v>
      </c>
      <c r="AM1" t="s">
        <v>828</v>
      </c>
      <c r="AQ1" t="s">
        <v>823</v>
      </c>
      <c r="AX1" t="s">
        <v>829</v>
      </c>
      <c r="BE1" t="s">
        <v>596</v>
      </c>
      <c r="BJ1" t="s">
        <v>830</v>
      </c>
      <c r="BO1" t="s">
        <v>772</v>
      </c>
      <c r="BT1" t="s">
        <v>976</v>
      </c>
      <c r="BY1" t="s">
        <v>766</v>
      </c>
      <c r="CD1" t="s">
        <v>738</v>
      </c>
      <c r="CH1" t="s">
        <v>67</v>
      </c>
    </row>
    <row r="2" spans="1:89" x14ac:dyDescent="0.25">
      <c r="A2" s="524" t="s">
        <v>182</v>
      </c>
      <c r="B2" s="524" t="s">
        <v>831</v>
      </c>
      <c r="C2" s="524" t="s">
        <v>63</v>
      </c>
      <c r="D2" s="525" t="s">
        <v>832</v>
      </c>
      <c r="E2" s="524" t="s">
        <v>833</v>
      </c>
      <c r="F2" s="526" t="s">
        <v>834</v>
      </c>
      <c r="G2" s="526" t="s">
        <v>835</v>
      </c>
      <c r="H2" s="526" t="s">
        <v>836</v>
      </c>
      <c r="I2" s="527" t="s">
        <v>837</v>
      </c>
      <c r="J2" s="528" t="s">
        <v>838</v>
      </c>
      <c r="K2" s="528" t="s">
        <v>1</v>
      </c>
      <c r="L2" s="528" t="s">
        <v>2</v>
      </c>
      <c r="M2" s="528" t="s">
        <v>839</v>
      </c>
      <c r="N2" s="528" t="s">
        <v>66</v>
      </c>
      <c r="O2" s="528" t="s">
        <v>713</v>
      </c>
      <c r="P2" s="528" t="s">
        <v>840</v>
      </c>
      <c r="Q2" s="528" t="s">
        <v>0</v>
      </c>
      <c r="R2" s="529" t="s">
        <v>700</v>
      </c>
      <c r="S2" s="529" t="s">
        <v>998</v>
      </c>
      <c r="T2" s="529" t="s">
        <v>841</v>
      </c>
      <c r="U2" s="529" t="s">
        <v>842</v>
      </c>
      <c r="V2" s="529" t="s">
        <v>723</v>
      </c>
      <c r="W2" s="529" t="s">
        <v>724</v>
      </c>
      <c r="X2" s="530" t="s">
        <v>843</v>
      </c>
      <c r="Y2" s="530" t="s">
        <v>844</v>
      </c>
      <c r="Z2" s="530" t="s">
        <v>843</v>
      </c>
      <c r="AA2" s="531" t="s">
        <v>843</v>
      </c>
      <c r="AB2" s="531" t="s">
        <v>844</v>
      </c>
      <c r="AC2" s="531" t="s">
        <v>843</v>
      </c>
      <c r="AD2" s="531" t="s">
        <v>65</v>
      </c>
      <c r="AE2" s="531" t="s">
        <v>843</v>
      </c>
      <c r="AF2" s="531" t="s">
        <v>844</v>
      </c>
      <c r="AG2" s="531" t="s">
        <v>843</v>
      </c>
      <c r="AH2" s="531" t="s">
        <v>65</v>
      </c>
      <c r="AI2" s="530" t="s">
        <v>843</v>
      </c>
      <c r="AJ2" s="530" t="s">
        <v>844</v>
      </c>
      <c r="AK2" s="530" t="s">
        <v>65</v>
      </c>
      <c r="AL2" s="530" t="s">
        <v>845</v>
      </c>
      <c r="AM2" s="530" t="s">
        <v>843</v>
      </c>
      <c r="AN2" s="530" t="s">
        <v>844</v>
      </c>
      <c r="AO2" s="530" t="s">
        <v>65</v>
      </c>
      <c r="AP2" s="530" t="s">
        <v>845</v>
      </c>
      <c r="AQ2" s="530" t="s">
        <v>843</v>
      </c>
      <c r="AR2" s="530" t="s">
        <v>844</v>
      </c>
      <c r="AS2" s="530" t="s">
        <v>843</v>
      </c>
      <c r="AT2" s="530" t="s">
        <v>65</v>
      </c>
      <c r="AU2" s="530" t="s">
        <v>845</v>
      </c>
      <c r="AV2" s="530" t="s">
        <v>846</v>
      </c>
      <c r="AW2" s="530" t="s">
        <v>845</v>
      </c>
      <c r="AX2" s="530" t="s">
        <v>843</v>
      </c>
      <c r="AY2" s="530" t="s">
        <v>844</v>
      </c>
      <c r="AZ2" s="530" t="s">
        <v>843</v>
      </c>
      <c r="BA2" s="530" t="s">
        <v>65</v>
      </c>
      <c r="BB2" s="530" t="s">
        <v>845</v>
      </c>
      <c r="BC2" s="530" t="s">
        <v>846</v>
      </c>
      <c r="BD2" s="530" t="s">
        <v>845</v>
      </c>
      <c r="BE2" s="531" t="s">
        <v>843</v>
      </c>
      <c r="BF2" s="531" t="s">
        <v>844</v>
      </c>
      <c r="BG2" s="531" t="s">
        <v>65</v>
      </c>
      <c r="BH2" s="531" t="s">
        <v>845</v>
      </c>
      <c r="BI2" s="531" t="s">
        <v>846</v>
      </c>
      <c r="BJ2" s="531" t="s">
        <v>843</v>
      </c>
      <c r="BK2" s="531" t="s">
        <v>844</v>
      </c>
      <c r="BL2" s="531" t="s">
        <v>65</v>
      </c>
      <c r="BM2" s="531" t="s">
        <v>845</v>
      </c>
      <c r="BN2" s="531" t="s">
        <v>846</v>
      </c>
      <c r="BO2" s="530" t="s">
        <v>843</v>
      </c>
      <c r="BP2" s="530" t="s">
        <v>844</v>
      </c>
      <c r="BQ2" s="530" t="s">
        <v>65</v>
      </c>
      <c r="BR2" s="530" t="s">
        <v>845</v>
      </c>
      <c r="BS2" s="530" t="s">
        <v>846</v>
      </c>
      <c r="BT2" s="530" t="s">
        <v>843</v>
      </c>
      <c r="BU2" s="530" t="s">
        <v>844</v>
      </c>
      <c r="BV2" s="530" t="s">
        <v>65</v>
      </c>
      <c r="BW2" s="530" t="s">
        <v>845</v>
      </c>
      <c r="BX2" s="530" t="s">
        <v>846</v>
      </c>
      <c r="BY2" s="530" t="s">
        <v>843</v>
      </c>
      <c r="BZ2" s="530" t="s">
        <v>844</v>
      </c>
      <c r="CA2" s="530" t="s">
        <v>65</v>
      </c>
      <c r="CB2" s="530" t="s">
        <v>845</v>
      </c>
      <c r="CC2" s="530" t="s">
        <v>846</v>
      </c>
      <c r="CD2" s="531" t="s">
        <v>65</v>
      </c>
      <c r="CE2" s="531" t="s">
        <v>845</v>
      </c>
      <c r="CF2" s="531" t="s">
        <v>846</v>
      </c>
      <c r="CG2" s="531" t="s">
        <v>845</v>
      </c>
      <c r="CH2" s="530" t="s">
        <v>845</v>
      </c>
      <c r="CI2" s="530" t="s">
        <v>846</v>
      </c>
      <c r="CJ2" s="530" t="s">
        <v>845</v>
      </c>
      <c r="CK2" s="530" t="s">
        <v>65</v>
      </c>
    </row>
    <row r="3" spans="1:89" x14ac:dyDescent="0.25">
      <c r="A3" t="str">
        <f>PLANTILLA!D5</f>
        <v>D. Gehmacher</v>
      </c>
      <c r="B3" s="523">
        <f>PLANTILLA!E5</f>
        <v>29</v>
      </c>
      <c r="C3" s="371">
        <f ca="1">PLANTILLA!F5</f>
        <v>89</v>
      </c>
      <c r="D3" s="523"/>
      <c r="E3" s="317">
        <v>42468</v>
      </c>
      <c r="F3" s="371">
        <f>PLANTILLA!O5</f>
        <v>6</v>
      </c>
      <c r="G3" s="439">
        <f>(F3/7)^0.5</f>
        <v>0.92582009977255142</v>
      </c>
      <c r="H3" s="439">
        <f>IF(F3=7,1,((F3+0.99)/7)^0.5)</f>
        <v>0.99928545900129484</v>
      </c>
      <c r="I3" s="532">
        <v>1</v>
      </c>
      <c r="J3" s="533">
        <f>PLANTILLA!I5</f>
        <v>18</v>
      </c>
      <c r="K3" s="163">
        <f>PLANTILLA!V5</f>
        <v>16.666666666666668</v>
      </c>
      <c r="L3" s="163">
        <f>PLANTILLA!W5</f>
        <v>11.650909090909092</v>
      </c>
      <c r="M3" s="163">
        <f>PLANTILLA!X5</f>
        <v>2.0199999999999996</v>
      </c>
      <c r="N3" s="163">
        <f>PLANTILLA!Y5</f>
        <v>2.1199999999999992</v>
      </c>
      <c r="O3" s="163">
        <f>PLANTILLA!Z5</f>
        <v>1.0300000000000002</v>
      </c>
      <c r="P3" s="163">
        <f>PLANTILLA!AA5</f>
        <v>0.14055555555555557</v>
      </c>
      <c r="Q3" s="163">
        <f>PLANTILLA!AB5</f>
        <v>17.849999999999998</v>
      </c>
      <c r="R3" s="163">
        <f>((2*(O3+1))+(L3+1))/8</f>
        <v>2.0888636363636364</v>
      </c>
      <c r="S3" s="163">
        <f>1.66*(P3+(LOG(J3)*4/3)+I3)+0.55*(Q3+(LOG(J3)*4/3)+I3)-7.6</f>
        <v>8.3596918705932968</v>
      </c>
      <c r="T3" s="163">
        <f>(0.5*P3+ 0.3*Q3)/10</f>
        <v>0.54252777777777772</v>
      </c>
      <c r="U3" s="163">
        <f>(0.4*L3+0.3*Q3)/10</f>
        <v>1.0015363636363637</v>
      </c>
      <c r="V3" s="163">
        <f ca="1">IF(TODAY()-E3&gt;335,(Q3+1+(LOG(J3)*4/3))*(F3/7)^0.5,(Q3+((TODAY()-E3)^0.5)/(336^0.5)+(LOG(J3)*4/3))*(F3/7)^0.5)</f>
        <v>19.001250901934569</v>
      </c>
      <c r="W3" s="163">
        <f ca="1">IF(F3=7,V3,IF(TODAY()-E3&gt;335,(Q3+1+(LOG(J3)*4/3))*((F3+0.99)/7)^0.5,(Q3+((TODAY()-E3)^0.5)/(336^0.5)+(LOG(J3)*4/3))*((F3+0.99)/7)^0.5))</f>
        <v>20.509031650752888</v>
      </c>
      <c r="X3" s="159">
        <f>((K3+I3+(LOG(J3)*4/3))*0.597)+((L3+I3+(LOG(J3)*4/3))*0.276)</f>
        <v>15.499788105031158</v>
      </c>
      <c r="Y3" s="159">
        <f>((K3+I3+(LOG(J3)*4/3))*0.866)+((L3+I3+(LOG(J3)*4/3))*0.425)</f>
        <v>22.836712102420854</v>
      </c>
      <c r="Z3" s="159">
        <f>X3</f>
        <v>15.499788105031158</v>
      </c>
      <c r="AA3" s="159">
        <f>((L3+I3+(LOG(J3)*4/3))*0.516)</f>
        <v>7.3914965744201657</v>
      </c>
      <c r="AB3" s="159">
        <f>(L3+I3+(LOG(J3)*4/3))*1</f>
        <v>14.324605764380166</v>
      </c>
      <c r="AC3" s="159">
        <f>AA3/2</f>
        <v>3.6957482872100829</v>
      </c>
      <c r="AD3" s="159">
        <f>(M3+I3+(LOG(J3)*4/3))*0.238</f>
        <v>1.1170998082861157</v>
      </c>
      <c r="AE3" s="159">
        <f>((L3+I3+(LOG(J3)*4/3))*0.378)</f>
        <v>5.414700978935703</v>
      </c>
      <c r="AF3" s="159">
        <f>(L3+I3+(LOG(J3)*4/3))*0.723</f>
        <v>10.35668996764686</v>
      </c>
      <c r="AG3" s="159">
        <f>AE3/2</f>
        <v>2.7073504894678515</v>
      </c>
      <c r="AH3" s="159">
        <f>(M3+I3+(LOG(J3)*4/3))*0.385</f>
        <v>1.8070732192863637</v>
      </c>
      <c r="AI3" s="159">
        <f>((L3+I3+(LOG(J3)*4/3))*0.92)</f>
        <v>13.178637303229754</v>
      </c>
      <c r="AJ3" s="159">
        <f>(L3+I3+(LOG(J3)*4/3))*0.414</f>
        <v>5.9303867864533881</v>
      </c>
      <c r="AK3" s="159">
        <f>((M3+I3+(LOG(J3)*4/3))*0.167)</f>
        <v>0.78384734446966953</v>
      </c>
      <c r="AL3" s="159">
        <f>(N3+I3+(LOG(J3)*4/3))*0.588</f>
        <v>2.8186936440009913</v>
      </c>
      <c r="AM3" s="159">
        <f>((L3+I3+(LOG(J3)*4/3))*0.754)</f>
        <v>10.800752746342646</v>
      </c>
      <c r="AN3" s="159">
        <f>((L3+I3+(LOG(J3)*4/3))*0.708)</f>
        <v>10.141820881181157</v>
      </c>
      <c r="AO3" s="159">
        <f>((Q3+I3+(LOG(J3)*4/3))*0.167)</f>
        <v>3.4274573444696692</v>
      </c>
      <c r="AP3" s="159">
        <f>((R3+I3+(LOG(J3)*4/3))*0.288)</f>
        <v>1.3716173692323967</v>
      </c>
      <c r="AQ3" s="159">
        <f>((L3+I3+(LOG(J3)*4/3))*0.27)</f>
        <v>3.867643556382645</v>
      </c>
      <c r="AR3" s="159">
        <f>((L3+I3+(LOG(J3)*4/3))*0.594)</f>
        <v>8.5088158240418181</v>
      </c>
      <c r="AS3" s="159">
        <f>AQ3/2</f>
        <v>1.9338217781913225</v>
      </c>
      <c r="AT3" s="159">
        <f>((M3+I3+(LOG(J3)*4/3))*0.944)</f>
        <v>4.430849659756694</v>
      </c>
      <c r="AU3" s="159">
        <f>((O3+I3+(LOG(J3)*4/3))*0.13)</f>
        <v>0.4814805675512398</v>
      </c>
      <c r="AV3" s="159">
        <f>((P3+I3+(LOG(J3)*4/3))*0.173)+((O3+I3+(LOG(J3)*4/3))*0.12)</f>
        <v>0.93130923643813601</v>
      </c>
      <c r="AW3" s="159">
        <f>AU3/2</f>
        <v>0.2407402837756199</v>
      </c>
      <c r="AX3" s="159">
        <f>((L3+I3+(LOG(J3)*4/3))*0.189)</f>
        <v>2.7073504894678515</v>
      </c>
      <c r="AY3" s="159">
        <f>((L3+I3+(LOG(J3)*4/3))*0.4)</f>
        <v>5.7298423057520669</v>
      </c>
      <c r="AZ3" s="159">
        <f>AX3/2</f>
        <v>1.3536752447339258</v>
      </c>
      <c r="BA3" s="159">
        <f>((M3+I3+(LOG(J3)*4/3))*1)</f>
        <v>4.6936966734710746</v>
      </c>
      <c r="BB3" s="159">
        <f>((O3+I3+(LOG(J3)*4/3))*0.253)</f>
        <v>0.93703525838818202</v>
      </c>
      <c r="BC3" s="159">
        <f>((P3+I3+(LOG(J3)*4/3))*0.21)+((O3+I3+(LOG(J3)*4/3))*0.341)</f>
        <v>1.853953533749229</v>
      </c>
      <c r="BD3" s="159">
        <f>BB3/2</f>
        <v>0.46851762919409101</v>
      </c>
      <c r="BE3" s="159">
        <f>((L3+I3+(LOG(J3)*4/3))*0.291)</f>
        <v>4.1684602774346278</v>
      </c>
      <c r="BF3" s="159">
        <f>((L3+I3+(LOG(J3)*4/3))*0.348)</f>
        <v>4.9849628060042974</v>
      </c>
      <c r="BG3" s="159">
        <f>((M3+I3+(LOG(J3)*4/3))*0.881)</f>
        <v>4.1351467693280171</v>
      </c>
      <c r="BH3" s="159">
        <f>((N3+I3+(LOG(J3)*4/3))*0.574)+((O3+I3+(LOG(J3)*4/3))*0.315)</f>
        <v>3.9182463427157854</v>
      </c>
      <c r="BI3" s="159">
        <f>((O3+I3+(LOG(J3)*4/3))*0.241)</f>
        <v>0.89259089830652905</v>
      </c>
      <c r="BJ3" s="159">
        <f>((L3+I3+(LOG(J3)*4/3))*0.485)</f>
        <v>6.9474337957243808</v>
      </c>
      <c r="BK3" s="159">
        <f>((L3+I3+(LOG(J3)*4/3))*0.264)</f>
        <v>3.7816959217963642</v>
      </c>
      <c r="BL3" s="159">
        <f>((M3+I3+(LOG(J3)*4/3))*0.381)</f>
        <v>1.7882984325924793</v>
      </c>
      <c r="BM3" s="159">
        <f>((N3+I3+(LOG(J3)*4/3))*0.673)+((O3+I3+(LOG(J3)*4/3))*0.201)</f>
        <v>3.9706008926137195</v>
      </c>
      <c r="BN3" s="159">
        <f>((O3+I3+(LOG(J3)*4/3))*0.052)</f>
        <v>0.19259222702049592</v>
      </c>
      <c r="BO3" s="159">
        <f>((L3+I3+(LOG(J3)*4/3))*0.18)</f>
        <v>2.57842903758843</v>
      </c>
      <c r="BP3" s="159">
        <f>(L3+I3+(LOG(J3)*4/3))*0.068</f>
        <v>0.97407319197785136</v>
      </c>
      <c r="BQ3" s="159">
        <f>((M3+I3+(LOG(J3)*4/3))*0.305)</f>
        <v>1.4315774854086778</v>
      </c>
      <c r="BR3" s="159">
        <f>((N3+I3+(LOG(J3)*4/3))*1)+((O3+I3+(LOG(J3)*4/3))*0.286)</f>
        <v>5.8529539220838016</v>
      </c>
      <c r="BS3" s="159">
        <f>((O3+I3+(LOG(J3)*4/3))*0.135)</f>
        <v>0.4999990509185952</v>
      </c>
      <c r="BT3" s="159">
        <f>((L3+I3+(LOG(J3)*4/3))*0.284)</f>
        <v>4.0681880370839671</v>
      </c>
      <c r="BU3" s="159">
        <f>(L3+I3+(LOG(J3)*4/3))*0.244</f>
        <v>3.4952038065087603</v>
      </c>
      <c r="BV3" s="159">
        <f>((M3+I3+(LOG(J3)*4/3))*0.455)</f>
        <v>2.1356319864293392</v>
      </c>
      <c r="BW3" s="159">
        <f>((N3+I3+(LOG(J3)*4/3))*0.864)+((O3+I3+(LOG(J3)*4/3))*0.244)</f>
        <v>5.0454559142059505</v>
      </c>
      <c r="BX3" s="159">
        <f>((O3+I3+(LOG(J3)*4/3))*0.121)</f>
        <v>0.4481472974900001</v>
      </c>
      <c r="BY3" s="159">
        <f>((L3+I3+(LOG(J3)*4/3))*0.284)</f>
        <v>4.0681880370839671</v>
      </c>
      <c r="BZ3" s="159">
        <f>((L3+I3+(LOG(J3)*4/3))*0.244)</f>
        <v>3.4952038065087603</v>
      </c>
      <c r="CA3" s="159">
        <f>((M3+I3+(LOG(J3)*4/3))*0.631)</f>
        <v>2.9617226009602482</v>
      </c>
      <c r="CB3" s="159">
        <f>((N3+I3+(LOG(J3)*4/3))*0.702)+((O3+I3+(LOG(J3)*4/3))*0.193)</f>
        <v>4.0799885227566115</v>
      </c>
      <c r="CC3" s="159">
        <f>((O3+I3+(LOG(J3)*4/3))*0.148)</f>
        <v>0.5481471076737191</v>
      </c>
      <c r="CD3" s="159">
        <f>((M3+I3+(LOG(J3)*4/3))*0.406)</f>
        <v>1.9056408494292565</v>
      </c>
      <c r="CE3" s="159">
        <f>IF(D3="TEC",((N3+I3+(LOG(J3)*4/3))*0.15)+((O3+I3+(LOG(J3)*4/3))*0.324)+((P3+I3+(LOG(J3)*4/3))*0.127),(((N3+I3+(LOG(J3)*4/3))*0.144)+((O3+I3+(LOG(J3)*4/3))*0.25)+((P3+I3+(LOG(J3)*4/3))*0.127)))</f>
        <v>1.9736265224339855</v>
      </c>
      <c r="CF3" s="159">
        <f>((O3+I3+(LOG(J3)*4/3))*0.543)+((P3+I3+(LOG(J3)*4/3))*0.583)</f>
        <v>3.6518163432173192</v>
      </c>
      <c r="CG3" s="159">
        <f>CE3</f>
        <v>1.9736265224339855</v>
      </c>
      <c r="CH3" s="159">
        <f>((P3+1+(LOG(J3)*4/3))*0.26)+((N3+I3+(LOG(J3)*4/3))*0.221)+((O3+I3+(LOG(J3)*4/3))*0.142)</f>
        <v>2.3170374720169238</v>
      </c>
      <c r="CI3" s="159">
        <f>((P3+I3+(LOG(J3)*4/3))*1)+((O3+I3+(LOG(J3)*4/3))*0.369)</f>
        <v>4.1809163015374571</v>
      </c>
      <c r="CJ3" s="159">
        <f>CH3</f>
        <v>2.3170374720169238</v>
      </c>
      <c r="CK3" s="159">
        <f>((M3+I3+(LOG(J3)*4/3))*0.25)</f>
        <v>1.1734241683677686</v>
      </c>
    </row>
    <row r="4" spans="1:89" x14ac:dyDescent="0.25">
      <c r="A4" t="str">
        <f>PLANTILLA!D6</f>
        <v>T. Hammond</v>
      </c>
      <c r="B4" s="523">
        <f>PLANTILLA!E6</f>
        <v>33</v>
      </c>
      <c r="C4" s="523">
        <f ca="1">PLANTILLA!F6</f>
        <v>98</v>
      </c>
      <c r="D4" s="523" t="str">
        <f>PLANTILLA!G6</f>
        <v>CAB</v>
      </c>
      <c r="E4" s="317">
        <v>41400</v>
      </c>
      <c r="F4" s="371">
        <f>PLANTILLA!O6</f>
        <v>5</v>
      </c>
      <c r="G4" s="439">
        <f t="shared" ref="G4:G5" si="0">(F4/7)^0.5</f>
        <v>0.84515425472851657</v>
      </c>
      <c r="H4" s="439">
        <f t="shared" ref="H4:H5" si="1">IF(F4=7,1,((F4+0.99)/7)^0.5)</f>
        <v>0.92504826128926143</v>
      </c>
      <c r="I4" s="532">
        <v>1.5</v>
      </c>
      <c r="J4" s="533">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3">
        <f>PLANTILLA!E8</f>
        <v>31</v>
      </c>
      <c r="C5" s="523">
        <f ca="1">PLANTILLA!F8</f>
        <v>34</v>
      </c>
      <c r="D5" s="523" t="str">
        <f>PLANTILLA!G8</f>
        <v>CAB</v>
      </c>
      <c r="E5" s="317">
        <v>41519</v>
      </c>
      <c r="F5" s="371">
        <f>PLANTILLA!O8</f>
        <v>5</v>
      </c>
      <c r="G5" s="439">
        <f t="shared" si="0"/>
        <v>0.84515425472851657</v>
      </c>
      <c r="H5" s="439">
        <f t="shared" si="1"/>
        <v>0.92504826128926143</v>
      </c>
      <c r="I5" s="532">
        <v>1.5</v>
      </c>
      <c r="J5" s="533">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3">
        <f>PLANTILLA!E9</f>
        <v>30</v>
      </c>
      <c r="C6" s="523">
        <f ca="1">PLANTILLA!F9</f>
        <v>100</v>
      </c>
      <c r="D6" s="523"/>
      <c r="E6" s="317">
        <v>41539</v>
      </c>
      <c r="F6" s="371">
        <f>PLANTILLA!O9</f>
        <v>6</v>
      </c>
      <c r="G6" s="439">
        <f t="shared" ref="G6:G10" si="74">(F6/7)^0.5</f>
        <v>0.92582009977255142</v>
      </c>
      <c r="H6" s="439">
        <f>IF(F6=7,1,((F6+0.99)/7)^0.5)</f>
        <v>0.99928545900129484</v>
      </c>
      <c r="I6" s="532">
        <v>1.5</v>
      </c>
      <c r="J6" s="533">
        <f>PLANTILLA!I9</f>
        <v>12.1</v>
      </c>
      <c r="K6" s="163">
        <f>PLANTILLA!V9</f>
        <v>0</v>
      </c>
      <c r="L6" s="163">
        <f>PLANTILLA!W9</f>
        <v>12.060000000000004</v>
      </c>
      <c r="M6" s="163">
        <f>PLANTILLA!X9</f>
        <v>13.020999999999999</v>
      </c>
      <c r="N6" s="163">
        <f>PLANTILLA!Y9</f>
        <v>9.7100000000000062</v>
      </c>
      <c r="O6" s="163">
        <f>PLANTILLA!Z9</f>
        <v>9.5299999999999994</v>
      </c>
      <c r="P6" s="163">
        <f>PLANTILLA!AA9</f>
        <v>3.6816666666666658</v>
      </c>
      <c r="Q6" s="163">
        <f>PLANTILLA!AB9</f>
        <v>16.627777777777773</v>
      </c>
      <c r="R6" s="163">
        <f t="shared" si="2"/>
        <v>4.2650000000000006</v>
      </c>
      <c r="S6" s="163">
        <f t="shared" si="3"/>
        <v>14.162452002310248</v>
      </c>
      <c r="T6" s="163">
        <f t="shared" si="4"/>
        <v>0.68291666666666639</v>
      </c>
      <c r="U6" s="163">
        <f t="shared" si="5"/>
        <v>0.98123333333333329</v>
      </c>
      <c r="V6" s="163">
        <f t="shared" ca="1" si="6"/>
        <v>17.656770260428765</v>
      </c>
      <c r="W6" s="163">
        <f t="shared" ca="1" si="7"/>
        <v>19.057864242208236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3.7996018908470863</v>
      </c>
      <c r="AE6" s="159">
        <f t="shared" si="15"/>
        <v>5.6714038266394917</v>
      </c>
      <c r="AF6" s="159">
        <f t="shared" si="16"/>
        <v>10.84768509698506</v>
      </c>
      <c r="AG6" s="159">
        <f t="shared" si="17"/>
        <v>2.8357019133197459</v>
      </c>
      <c r="AH6" s="159">
        <f t="shared" si="18"/>
        <v>6.1464148234291107</v>
      </c>
      <c r="AI6" s="159">
        <f t="shared" si="19"/>
        <v>13.803416720921515</v>
      </c>
      <c r="AJ6" s="159">
        <f t="shared" si="20"/>
        <v>6.2115375244146813</v>
      </c>
      <c r="AK6" s="159">
        <f t="shared" si="21"/>
        <v>2.6661072091237958</v>
      </c>
      <c r="AL6" s="159">
        <f t="shared" si="22"/>
        <v>7.4403837303281</v>
      </c>
      <c r="AM6" s="159">
        <f t="shared" si="23"/>
        <v>11.312800225624807</v>
      </c>
      <c r="AN6" s="159">
        <f t="shared" si="24"/>
        <v>10.62262938957873</v>
      </c>
      <c r="AO6" s="159">
        <f t="shared" si="25"/>
        <v>3.2684390980126845</v>
      </c>
      <c r="AP6" s="159">
        <f t="shared" si="26"/>
        <v>2.076109582201517</v>
      </c>
      <c r="AQ6" s="159">
        <f t="shared" si="27"/>
        <v>4.0510027333139229</v>
      </c>
      <c r="AR6" s="159">
        <f t="shared" si="28"/>
        <v>8.9122060132906302</v>
      </c>
      <c r="AS6" s="159">
        <f t="shared" si="29"/>
        <v>2.0255013666569615</v>
      </c>
      <c r="AT6" s="159">
        <f t="shared" si="30"/>
        <v>15.070689852771636</v>
      </c>
      <c r="AU6" s="159">
        <f t="shared" si="31"/>
        <v>1.6215827975215178</v>
      </c>
      <c r="AV6" s="159">
        <f t="shared" si="32"/>
        <v>2.6430364846702927</v>
      </c>
      <c r="AW6" s="159">
        <f t="shared" si="33"/>
        <v>0.8107913987607589</v>
      </c>
      <c r="AX6" s="159">
        <f t="shared" si="34"/>
        <v>2.8357019133197459</v>
      </c>
      <c r="AY6" s="159">
        <f t="shared" si="35"/>
        <v>6.001485530835442</v>
      </c>
      <c r="AZ6" s="159">
        <f t="shared" si="36"/>
        <v>1.4178509566598729</v>
      </c>
      <c r="BA6" s="159">
        <f t="shared" si="37"/>
        <v>15.964713827088598</v>
      </c>
      <c r="BB6" s="159">
        <f t="shared" si="38"/>
        <v>3.1558495982534156</v>
      </c>
      <c r="BC6" s="159">
        <f t="shared" si="39"/>
        <v>5.6448663187258177</v>
      </c>
      <c r="BD6" s="159">
        <f t="shared" si="40"/>
        <v>1.5779247991267078</v>
      </c>
      <c r="BE6" s="159">
        <f t="shared" si="41"/>
        <v>4.3660807236827832</v>
      </c>
      <c r="BF6" s="159">
        <f t="shared" si="42"/>
        <v>5.2212924118268331</v>
      </c>
      <c r="BG6" s="159">
        <f t="shared" si="43"/>
        <v>14.064912881665055</v>
      </c>
      <c r="BH6" s="159">
        <f t="shared" si="44"/>
        <v>11.192451592281767</v>
      </c>
      <c r="BI6" s="159">
        <f t="shared" si="45"/>
        <v>3.0061650323283522</v>
      </c>
      <c r="BJ6" s="159">
        <f t="shared" si="46"/>
        <v>7.2768012061379723</v>
      </c>
      <c r="BK6" s="159">
        <f t="shared" si="47"/>
        <v>3.9609804503513915</v>
      </c>
      <c r="BL6" s="159">
        <f t="shared" si="48"/>
        <v>6.0825559681207562</v>
      </c>
      <c r="BM6" s="159">
        <f t="shared" si="49"/>
        <v>11.023165884875441</v>
      </c>
      <c r="BN6" s="159">
        <f t="shared" si="50"/>
        <v>0.6486331190086071</v>
      </c>
      <c r="BO6" s="159">
        <f t="shared" si="51"/>
        <v>2.7006684888759485</v>
      </c>
      <c r="BP6" s="159">
        <f t="shared" si="52"/>
        <v>1.0202525402420251</v>
      </c>
      <c r="BQ6" s="159">
        <f t="shared" si="53"/>
        <v>4.8692377172620223</v>
      </c>
      <c r="BR6" s="159">
        <f t="shared" si="54"/>
        <v>16.221195981635944</v>
      </c>
      <c r="BS6" s="159">
        <f t="shared" si="55"/>
        <v>1.683951366656961</v>
      </c>
      <c r="BT6" s="159">
        <f t="shared" si="56"/>
        <v>4.2610547268931631</v>
      </c>
      <c r="BU6" s="159">
        <f t="shared" si="57"/>
        <v>3.6609061738096189</v>
      </c>
      <c r="BV6" s="159">
        <f t="shared" si="58"/>
        <v>7.2639447913253123</v>
      </c>
      <c r="BW6" s="159">
        <f t="shared" si="59"/>
        <v>13.976394920414174</v>
      </c>
      <c r="BX6" s="159">
        <f t="shared" si="60"/>
        <v>1.5093193730777203</v>
      </c>
      <c r="BY6" s="159">
        <f t="shared" si="61"/>
        <v>4.2610547268931631</v>
      </c>
      <c r="BZ6" s="159">
        <f t="shared" si="62"/>
        <v>3.6609061738096189</v>
      </c>
      <c r="CA6" s="159">
        <f t="shared" si="63"/>
        <v>10.073734424892905</v>
      </c>
      <c r="CB6" s="159">
        <f t="shared" si="64"/>
        <v>11.290333875244299</v>
      </c>
      <c r="CC6" s="159">
        <f t="shared" si="65"/>
        <v>1.8461096464091125</v>
      </c>
      <c r="CD6" s="159">
        <f t="shared" si="66"/>
        <v>6.481673813797971</v>
      </c>
      <c r="CE6" s="159">
        <f t="shared" si="67"/>
        <v>5.7819865705798277</v>
      </c>
      <c r="CF6" s="159">
        <f t="shared" si="68"/>
        <v>10.63582343596843</v>
      </c>
      <c r="CG6" s="159">
        <f t="shared" si="69"/>
        <v>5.7819865705798277</v>
      </c>
      <c r="CH6" s="159">
        <f t="shared" si="70"/>
        <v>6.1603370476095325</v>
      </c>
      <c r="CI6" s="159">
        <f t="shared" si="71"/>
        <v>11.22818089595096</v>
      </c>
      <c r="CJ6" s="159">
        <f t="shared" si="72"/>
        <v>6.1603370476095325</v>
      </c>
      <c r="CK6" s="159">
        <f t="shared" si="73"/>
        <v>3.9911784567721496</v>
      </c>
    </row>
    <row r="7" spans="1:89" x14ac:dyDescent="0.25">
      <c r="A7" t="str">
        <f>PLANTILLA!D10</f>
        <v>B. Bartolache</v>
      </c>
      <c r="B7" s="523">
        <f>PLANTILLA!E10</f>
        <v>30</v>
      </c>
      <c r="C7" s="523">
        <f ca="1">PLANTILLA!F10</f>
        <v>85</v>
      </c>
      <c r="D7" s="523"/>
      <c r="E7" s="317">
        <v>41527</v>
      </c>
      <c r="F7" s="371">
        <f>PLANTILLA!O10</f>
        <v>5</v>
      </c>
      <c r="G7" s="439">
        <f t="shared" si="74"/>
        <v>0.84515425472851657</v>
      </c>
      <c r="H7" s="439">
        <f t="shared" ref="H7:H21" si="75">IF(F7=7,1,((F7+0.99)/7)^0.5)</f>
        <v>0.92504826128926143</v>
      </c>
      <c r="I7" s="532">
        <v>1.5</v>
      </c>
      <c r="J7" s="533">
        <f>PLANTILLA!I10</f>
        <v>9.1999999999999993</v>
      </c>
      <c r="K7" s="163">
        <f>PLANTILLA!V10</f>
        <v>0</v>
      </c>
      <c r="L7" s="163">
        <f>PLANTILLA!W10</f>
        <v>11.649999999999997</v>
      </c>
      <c r="M7" s="163">
        <f>PLANTILLA!X10</f>
        <v>6.6275000000000022</v>
      </c>
      <c r="N7" s="163">
        <f>PLANTILLA!Y10</f>
        <v>7.2200000000000015</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15.115626472408907</v>
      </c>
      <c r="W7" s="163">
        <f t="shared" ca="1" si="7"/>
        <v>16.544534809318755</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5.8829696566389158</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9.4614898380135983</v>
      </c>
      <c r="BI7" s="159">
        <f t="shared" si="45"/>
        <v>2.8450171551870378</v>
      </c>
      <c r="BJ7" s="159">
        <f t="shared" si="46"/>
        <v>7.000999461683457</v>
      </c>
      <c r="BK7" s="159">
        <f t="shared" si="47"/>
        <v>3.8108533152256348</v>
      </c>
      <c r="BL7" s="159">
        <f t="shared" si="48"/>
        <v>3.5861817162915424</v>
      </c>
      <c r="BM7" s="159">
        <f t="shared" si="49"/>
        <v>9.106214081466689</v>
      </c>
      <c r="BN7" s="159">
        <f t="shared" si="50"/>
        <v>0.61386262269595826</v>
      </c>
      <c r="BO7" s="159">
        <f t="shared" si="51"/>
        <v>2.5983090785629326</v>
      </c>
      <c r="BP7" s="159">
        <f t="shared" si="52"/>
        <v>0.9815834296793301</v>
      </c>
      <c r="BQ7" s="159">
        <f t="shared" si="53"/>
        <v>2.8708278831205258</v>
      </c>
      <c r="BR7" s="159">
        <f t="shared" si="54"/>
        <v>13.381294861288513</v>
      </c>
      <c r="BS7" s="159">
        <f t="shared" si="55"/>
        <v>1.5936818089221996</v>
      </c>
      <c r="BT7" s="159">
        <f t="shared" si="56"/>
        <v>4.0995543239548491</v>
      </c>
      <c r="BU7" s="159">
        <f t="shared" si="57"/>
        <v>3.5221523064964195</v>
      </c>
      <c r="BV7" s="159">
        <f t="shared" si="58"/>
        <v>4.2827104485896372</v>
      </c>
      <c r="BW7" s="159">
        <f t="shared" si="59"/>
        <v>11.5247958835985</v>
      </c>
      <c r="BX7" s="159">
        <f t="shared" si="60"/>
        <v>1.4284111028117492</v>
      </c>
      <c r="BY7" s="159">
        <f t="shared" si="61"/>
        <v>4.0995543239548491</v>
      </c>
      <c r="BZ7" s="159">
        <f t="shared" si="62"/>
        <v>3.5221523064964195</v>
      </c>
      <c r="CA7" s="159">
        <f t="shared" si="63"/>
        <v>5.9393193254067276</v>
      </c>
      <c r="CB7" s="159">
        <f t="shared" si="64"/>
        <v>9.3019201406323617</v>
      </c>
      <c r="CC7" s="159">
        <f t="shared" si="65"/>
        <v>1.7471474645961891</v>
      </c>
      <c r="CD7" s="159">
        <f t="shared" si="66"/>
        <v>3.8214954772030612</v>
      </c>
      <c r="CE7" s="159">
        <f t="shared" si="67"/>
        <v>5.3324312773960454</v>
      </c>
      <c r="CF7" s="159">
        <f t="shared" si="68"/>
        <v>10.727286791454791</v>
      </c>
      <c r="CG7" s="159">
        <f t="shared" si="69"/>
        <v>5.3324312773960454</v>
      </c>
      <c r="CH7" s="159">
        <f t="shared" si="70"/>
        <v>5.6827464219150405</v>
      </c>
      <c r="CI7" s="159">
        <f t="shared" si="71"/>
        <v>11.761114047514749</v>
      </c>
      <c r="CJ7" s="159">
        <f t="shared" si="72"/>
        <v>5.6827464219150405</v>
      </c>
      <c r="CK7" s="159">
        <f t="shared" si="73"/>
        <v>2.3531376091151852</v>
      </c>
    </row>
    <row r="8" spans="1:89" x14ac:dyDescent="0.25">
      <c r="A8" t="str">
        <f>PLANTILLA!D11</f>
        <v>F. Lasprilla</v>
      </c>
      <c r="B8" s="523">
        <f>PLANTILLA!E11</f>
        <v>26</v>
      </c>
      <c r="C8" s="523">
        <f ca="1">PLANTILLA!F11</f>
        <v>108</v>
      </c>
      <c r="D8" s="523"/>
      <c r="E8" s="317">
        <v>42106</v>
      </c>
      <c r="F8" s="371">
        <f>PLANTILLA!O11</f>
        <v>4</v>
      </c>
      <c r="G8" s="439">
        <f t="shared" si="74"/>
        <v>0.7559289460184544</v>
      </c>
      <c r="H8" s="439">
        <f t="shared" si="75"/>
        <v>0.84430867747355465</v>
      </c>
      <c r="I8" s="532">
        <v>1.5</v>
      </c>
      <c r="J8" s="533">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11.459240530681024</v>
      </c>
      <c r="W8" s="163">
        <f t="shared" ca="1" si="7"/>
        <v>12.799002165839077</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3">
        <f>PLANTILLA!E7</f>
        <v>29</v>
      </c>
      <c r="C9" s="523">
        <f ca="1">PLANTILLA!F7</f>
        <v>101</v>
      </c>
      <c r="D9" s="523" t="str">
        <f>PLANTILLA!G7</f>
        <v>CAB</v>
      </c>
      <c r="E9" s="317">
        <v>42716</v>
      </c>
      <c r="F9" s="371">
        <f>PLANTILLA!O7</f>
        <v>6</v>
      </c>
      <c r="G9" s="439">
        <f>(F9/7)^0.5</f>
        <v>0.92582009977255142</v>
      </c>
      <c r="H9" s="439">
        <f>IF(F9=7,1,((F9+0.99)/7)^0.5)</f>
        <v>0.99928545900129484</v>
      </c>
      <c r="I9" s="532">
        <v>1</v>
      </c>
      <c r="J9" s="533">
        <f>PLANTILLA!I7</f>
        <v>14</v>
      </c>
      <c r="K9" s="163">
        <f>PLANTILLA!V7</f>
        <v>0</v>
      </c>
      <c r="L9" s="163">
        <f>PLANTILLA!W7</f>
        <v>14.200000000000003</v>
      </c>
      <c r="M9" s="163">
        <f>PLANTILLA!X7</f>
        <v>9.283333333333335</v>
      </c>
      <c r="N9" s="163">
        <f>PLANTILLA!Y7</f>
        <v>14.249999999999996</v>
      </c>
      <c r="O9" s="163">
        <f>PLANTILLA!Z7</f>
        <v>9.3499999999999979</v>
      </c>
      <c r="P9" s="163">
        <f>PLANTILLA!AA7</f>
        <v>1.1428571428571428</v>
      </c>
      <c r="Q9" s="163">
        <f>PLANTILLA!AB7</f>
        <v>9.4</v>
      </c>
      <c r="R9" s="163">
        <f>((2*(O9+1))+(L9+1))/8</f>
        <v>4.4874999999999998</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2.0205131657004434</v>
      </c>
      <c r="AQ9" s="159">
        <f>((L9+I9+(LOG(J9)*4/3))*0.27)</f>
        <v>4.5166060928441665</v>
      </c>
      <c r="AR9" s="159">
        <f>((L9+I9+(LOG(J9)*4/3))*0.594)</f>
        <v>9.9365334042571654</v>
      </c>
      <c r="AS9" s="159">
        <f>AQ9/2</f>
        <v>2.2583030464220832</v>
      </c>
      <c r="AT9" s="159">
        <f>((M9+I9+(LOG(J9)*4/3))*0.944)</f>
        <v>11.150059820907009</v>
      </c>
      <c r="AU9" s="159">
        <f>((O9+I9+(LOG(J9)*4/3))*0.13)</f>
        <v>1.5441621928508942</v>
      </c>
      <c r="AV9" s="159">
        <f>((P9+I9+(LOG(J9)*4/3))*0.173)+((O9+I9+(LOG(J9)*4/3))*0.12)</f>
        <v>2.0604683049859167</v>
      </c>
      <c r="AW9" s="159">
        <f>AU9/2</f>
        <v>0.77208109642544709</v>
      </c>
      <c r="AX9" s="159">
        <f>((L9+I9+(LOG(J9)*4/3))*0.189)</f>
        <v>3.1616242649909165</v>
      </c>
      <c r="AY9" s="159">
        <f>((L9+I9+(LOG(J9)*4/3))*0.4)</f>
        <v>6.6912682856950614</v>
      </c>
      <c r="AZ9" s="159">
        <f>AX9/2</f>
        <v>1.5808121324954583</v>
      </c>
      <c r="BA9" s="159">
        <f>((M9+I9+(LOG(J9)*4/3))*1)</f>
        <v>11.811504047570985</v>
      </c>
      <c r="BB9" s="159">
        <f>((O9+I9+(LOG(J9)*4/3))*0.253)</f>
        <v>3.005177190702125</v>
      </c>
      <c r="BC9" s="159">
        <f>((P9+I9+(LOG(J9)*4/3))*0.21)+((O9+I9+(LOG(J9)*4/3))*0.341)</f>
        <v>4.8213720635449446</v>
      </c>
      <c r="BD9" s="159">
        <f>BB9/2</f>
        <v>1.5025885953510625</v>
      </c>
      <c r="BE9" s="159">
        <f>((L9+I9+(LOG(J9)*4/3))*0.291)</f>
        <v>4.8678976778431569</v>
      </c>
      <c r="BF9" s="159">
        <f>((L9+I9+(LOG(J9)*4/3))*0.348)</f>
        <v>5.8214034085547031</v>
      </c>
      <c r="BG9" s="159">
        <f>((M9+I9+(LOG(J9)*4/3))*0.881)</f>
        <v>10.405935065910038</v>
      </c>
      <c r="BH9" s="159">
        <f>((N9+I9+(LOG(J9)*4/3))*0.574)+((O9+I9+(LOG(J9)*4/3))*0.315)</f>
        <v>13.372293764957266</v>
      </c>
      <c r="BI9" s="159">
        <f>((O9+I9+(LOG(J9)*4/3))*0.241)</f>
        <v>2.8626391421312731</v>
      </c>
      <c r="BJ9" s="159">
        <f>((L9+I9+(LOG(J9)*4/3))*0.485)</f>
        <v>8.1131627964052608</v>
      </c>
      <c r="BK9" s="159">
        <f>((L9+I9+(LOG(J9)*4/3))*0.264)</f>
        <v>4.4162370685587407</v>
      </c>
      <c r="BL9" s="159">
        <f>((M9+I9+(LOG(J9)*4/3))*0.381)</f>
        <v>4.5001830421245455</v>
      </c>
      <c r="BM9" s="159">
        <f>((N9+I9+(LOG(J9)*4/3))*0.673)+((O9+I9+(LOG(J9)*4/3))*0.201)</f>
        <v>13.679221204243705</v>
      </c>
      <c r="BN9" s="159">
        <f>((O9+I9+(LOG(J9)*4/3))*0.052)</f>
        <v>0.61766487714035767</v>
      </c>
      <c r="BO9" s="159">
        <f>((L9+I9+(LOG(J9)*4/3))*0.18)</f>
        <v>3.0110707285627774</v>
      </c>
      <c r="BP9" s="159">
        <f>(L9+I9+(LOG(J9)*4/3))*0.068</f>
        <v>1.1375156085681604</v>
      </c>
      <c r="BQ9" s="159">
        <f>((M9+I9+(LOG(J9)*4/3))*0.305)</f>
        <v>3.6025087345091502</v>
      </c>
      <c r="BR9" s="159">
        <f>((N9+I9+(LOG(J9)*4/3))*1)+((O9+I9+(LOG(J9)*4/3))*0.286)</f>
        <v>20.175327538509613</v>
      </c>
      <c r="BS9" s="159">
        <f>((O9+I9+(LOG(J9)*4/3))*0.135)</f>
        <v>1.6035530464220826</v>
      </c>
      <c r="BT9" s="159">
        <f t="shared" si="56"/>
        <v>4.7508004828434931</v>
      </c>
      <c r="BU9" s="159">
        <f t="shared" si="57"/>
        <v>4.0816736542739873</v>
      </c>
      <c r="BV9" s="159">
        <f t="shared" si="58"/>
        <v>5.3742343416447982</v>
      </c>
      <c r="BW9" s="159">
        <f t="shared" si="59"/>
        <v>17.39461315137531</v>
      </c>
      <c r="BX9" s="159">
        <f t="shared" si="60"/>
        <v>1.4372586564227554</v>
      </c>
      <c r="BY9" s="159">
        <f>((L9+I9+(LOG(J9)*4/3))*0.284)</f>
        <v>4.7508004828434931</v>
      </c>
      <c r="BZ9" s="159">
        <f>((L9+I9+(LOG(J9)*4/3))*0.244)</f>
        <v>4.0816736542739873</v>
      </c>
      <c r="CA9" s="159">
        <f>((M9+I9+(LOG(J9)*4/3))*0.631)</f>
        <v>7.4530590540172916</v>
      </c>
      <c r="CB9" s="159">
        <f>((N9+I9+(LOG(J9)*4/3))*0.702)+((O9+I9+(LOG(J9)*4/3))*0.193)</f>
        <v>14.070762789242693</v>
      </c>
      <c r="CC9" s="159">
        <f>((O9+I9+(LOG(J9)*4/3))*0.148)</f>
        <v>1.7579692657071717</v>
      </c>
      <c r="CD9" s="159">
        <f>((M9+I9+(LOG(J9)*4/3))*0.406)</f>
        <v>4.7954706433138199</v>
      </c>
      <c r="CE9" s="159">
        <f>IF(D9="TEC",((N9+I9+(LOG(J9)*4/3))*0.15)+((O9+I9+(LOG(J9)*4/3))*0.324)+((P9+I9+(LOG(J9)*4/3))*0.127),(((N9+I9+(LOG(J9)*4/3))*0.144)+((O9+I9+(LOG(J9)*4/3))*0.25)+((P9+I9+(LOG(J9)*4/3))*0.127)))</f>
        <v>5.8518197992606718</v>
      </c>
      <c r="CF9" s="159">
        <f>((O9+I9+(LOG(J9)*4/3))*0.543)+((P9+I9+(LOG(J9)*4/3))*0.583)</f>
        <v>8.5900559385173061</v>
      </c>
      <c r="CG9" s="159">
        <f>CE9</f>
        <v>5.8518197992606718</v>
      </c>
      <c r="CH9" s="159">
        <f>((P9+1+(LOG(J9)*4/3))*0.26)+((N9+I9+(LOG(J9)*4/3))*0.221)+((O9+I9+(LOG(J9)*4/3))*0.142)</f>
        <v>6.3491432121129119</v>
      </c>
      <c r="CI9" s="159">
        <f>((P9+I9+(LOG(J9)*4/3))*1)+((O9+I9+(LOG(J9)*4/3))*0.369)</f>
        <v>8.0540728506484847</v>
      </c>
      <c r="CJ9" s="159">
        <f>CH9</f>
        <v>6.3491432121129119</v>
      </c>
      <c r="CK9" s="159">
        <f>((M9+I9+(LOG(J9)*4/3))*0.25)</f>
        <v>2.9528760118927462</v>
      </c>
    </row>
    <row r="10" spans="1:89" x14ac:dyDescent="0.25">
      <c r="A10" t="str">
        <f>PLANTILLA!D12</f>
        <v>E. Romweber</v>
      </c>
      <c r="B10" s="523">
        <f>PLANTILLA!E12</f>
        <v>30</v>
      </c>
      <c r="C10" s="523">
        <f ca="1">PLANTILLA!F12</f>
        <v>62</v>
      </c>
      <c r="D10" s="523" t="str">
        <f>PLANTILLA!G12</f>
        <v>IMP</v>
      </c>
      <c r="E10" s="317">
        <v>41583</v>
      </c>
      <c r="F10" s="371">
        <f>PLANTILLA!O12</f>
        <v>4</v>
      </c>
      <c r="G10" s="439">
        <f t="shared" si="74"/>
        <v>0.7559289460184544</v>
      </c>
      <c r="H10" s="439">
        <f t="shared" si="75"/>
        <v>0.84430867747355465</v>
      </c>
      <c r="I10" s="532">
        <v>1.5</v>
      </c>
      <c r="J10" s="533">
        <f>PLANTILLA!I12</f>
        <v>12.2</v>
      </c>
      <c r="K10" s="163">
        <f>PLANTILLA!V12</f>
        <v>0</v>
      </c>
      <c r="L10" s="163">
        <f>PLANTILLA!W12</f>
        <v>11.99</v>
      </c>
      <c r="M10" s="163">
        <f>PLANTILLA!X12</f>
        <v>12.399111111111115</v>
      </c>
      <c r="N10" s="163">
        <f>PLANTILLA!Y12</f>
        <v>13.05</v>
      </c>
      <c r="O10" s="163">
        <f>PLANTILLA!Z12</f>
        <v>10.84</v>
      </c>
      <c r="P10" s="163">
        <f>PLANTILLA!AA12</f>
        <v>7.7700000000000005</v>
      </c>
      <c r="Q10" s="163">
        <f>PLANTILLA!AB12</f>
        <v>17.13</v>
      </c>
      <c r="R10" s="163">
        <f t="shared" si="2"/>
        <v>4.5837500000000002</v>
      </c>
      <c r="S10" s="163">
        <f t="shared" si="3"/>
        <v>21.235840301054928</v>
      </c>
      <c r="T10" s="163">
        <f t="shared" si="4"/>
        <v>0.90239999999999987</v>
      </c>
      <c r="U10" s="163">
        <f t="shared" si="5"/>
        <v>0.99349999999999983</v>
      </c>
      <c r="V10" s="163">
        <f t="shared" ca="1" si="6"/>
        <v>14.799939580379576</v>
      </c>
      <c r="W10" s="163">
        <f t="shared" ca="1" si="7"/>
        <v>16.5302803651254</v>
      </c>
      <c r="X10" s="159">
        <f t="shared" si="8"/>
        <v>5.8832628429054079</v>
      </c>
      <c r="Y10" s="159">
        <f t="shared" si="9"/>
        <v>8.9022373885348003</v>
      </c>
      <c r="Z10" s="159">
        <f t="shared" si="10"/>
        <v>5.8832628429054079</v>
      </c>
      <c r="AA10" s="159">
        <f t="shared" si="11"/>
        <v>7.7082555635042276</v>
      </c>
      <c r="AB10" s="159">
        <f t="shared" si="12"/>
        <v>14.938479774232999</v>
      </c>
      <c r="AC10" s="159">
        <f t="shared" si="13"/>
        <v>3.8541277817521138</v>
      </c>
      <c r="AD10" s="159">
        <f t="shared" si="14"/>
        <v>3.6527266307118982</v>
      </c>
      <c r="AE10" s="159">
        <f t="shared" si="15"/>
        <v>5.6467453546600739</v>
      </c>
      <c r="AF10" s="159">
        <f t="shared" si="16"/>
        <v>10.800520876770458</v>
      </c>
      <c r="AG10" s="159">
        <f t="shared" si="17"/>
        <v>2.8233726773300369</v>
      </c>
      <c r="AH10" s="159">
        <f t="shared" si="18"/>
        <v>5.9088224908574833</v>
      </c>
      <c r="AI10" s="159">
        <f t="shared" si="19"/>
        <v>13.743401392294359</v>
      </c>
      <c r="AJ10" s="159">
        <f t="shared" si="20"/>
        <v>6.1845306265324611</v>
      </c>
      <c r="AK10" s="159">
        <f t="shared" si="21"/>
        <v>2.5630476778524667</v>
      </c>
      <c r="AL10" s="159">
        <f t="shared" si="22"/>
        <v>9.4071061072490014</v>
      </c>
      <c r="AM10" s="159">
        <f t="shared" si="23"/>
        <v>11.263613749771681</v>
      </c>
      <c r="AN10" s="159">
        <f t="shared" si="24"/>
        <v>10.576443680156963</v>
      </c>
      <c r="AO10" s="159">
        <f t="shared" si="25"/>
        <v>3.3531061222969103</v>
      </c>
      <c r="AP10" s="159">
        <f t="shared" si="26"/>
        <v>2.1692821749791031</v>
      </c>
      <c r="AQ10" s="159">
        <f t="shared" si="27"/>
        <v>4.0333895390429095</v>
      </c>
      <c r="AR10" s="159">
        <f t="shared" si="28"/>
        <v>8.8734569858944017</v>
      </c>
      <c r="AS10" s="159">
        <f t="shared" si="29"/>
        <v>2.0166947695214548</v>
      </c>
      <c r="AT10" s="159">
        <f t="shared" si="30"/>
        <v>14.488125795764841</v>
      </c>
      <c r="AU10" s="159">
        <f t="shared" si="31"/>
        <v>1.7925023706502896</v>
      </c>
      <c r="AV10" s="159">
        <f t="shared" si="32"/>
        <v>3.5089145738502676</v>
      </c>
      <c r="AW10" s="159">
        <f t="shared" si="33"/>
        <v>0.89625118532514481</v>
      </c>
      <c r="AX10" s="159">
        <f t="shared" si="34"/>
        <v>2.8233726773300369</v>
      </c>
      <c r="AY10" s="159">
        <f t="shared" si="35"/>
        <v>5.9753919096932</v>
      </c>
      <c r="AZ10" s="159">
        <f t="shared" si="36"/>
        <v>1.4116863386650185</v>
      </c>
      <c r="BA10" s="159">
        <f t="shared" si="37"/>
        <v>15.347590885344111</v>
      </c>
      <c r="BB10" s="159">
        <f t="shared" si="38"/>
        <v>3.4884853828809481</v>
      </c>
      <c r="BC10" s="159">
        <f t="shared" si="39"/>
        <v>6.9527523556023816</v>
      </c>
      <c r="BD10" s="159">
        <f t="shared" si="40"/>
        <v>1.7442426914404741</v>
      </c>
      <c r="BE10" s="159">
        <f t="shared" si="41"/>
        <v>4.3470976143018021</v>
      </c>
      <c r="BF10" s="159">
        <f t="shared" si="42"/>
        <v>5.1985909614330827</v>
      </c>
      <c r="BG10" s="159">
        <f t="shared" si="43"/>
        <v>13.521227569988161</v>
      </c>
      <c r="BH10" s="159">
        <f t="shared" si="44"/>
        <v>13.526498519293133</v>
      </c>
      <c r="BI10" s="159">
        <f t="shared" si="45"/>
        <v>3.3230236255901522</v>
      </c>
      <c r="BJ10" s="159">
        <f t="shared" si="46"/>
        <v>7.2451626905030038</v>
      </c>
      <c r="BK10" s="159">
        <f t="shared" si="47"/>
        <v>3.9437586603975117</v>
      </c>
      <c r="BL10" s="159">
        <f t="shared" si="48"/>
        <v>5.8474321273161065</v>
      </c>
      <c r="BM10" s="159">
        <f t="shared" si="49"/>
        <v>13.538461322679641</v>
      </c>
      <c r="BN10" s="159">
        <f t="shared" si="50"/>
        <v>0.71700094826011573</v>
      </c>
      <c r="BO10" s="159">
        <f t="shared" si="51"/>
        <v>2.6889263593619397</v>
      </c>
      <c r="BP10" s="159">
        <f t="shared" si="52"/>
        <v>1.0158166246478439</v>
      </c>
      <c r="BQ10" s="159">
        <f t="shared" si="53"/>
        <v>4.6810152200299537</v>
      </c>
      <c r="BR10" s="159">
        <f t="shared" si="54"/>
        <v>19.941984989663634</v>
      </c>
      <c r="BS10" s="159">
        <f t="shared" si="55"/>
        <v>1.8614447695214547</v>
      </c>
      <c r="BT10" s="159">
        <f t="shared" si="56"/>
        <v>4.2425282558821715</v>
      </c>
      <c r="BU10" s="159">
        <f t="shared" si="57"/>
        <v>3.6449890649128518</v>
      </c>
      <c r="BV10" s="159">
        <f t="shared" si="58"/>
        <v>6.9831538528315704</v>
      </c>
      <c r="BW10" s="159">
        <f t="shared" si="59"/>
        <v>17.18707558985016</v>
      </c>
      <c r="BX10" s="159">
        <f t="shared" si="60"/>
        <v>1.6684060526821924</v>
      </c>
      <c r="BY10" s="159">
        <f t="shared" si="61"/>
        <v>4.2425282558821715</v>
      </c>
      <c r="BZ10" s="159">
        <f t="shared" si="62"/>
        <v>3.6449890649128518</v>
      </c>
      <c r="CA10" s="159">
        <f t="shared" si="63"/>
        <v>9.6843298486521334</v>
      </c>
      <c r="CB10" s="159">
        <f t="shared" si="64"/>
        <v>13.892109397938533</v>
      </c>
      <c r="CC10" s="159">
        <f t="shared" si="65"/>
        <v>2.0406950065864833</v>
      </c>
      <c r="CD10" s="159">
        <f t="shared" si="66"/>
        <v>6.2311218994497093</v>
      </c>
      <c r="CE10" s="159">
        <f t="shared" si="67"/>
        <v>7.1121479623753912</v>
      </c>
      <c r="CF10" s="159">
        <f t="shared" si="68"/>
        <v>13.736018225786353</v>
      </c>
      <c r="CG10" s="159">
        <f t="shared" si="69"/>
        <v>7.1121479623753912</v>
      </c>
      <c r="CH10" s="159">
        <f t="shared" si="70"/>
        <v>8.1504328993471571</v>
      </c>
      <c r="CI10" s="159">
        <f t="shared" si="71"/>
        <v>15.806428810924972</v>
      </c>
      <c r="CJ10" s="159">
        <f t="shared" si="72"/>
        <v>8.1504328993471571</v>
      </c>
      <c r="CK10" s="159">
        <f t="shared" si="73"/>
        <v>3.8368977213360278</v>
      </c>
    </row>
    <row r="11" spans="1:89" x14ac:dyDescent="0.25">
      <c r="A11" t="str">
        <f>PLANTILLA!D13</f>
        <v>K. Helms</v>
      </c>
      <c r="B11" s="523">
        <f>PLANTILLA!E13</f>
        <v>30</v>
      </c>
      <c r="C11" s="523">
        <f ca="1">PLANTILLA!F13</f>
        <v>9</v>
      </c>
      <c r="D11" s="523" t="str">
        <f>PLANTILLA!G13</f>
        <v>TEC</v>
      </c>
      <c r="E11" s="317">
        <v>41722</v>
      </c>
      <c r="F11" s="371">
        <f>PLANTILLA!O13</f>
        <v>6</v>
      </c>
      <c r="G11" s="439">
        <f t="shared" ref="G11:G21" si="78">(F11/7)^0.5</f>
        <v>0.92582009977255142</v>
      </c>
      <c r="H11" s="439">
        <f t="shared" si="75"/>
        <v>0.99928545900129484</v>
      </c>
      <c r="I11" s="532">
        <v>1.5</v>
      </c>
      <c r="J11" s="533">
        <f>PLANTILLA!I13</f>
        <v>10.199999999999999</v>
      </c>
      <c r="K11" s="163">
        <f>PLANTILLA!V13</f>
        <v>0</v>
      </c>
      <c r="L11" s="163">
        <f>PLANTILLA!W13</f>
        <v>7.11</v>
      </c>
      <c r="M11" s="163">
        <f>PLANTILLA!X13</f>
        <v>10.250000000000004</v>
      </c>
      <c r="N11" s="163">
        <f>PLANTILLA!Y13</f>
        <v>13.305</v>
      </c>
      <c r="O11" s="163">
        <f>PLANTILLA!Z13</f>
        <v>10.289999999999997</v>
      </c>
      <c r="P11" s="163">
        <f>PLANTILLA!AA13</f>
        <v>5.4050000000000002</v>
      </c>
      <c r="Q11" s="163">
        <f>PLANTILLA!AB13</f>
        <v>17.300000000000004</v>
      </c>
      <c r="R11" s="163">
        <f t="shared" si="2"/>
        <v>3.8362499999999993</v>
      </c>
      <c r="S11" s="163">
        <f t="shared" si="3"/>
        <v>17.174308506125115</v>
      </c>
      <c r="T11" s="163">
        <f t="shared" si="4"/>
        <v>0.78925000000000023</v>
      </c>
      <c r="U11" s="163">
        <f t="shared" si="5"/>
        <v>0.80340000000000023</v>
      </c>
      <c r="V11" s="163">
        <f t="shared" ca="1" si="6"/>
        <v>18.187550908039334</v>
      </c>
      <c r="W11" s="163">
        <f t="shared" ca="1" si="7"/>
        <v>19.63076321384089</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3.1165624545057824</v>
      </c>
      <c r="AE11" s="159">
        <f t="shared" si="15"/>
        <v>3.7629144865680062</v>
      </c>
      <c r="AF11" s="159">
        <f t="shared" si="16"/>
        <v>7.1973205655784875</v>
      </c>
      <c r="AG11" s="159">
        <f t="shared" si="17"/>
        <v>1.8814572432840031</v>
      </c>
      <c r="AH11" s="159">
        <f t="shared" si="18"/>
        <v>5.0414980881711191</v>
      </c>
      <c r="AI11" s="159">
        <f t="shared" si="19"/>
        <v>9.1584162106946181</v>
      </c>
      <c r="AJ11" s="159">
        <f t="shared" si="20"/>
        <v>4.1212872948125776</v>
      </c>
      <c r="AK11" s="159">
        <f t="shared" si="21"/>
        <v>2.1868316382456543</v>
      </c>
      <c r="AL11" s="159">
        <f t="shared" si="22"/>
        <v>9.4960825346613422</v>
      </c>
      <c r="AM11" s="159">
        <f t="shared" si="23"/>
        <v>7.5059193726779805</v>
      </c>
      <c r="AN11" s="159">
        <f t="shared" si="24"/>
        <v>7.047998562143249</v>
      </c>
      <c r="AO11" s="159">
        <f t="shared" si="25"/>
        <v>3.3641816382456544</v>
      </c>
      <c r="AP11" s="159">
        <f t="shared" si="26"/>
        <v>1.924142465956576</v>
      </c>
      <c r="AQ11" s="159">
        <f t="shared" si="27"/>
        <v>2.6877960618342902</v>
      </c>
      <c r="AR11" s="159">
        <f t="shared" si="28"/>
        <v>5.9131513360354377</v>
      </c>
      <c r="AS11" s="159">
        <f t="shared" si="29"/>
        <v>1.3438980309171451</v>
      </c>
      <c r="AT11" s="159">
        <f t="shared" si="30"/>
        <v>12.361491416191003</v>
      </c>
      <c r="AU11" s="159">
        <f t="shared" si="31"/>
        <v>1.7075240297720655</v>
      </c>
      <c r="AV11" s="159">
        <f t="shared" si="32"/>
        <v>3.0033914671016548</v>
      </c>
      <c r="AW11" s="159">
        <f t="shared" si="33"/>
        <v>0.85376201488603276</v>
      </c>
      <c r="AX11" s="159">
        <f t="shared" si="34"/>
        <v>1.8814572432840031</v>
      </c>
      <c r="AY11" s="159">
        <f t="shared" si="35"/>
        <v>3.981920091606356</v>
      </c>
      <c r="AZ11" s="159">
        <f t="shared" si="36"/>
        <v>0.94072862164200155</v>
      </c>
      <c r="BA11" s="159">
        <f t="shared" si="37"/>
        <v>13.094800229015894</v>
      </c>
      <c r="BB11" s="159">
        <f t="shared" si="38"/>
        <v>3.3231044579410196</v>
      </c>
      <c r="BC11" s="159">
        <f t="shared" si="39"/>
        <v>6.211424926187755</v>
      </c>
      <c r="BD11" s="159">
        <f t="shared" si="40"/>
        <v>1.6615522289705098</v>
      </c>
      <c r="BE11" s="159">
        <f t="shared" si="41"/>
        <v>2.8968468666436236</v>
      </c>
      <c r="BF11" s="159">
        <f t="shared" si="42"/>
        <v>3.4642704796975292</v>
      </c>
      <c r="BG11" s="159">
        <f t="shared" si="43"/>
        <v>11.536519001763002</v>
      </c>
      <c r="BH11" s="159">
        <f t="shared" si="44"/>
        <v>13.407447403595125</v>
      </c>
      <c r="BI11" s="159">
        <f t="shared" si="45"/>
        <v>3.1654868551928286</v>
      </c>
      <c r="BJ11" s="159">
        <f t="shared" si="46"/>
        <v>4.8280781110727062</v>
      </c>
      <c r="BK11" s="159">
        <f t="shared" si="47"/>
        <v>2.6280672604601949</v>
      </c>
      <c r="BL11" s="159">
        <f t="shared" si="48"/>
        <v>4.9891188872550556</v>
      </c>
      <c r="BM11" s="159">
        <f t="shared" si="49"/>
        <v>13.508910400159886</v>
      </c>
      <c r="BN11" s="159">
        <f t="shared" si="50"/>
        <v>0.68300961190882614</v>
      </c>
      <c r="BO11" s="159">
        <f t="shared" si="51"/>
        <v>1.7918640412228601</v>
      </c>
      <c r="BP11" s="159">
        <f t="shared" si="52"/>
        <v>0.67692641557308053</v>
      </c>
      <c r="BQ11" s="159">
        <f t="shared" si="53"/>
        <v>3.9939140698498474</v>
      </c>
      <c r="BR11" s="159">
        <f t="shared" si="54"/>
        <v>19.906353094514433</v>
      </c>
      <c r="BS11" s="159">
        <f t="shared" si="55"/>
        <v>1.7731980309171449</v>
      </c>
      <c r="BT11" s="159">
        <f t="shared" si="56"/>
        <v>2.8271632650405123</v>
      </c>
      <c r="BU11" s="159">
        <f t="shared" si="57"/>
        <v>2.4289712558798771</v>
      </c>
      <c r="BV11" s="159">
        <f t="shared" si="58"/>
        <v>5.958134104202232</v>
      </c>
      <c r="BW11" s="159">
        <f t="shared" si="59"/>
        <v>17.158318653749603</v>
      </c>
      <c r="BX11" s="159">
        <f t="shared" si="60"/>
        <v>1.5893108277109222</v>
      </c>
      <c r="BY11" s="159">
        <f t="shared" si="61"/>
        <v>2.8271632650405123</v>
      </c>
      <c r="BZ11" s="159">
        <f t="shared" si="62"/>
        <v>2.4289712558798771</v>
      </c>
      <c r="CA11" s="159">
        <f t="shared" si="63"/>
        <v>8.2628189445090285</v>
      </c>
      <c r="CB11" s="159">
        <f t="shared" si="64"/>
        <v>13.872176204969218</v>
      </c>
      <c r="CC11" s="159">
        <f t="shared" si="65"/>
        <v>1.9439504338943512</v>
      </c>
      <c r="CD11" s="159">
        <f t="shared" si="66"/>
        <v>5.3164888929804528</v>
      </c>
      <c r="CE11" s="159">
        <f t="shared" si="67"/>
        <v>7.7258699376385476</v>
      </c>
      <c r="CF11" s="159">
        <f t="shared" si="68"/>
        <v>11.94183005787189</v>
      </c>
      <c r="CG11" s="159">
        <f t="shared" si="69"/>
        <v>7.7258699376385476</v>
      </c>
      <c r="CH11" s="159">
        <f t="shared" si="70"/>
        <v>7.4491955426768985</v>
      </c>
      <c r="CI11" s="159">
        <f t="shared" si="71"/>
        <v>13.096541513522752</v>
      </c>
      <c r="CJ11" s="159">
        <f t="shared" si="72"/>
        <v>7.4491955426768985</v>
      </c>
      <c r="CK11" s="159">
        <f t="shared" si="73"/>
        <v>3.2737000572539734</v>
      </c>
    </row>
    <row r="12" spans="1:89" x14ac:dyDescent="0.25">
      <c r="A12" t="str">
        <f>PLANTILLA!D14</f>
        <v>S. Zobbe</v>
      </c>
      <c r="B12" s="523">
        <f>PLANTILLA!E14</f>
        <v>27</v>
      </c>
      <c r="C12" s="523">
        <f ca="1">PLANTILLA!F14</f>
        <v>24</v>
      </c>
      <c r="D12" s="523" t="str">
        <f>PLANTILLA!G14</f>
        <v>CAB</v>
      </c>
      <c r="E12" s="317">
        <v>41911</v>
      </c>
      <c r="F12" s="371">
        <f>PLANTILLA!O14</f>
        <v>3</v>
      </c>
      <c r="G12" s="439">
        <f t="shared" si="78"/>
        <v>0.65465367070797709</v>
      </c>
      <c r="H12" s="439">
        <f t="shared" si="75"/>
        <v>0.75498344352707503</v>
      </c>
      <c r="I12" s="532">
        <v>1.5</v>
      </c>
      <c r="J12" s="533">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3">
        <f>PLANTILLA!E15</f>
        <v>29</v>
      </c>
      <c r="C13" s="523">
        <f ca="1">PLANTILLA!F15</f>
        <v>21</v>
      </c>
      <c r="D13" s="523" t="str">
        <f>PLANTILLA!G15</f>
        <v>TEC</v>
      </c>
      <c r="E13" s="317">
        <v>41747</v>
      </c>
      <c r="F13" s="371">
        <f>PLANTILLA!O15</f>
        <v>6</v>
      </c>
      <c r="G13" s="439">
        <f t="shared" si="78"/>
        <v>0.92582009977255142</v>
      </c>
      <c r="H13" s="439">
        <f t="shared" si="75"/>
        <v>0.99928545900129484</v>
      </c>
      <c r="I13" s="532">
        <v>1.5</v>
      </c>
      <c r="J13" s="533">
        <f>PLANTILLA!I15</f>
        <v>10.4</v>
      </c>
      <c r="K13" s="163">
        <f>PLANTILLA!V15</f>
        <v>0</v>
      </c>
      <c r="L13" s="163">
        <f>PLANTILLA!W15</f>
        <v>9.0936666666666657</v>
      </c>
      <c r="M13" s="163">
        <f>PLANTILLA!X15</f>
        <v>13.499999999999998</v>
      </c>
      <c r="N13" s="163">
        <f>PLANTILLA!Y15</f>
        <v>12.725000000000001</v>
      </c>
      <c r="O13" s="163">
        <f>PLANTILLA!Z15</f>
        <v>9.6033333333333353</v>
      </c>
      <c r="P13" s="163">
        <f>PLANTILLA!AA15</f>
        <v>5.0296666666666656</v>
      </c>
      <c r="Q13" s="163">
        <f>PLANTILLA!AB15</f>
        <v>15.2</v>
      </c>
      <c r="R13" s="163">
        <f t="shared" si="2"/>
        <v>3.9125416666666668</v>
      </c>
      <c r="S13" s="163">
        <f t="shared" si="3"/>
        <v>15.421104906467074</v>
      </c>
      <c r="T13" s="163">
        <f t="shared" si="4"/>
        <v>0.70748333333333324</v>
      </c>
      <c r="U13" s="163">
        <f t="shared" si="5"/>
        <v>0.81974666666666673</v>
      </c>
      <c r="V13" s="163">
        <f t="shared" ca="1" si="6"/>
        <v>16.25373882653081</v>
      </c>
      <c r="W13" s="163">
        <f t="shared" ca="1" si="7"/>
        <v>17.543499938862045</v>
      </c>
      <c r="X13" s="159">
        <f t="shared" si="8"/>
        <v>5.0031788069437804</v>
      </c>
      <c r="Y13" s="159">
        <f t="shared" si="9"/>
        <v>7.5519617213796328</v>
      </c>
      <c r="Z13" s="159">
        <f t="shared" si="10"/>
        <v>5.0031788069437804</v>
      </c>
      <c r="AA13" s="159">
        <f t="shared" si="11"/>
        <v>6.1660509374375607</v>
      </c>
      <c r="AB13" s="159">
        <f t="shared" si="12"/>
        <v>11.949711119065039</v>
      </c>
      <c r="AC13" s="159">
        <f t="shared" si="13"/>
        <v>3.0830254687187804</v>
      </c>
      <c r="AD13" s="159">
        <f t="shared" si="14"/>
        <v>3.8927385796708123</v>
      </c>
      <c r="AE13" s="159">
        <f t="shared" si="15"/>
        <v>4.5169908030065846</v>
      </c>
      <c r="AF13" s="159">
        <f t="shared" si="16"/>
        <v>8.6396411390840235</v>
      </c>
      <c r="AG13" s="159">
        <f t="shared" si="17"/>
        <v>2.2584954015032923</v>
      </c>
      <c r="AH13" s="159">
        <f t="shared" si="18"/>
        <v>6.2970771141733737</v>
      </c>
      <c r="AI13" s="159">
        <f t="shared" si="19"/>
        <v>10.993734229539836</v>
      </c>
      <c r="AJ13" s="159">
        <f t="shared" si="20"/>
        <v>4.9471804032929256</v>
      </c>
      <c r="AK13" s="159">
        <f t="shared" si="21"/>
        <v>2.7314594235505281</v>
      </c>
      <c r="AL13" s="159">
        <f t="shared" si="22"/>
        <v>9.1616541380102436</v>
      </c>
      <c r="AM13" s="159">
        <f t="shared" si="23"/>
        <v>9.0100821837750402</v>
      </c>
      <c r="AN13" s="159">
        <f t="shared" si="24"/>
        <v>8.4603954722980479</v>
      </c>
      <c r="AO13" s="159">
        <f t="shared" si="25"/>
        <v>3.0153594235505286</v>
      </c>
      <c r="AP13" s="159">
        <f t="shared" si="26"/>
        <v>1.9493528022907316</v>
      </c>
      <c r="AQ13" s="159">
        <f t="shared" si="27"/>
        <v>3.2264220021475607</v>
      </c>
      <c r="AR13" s="159">
        <f t="shared" si="28"/>
        <v>7.0981284047246334</v>
      </c>
      <c r="AS13" s="159">
        <f t="shared" si="29"/>
        <v>1.6132110010737803</v>
      </c>
      <c r="AT13" s="159">
        <f t="shared" si="30"/>
        <v>15.440105963064063</v>
      </c>
      <c r="AU13" s="159">
        <f t="shared" si="31"/>
        <v>1.6197191121451222</v>
      </c>
      <c r="AV13" s="159">
        <f t="shared" si="32"/>
        <v>2.8593533578860568</v>
      </c>
      <c r="AW13" s="159">
        <f t="shared" si="33"/>
        <v>0.8098595560725611</v>
      </c>
      <c r="AX13" s="159">
        <f t="shared" si="34"/>
        <v>2.2584954015032923</v>
      </c>
      <c r="AY13" s="159">
        <f t="shared" si="35"/>
        <v>4.7798844476260163</v>
      </c>
      <c r="AZ13" s="159">
        <f t="shared" si="36"/>
        <v>1.1292477007516462</v>
      </c>
      <c r="BA13" s="159">
        <f t="shared" si="37"/>
        <v>16.356044452398372</v>
      </c>
      <c r="BB13" s="159">
        <f t="shared" si="38"/>
        <v>3.1522225797901222</v>
      </c>
      <c r="BC13" s="159">
        <f t="shared" si="39"/>
        <v>5.9046471599381709</v>
      </c>
      <c r="BD13" s="159">
        <f t="shared" si="40"/>
        <v>1.5761112898950611</v>
      </c>
      <c r="BE13" s="159">
        <f t="shared" si="41"/>
        <v>3.4773659356479261</v>
      </c>
      <c r="BF13" s="159">
        <f t="shared" si="42"/>
        <v>4.1584994694346333</v>
      </c>
      <c r="BG13" s="159">
        <f t="shared" si="43"/>
        <v>14.409675162562966</v>
      </c>
      <c r="BH13" s="159">
        <f t="shared" si="44"/>
        <v>12.868223518182155</v>
      </c>
      <c r="BI13" s="159">
        <f t="shared" si="45"/>
        <v>3.0027100463613419</v>
      </c>
      <c r="BJ13" s="159">
        <f t="shared" si="46"/>
        <v>5.795609892746544</v>
      </c>
      <c r="BK13" s="159">
        <f t="shared" si="47"/>
        <v>3.1547237354331705</v>
      </c>
      <c r="BL13" s="159">
        <f t="shared" si="48"/>
        <v>6.2316529363637798</v>
      </c>
      <c r="BM13" s="159">
        <f t="shared" si="49"/>
        <v>12.990377851396181</v>
      </c>
      <c r="BN13" s="159">
        <f t="shared" si="50"/>
        <v>0.64788764485804884</v>
      </c>
      <c r="BO13" s="159">
        <f t="shared" si="51"/>
        <v>2.1509480014317068</v>
      </c>
      <c r="BP13" s="159">
        <f t="shared" si="52"/>
        <v>0.81258035609642276</v>
      </c>
      <c r="BQ13" s="159">
        <f t="shared" si="53"/>
        <v>4.9885935579815035</v>
      </c>
      <c r="BR13" s="159">
        <f t="shared" si="54"/>
        <v>19.144426499117642</v>
      </c>
      <c r="BS13" s="159">
        <f t="shared" si="55"/>
        <v>1.6820160010737808</v>
      </c>
      <c r="BT13" s="159">
        <f t="shared" si="56"/>
        <v>3.3937179578144709</v>
      </c>
      <c r="BU13" s="159">
        <f t="shared" si="57"/>
        <v>2.9157295130518697</v>
      </c>
      <c r="BV13" s="159">
        <f t="shared" si="58"/>
        <v>7.4420002258412596</v>
      </c>
      <c r="BW13" s="159">
        <f t="shared" si="59"/>
        <v>16.502110586590732</v>
      </c>
      <c r="BX13" s="159">
        <f t="shared" si="60"/>
        <v>1.5075847120735368</v>
      </c>
      <c r="BY13" s="159">
        <f t="shared" si="61"/>
        <v>3.3937179578144709</v>
      </c>
      <c r="BZ13" s="159">
        <f t="shared" si="62"/>
        <v>2.9157295130518697</v>
      </c>
      <c r="CA13" s="159">
        <f t="shared" si="63"/>
        <v>10.320664049463373</v>
      </c>
      <c r="CB13" s="159">
        <f t="shared" si="64"/>
        <v>13.34255311822988</v>
      </c>
      <c r="CC13" s="159">
        <f t="shared" si="65"/>
        <v>1.8439879122882927</v>
      </c>
      <c r="CD13" s="159">
        <f t="shared" si="66"/>
        <v>6.6405540476737395</v>
      </c>
      <c r="CE13" s="159">
        <f t="shared" si="67"/>
        <v>7.3754803825580906</v>
      </c>
      <c r="CF13" s="159">
        <f t="shared" si="68"/>
        <v>11.362811720067235</v>
      </c>
      <c r="CG13" s="159">
        <f t="shared" si="69"/>
        <v>7.3754803825580906</v>
      </c>
      <c r="CH13" s="159">
        <f t="shared" si="70"/>
        <v>7.1329273605108536</v>
      </c>
      <c r="CI13" s="159">
        <f t="shared" si="71"/>
        <v>12.48322152200004</v>
      </c>
      <c r="CJ13" s="159">
        <f t="shared" si="72"/>
        <v>7.1329273605108536</v>
      </c>
      <c r="CK13" s="159">
        <f t="shared" si="73"/>
        <v>4.089011113099593</v>
      </c>
    </row>
    <row r="14" spans="1:89" x14ac:dyDescent="0.25">
      <c r="A14" t="str">
        <f>PLANTILLA!D16</f>
        <v>C. Rojas</v>
      </c>
      <c r="B14" s="523">
        <f>PLANTILLA!E16</f>
        <v>31</v>
      </c>
      <c r="C14" s="523">
        <f ca="1">PLANTILLA!F16</f>
        <v>55</v>
      </c>
      <c r="D14" s="523" t="str">
        <f>PLANTILLA!G16</f>
        <v>TEC</v>
      </c>
      <c r="E14" s="317">
        <v>41653</v>
      </c>
      <c r="F14" s="371">
        <f>PLANTILLA!O16</f>
        <v>6</v>
      </c>
      <c r="G14" s="439">
        <f t="shared" si="78"/>
        <v>0.92582009977255142</v>
      </c>
      <c r="H14" s="439">
        <f t="shared" si="75"/>
        <v>0.99928545900129484</v>
      </c>
      <c r="I14" s="532">
        <v>1.5</v>
      </c>
      <c r="J14" s="533">
        <f>PLANTILLA!I16</f>
        <v>10.9</v>
      </c>
      <c r="K14" s="163">
        <f>PLANTILLA!V16</f>
        <v>0</v>
      </c>
      <c r="L14" s="163">
        <f>PLANTILLA!W16</f>
        <v>8.6075555555555585</v>
      </c>
      <c r="M14" s="163">
        <f>PLANTILLA!X16</f>
        <v>14.09516031746031</v>
      </c>
      <c r="N14" s="163">
        <f>PLANTILLA!Y16</f>
        <v>10.049999999999995</v>
      </c>
      <c r="O14" s="163">
        <f>PLANTILLA!Z16</f>
        <v>10.029999999999999</v>
      </c>
      <c r="P14" s="163">
        <f>PLANTILLA!AA16</f>
        <v>4.3999999999999995</v>
      </c>
      <c r="Q14" s="163">
        <f>PLANTILLA!AB16</f>
        <v>16.544444444444441</v>
      </c>
      <c r="R14" s="163">
        <f t="shared" si="2"/>
        <v>3.9584444444444449</v>
      </c>
      <c r="S14" s="163">
        <f t="shared" si="3"/>
        <v>15.175394525042813</v>
      </c>
      <c r="T14" s="163">
        <f t="shared" si="4"/>
        <v>0.71633333333333327</v>
      </c>
      <c r="U14" s="163">
        <f t="shared" si="5"/>
        <v>0.84063555555555569</v>
      </c>
      <c r="V14" s="163">
        <f t="shared" ca="1" si="6"/>
        <v>17.523626377782975</v>
      </c>
      <c r="W14" s="163">
        <f t="shared" ca="1" si="7"/>
        <v>18.914155171822319</v>
      </c>
      <c r="X14" s="159">
        <f t="shared" si="8"/>
        <v>4.8927497769362205</v>
      </c>
      <c r="Y14" s="159">
        <f t="shared" si="9"/>
        <v>7.3804679228995713</v>
      </c>
      <c r="Z14" s="159">
        <f t="shared" si="10"/>
        <v>4.8927497769362205</v>
      </c>
      <c r="AA14" s="159">
        <f t="shared" si="11"/>
        <v>5.9292480972498174</v>
      </c>
      <c r="AB14" s="159">
        <f t="shared" si="12"/>
        <v>11.490790886143056</v>
      </c>
      <c r="AC14" s="159">
        <f t="shared" si="13"/>
        <v>2.9646240486249087</v>
      </c>
      <c r="AD14" s="159">
        <f t="shared" si="14"/>
        <v>4.0408581642353782</v>
      </c>
      <c r="AE14" s="159">
        <f t="shared" si="15"/>
        <v>4.3435189549620752</v>
      </c>
      <c r="AF14" s="159">
        <f t="shared" si="16"/>
        <v>8.3078418106814294</v>
      </c>
      <c r="AG14" s="159">
        <f t="shared" si="17"/>
        <v>2.1717594774810376</v>
      </c>
      <c r="AH14" s="159">
        <f t="shared" si="18"/>
        <v>6.5366823244984067</v>
      </c>
      <c r="AI14" s="159">
        <f t="shared" si="19"/>
        <v>10.571527615251613</v>
      </c>
      <c r="AJ14" s="159">
        <f t="shared" si="20"/>
        <v>4.7571874268632248</v>
      </c>
      <c r="AK14" s="159">
        <f t="shared" si="21"/>
        <v>2.8353920732239843</v>
      </c>
      <c r="AL14" s="159">
        <f t="shared" si="22"/>
        <v>7.6047423743854452</v>
      </c>
      <c r="AM14" s="159">
        <f t="shared" si="23"/>
        <v>8.6640563281518652</v>
      </c>
      <c r="AN14" s="159">
        <f t="shared" si="24"/>
        <v>8.1354799473892836</v>
      </c>
      <c r="AO14" s="159">
        <f t="shared" si="25"/>
        <v>3.2444225224303342</v>
      </c>
      <c r="AP14" s="159">
        <f t="shared" si="26"/>
        <v>1.9704037752091994</v>
      </c>
      <c r="AQ14" s="159">
        <f t="shared" si="27"/>
        <v>3.1025135392586254</v>
      </c>
      <c r="AR14" s="159">
        <f t="shared" si="28"/>
        <v>6.8255297863689748</v>
      </c>
      <c r="AS14" s="159">
        <f t="shared" si="29"/>
        <v>1.5512567696293127</v>
      </c>
      <c r="AT14" s="159">
        <f t="shared" si="30"/>
        <v>16.027605491757129</v>
      </c>
      <c r="AU14" s="159">
        <f t="shared" si="31"/>
        <v>1.6787205929763747</v>
      </c>
      <c r="AV14" s="159">
        <f t="shared" si="32"/>
        <v>2.8095879518621363</v>
      </c>
      <c r="AW14" s="159">
        <f t="shared" si="33"/>
        <v>0.83936029648818733</v>
      </c>
      <c r="AX14" s="159">
        <f t="shared" si="34"/>
        <v>2.1717594774810376</v>
      </c>
      <c r="AY14" s="159">
        <f t="shared" si="35"/>
        <v>4.5963163544572225</v>
      </c>
      <c r="AZ14" s="159">
        <f t="shared" si="36"/>
        <v>1.0858797387405188</v>
      </c>
      <c r="BA14" s="159">
        <f t="shared" si="37"/>
        <v>16.978395648047808</v>
      </c>
      <c r="BB14" s="159">
        <f t="shared" si="38"/>
        <v>3.2670485386386368</v>
      </c>
      <c r="BC14" s="159">
        <f t="shared" si="39"/>
        <v>5.9328926671537117</v>
      </c>
      <c r="BD14" s="159">
        <f t="shared" si="40"/>
        <v>1.6335242693193184</v>
      </c>
      <c r="BE14" s="159">
        <f t="shared" si="41"/>
        <v>3.3438201478676293</v>
      </c>
      <c r="BF14" s="159">
        <f t="shared" si="42"/>
        <v>3.9987952283777832</v>
      </c>
      <c r="BG14" s="159">
        <f t="shared" si="43"/>
        <v>14.95796656593012</v>
      </c>
      <c r="BH14" s="159">
        <f t="shared" si="44"/>
        <v>11.491346208892281</v>
      </c>
      <c r="BI14" s="159">
        <f t="shared" si="45"/>
        <v>3.1120897146715869</v>
      </c>
      <c r="BJ14" s="159">
        <f t="shared" si="46"/>
        <v>5.5730335797793824</v>
      </c>
      <c r="BK14" s="159">
        <f t="shared" si="47"/>
        <v>3.0335687939417668</v>
      </c>
      <c r="BL14" s="159">
        <f t="shared" si="48"/>
        <v>6.4687687419062154</v>
      </c>
      <c r="BM14" s="159">
        <f t="shared" si="49"/>
        <v>11.29962767893347</v>
      </c>
      <c r="BN14" s="159">
        <f t="shared" si="50"/>
        <v>0.67148823719054984</v>
      </c>
      <c r="BO14" s="159">
        <f t="shared" si="51"/>
        <v>2.06834235950575</v>
      </c>
      <c r="BP14" s="159">
        <f t="shared" si="52"/>
        <v>0.78137378025772786</v>
      </c>
      <c r="BQ14" s="159">
        <f t="shared" si="53"/>
        <v>5.1784106726545813</v>
      </c>
      <c r="BR14" s="159">
        <f t="shared" si="54"/>
        <v>16.626420635135517</v>
      </c>
      <c r="BS14" s="159">
        <f t="shared" si="55"/>
        <v>1.7432867696293122</v>
      </c>
      <c r="BT14" s="159">
        <f t="shared" si="56"/>
        <v>3.2633846116646277</v>
      </c>
      <c r="BU14" s="159">
        <f t="shared" si="57"/>
        <v>2.8037529762189055</v>
      </c>
      <c r="BV14" s="159">
        <f t="shared" si="58"/>
        <v>7.7251700198617526</v>
      </c>
      <c r="BW14" s="159">
        <f t="shared" si="59"/>
        <v>14.325144746290944</v>
      </c>
      <c r="BX14" s="159">
        <f t="shared" si="60"/>
        <v>1.562501475001087</v>
      </c>
      <c r="BY14" s="159">
        <f t="shared" si="61"/>
        <v>3.2633846116646277</v>
      </c>
      <c r="BZ14" s="159">
        <f t="shared" si="62"/>
        <v>2.8037529762189055</v>
      </c>
      <c r="CA14" s="159">
        <f t="shared" si="63"/>
        <v>10.713367653918167</v>
      </c>
      <c r="CB14" s="159">
        <f t="shared" si="64"/>
        <v>11.571385620875807</v>
      </c>
      <c r="CC14" s="159">
        <f t="shared" si="65"/>
        <v>1.9111588289269494</v>
      </c>
      <c r="CD14" s="159">
        <f t="shared" si="66"/>
        <v>6.8932286331074106</v>
      </c>
      <c r="CE14" s="159">
        <f t="shared" si="67"/>
        <v>7.0488444336830858</v>
      </c>
      <c r="CF14" s="159">
        <f t="shared" si="68"/>
        <v>11.258012982241521</v>
      </c>
      <c r="CG14" s="159">
        <f t="shared" si="69"/>
        <v>7.0488444336830858</v>
      </c>
      <c r="CH14" s="159">
        <f t="shared" si="70"/>
        <v>6.4555656109560102</v>
      </c>
      <c r="CI14" s="159">
        <f t="shared" si="71"/>
        <v>12.048219167574285</v>
      </c>
      <c r="CJ14" s="159">
        <f t="shared" si="72"/>
        <v>6.4555656109560102</v>
      </c>
      <c r="CK14" s="159">
        <f t="shared" si="73"/>
        <v>4.2445989120119521</v>
      </c>
    </row>
    <row r="15" spans="1:89" x14ac:dyDescent="0.25">
      <c r="A15" t="str">
        <f>PLANTILLA!D17</f>
        <v>E. Gross</v>
      </c>
      <c r="B15" s="523">
        <f>PLANTILLA!E17</f>
        <v>30</v>
      </c>
      <c r="C15" s="523">
        <f ca="1">PLANTILLA!F17</f>
        <v>49</v>
      </c>
      <c r="D15" s="523"/>
      <c r="E15" s="317">
        <v>41552</v>
      </c>
      <c r="F15" s="371">
        <f>PLANTILLA!O17</f>
        <v>5</v>
      </c>
      <c r="G15" s="439">
        <f t="shared" si="78"/>
        <v>0.84515425472851657</v>
      </c>
      <c r="H15" s="439">
        <f t="shared" si="75"/>
        <v>0.92504826128926143</v>
      </c>
      <c r="I15" s="532">
        <v>1.5</v>
      </c>
      <c r="J15" s="533">
        <f>PLANTILLA!I17</f>
        <v>9</v>
      </c>
      <c r="K15" s="163">
        <f>PLANTILLA!V17</f>
        <v>0</v>
      </c>
      <c r="L15" s="163">
        <f>PLANTILLA!W17</f>
        <v>10.149999999999997</v>
      </c>
      <c r="M15" s="163">
        <f>PLANTILLA!X17</f>
        <v>12.749777777777778</v>
      </c>
      <c r="N15" s="163">
        <f>PLANTILLA!Y17</f>
        <v>5.1199999999999983</v>
      </c>
      <c r="O15" s="163">
        <f>PLANTILLA!Z17</f>
        <v>9.17</v>
      </c>
      <c r="P15" s="163">
        <f>PLANTILLA!AA17</f>
        <v>2.98</v>
      </c>
      <c r="Q15" s="163">
        <f>PLANTILLA!AB17</f>
        <v>16.959999999999997</v>
      </c>
      <c r="R15" s="163">
        <f t="shared" si="2"/>
        <v>3.9362499999999994</v>
      </c>
      <c r="S15" s="163">
        <f t="shared" si="3"/>
        <v>12.801634594481213</v>
      </c>
      <c r="T15" s="163">
        <f t="shared" si="4"/>
        <v>0.65779999999999994</v>
      </c>
      <c r="U15" s="163">
        <f t="shared" si="5"/>
        <v>0.91479999999999984</v>
      </c>
      <c r="V15" s="163">
        <f t="shared" ca="1" si="6"/>
        <v>16.254279904118107</v>
      </c>
      <c r="W15" s="163">
        <f t="shared" ca="1" si="7"/>
        <v>17.790827271695335</v>
      </c>
      <c r="X15" s="159">
        <f t="shared" si="8"/>
        <v>5.2216382809873734</v>
      </c>
      <c r="Y15" s="159">
        <f t="shared" si="9"/>
        <v>7.8928194395815563</v>
      </c>
      <c r="Z15" s="159">
        <f t="shared" si="10"/>
        <v>5.2216382809873734</v>
      </c>
      <c r="AA15" s="159">
        <f t="shared" si="11"/>
        <v>6.6679188464942536</v>
      </c>
      <c r="AB15" s="159">
        <f t="shared" si="12"/>
        <v>12.922323345919096</v>
      </c>
      <c r="AC15" s="159">
        <f t="shared" si="13"/>
        <v>3.3339594232471268</v>
      </c>
      <c r="AD15" s="159">
        <f t="shared" si="14"/>
        <v>3.6942600674398567</v>
      </c>
      <c r="AE15" s="159">
        <f t="shared" si="15"/>
        <v>4.8846382247574187</v>
      </c>
      <c r="AF15" s="159">
        <f t="shared" si="16"/>
        <v>9.3428397790995064</v>
      </c>
      <c r="AG15" s="159">
        <f t="shared" si="17"/>
        <v>2.4423191123787094</v>
      </c>
      <c r="AH15" s="159">
        <f t="shared" si="18"/>
        <v>5.9760089326232979</v>
      </c>
      <c r="AI15" s="159">
        <f t="shared" si="19"/>
        <v>11.888537478245569</v>
      </c>
      <c r="AJ15" s="159">
        <f t="shared" si="20"/>
        <v>5.3498418652105055</v>
      </c>
      <c r="AK15" s="159">
        <f t="shared" si="21"/>
        <v>2.5921908876573787</v>
      </c>
      <c r="AL15" s="159">
        <f t="shared" si="22"/>
        <v>4.6406861274004294</v>
      </c>
      <c r="AM15" s="159">
        <f t="shared" si="23"/>
        <v>9.7434318028229985</v>
      </c>
      <c r="AN15" s="159">
        <f t="shared" si="24"/>
        <v>9.1490049289107205</v>
      </c>
      <c r="AO15" s="159">
        <f t="shared" si="25"/>
        <v>3.2952979987684898</v>
      </c>
      <c r="AP15" s="159">
        <f t="shared" si="26"/>
        <v>1.9320691236247003</v>
      </c>
      <c r="AQ15" s="159">
        <f t="shared" si="27"/>
        <v>3.4890273033981565</v>
      </c>
      <c r="AR15" s="159">
        <f t="shared" si="28"/>
        <v>7.6758600674759432</v>
      </c>
      <c r="AS15" s="159">
        <f t="shared" si="29"/>
        <v>1.7445136516990782</v>
      </c>
      <c r="AT15" s="159">
        <f t="shared" si="30"/>
        <v>14.652863460769852</v>
      </c>
      <c r="AU15" s="159">
        <f t="shared" si="31"/>
        <v>1.5525020349694829</v>
      </c>
      <c r="AV15" s="159">
        <f t="shared" si="32"/>
        <v>2.4282307403542962</v>
      </c>
      <c r="AW15" s="159">
        <f t="shared" si="33"/>
        <v>0.77625101748474146</v>
      </c>
      <c r="AX15" s="159">
        <f t="shared" si="34"/>
        <v>2.4423191123787094</v>
      </c>
      <c r="AY15" s="159">
        <f t="shared" si="35"/>
        <v>5.1689293383676391</v>
      </c>
      <c r="AZ15" s="159">
        <f t="shared" si="36"/>
        <v>1.2211595561893547</v>
      </c>
      <c r="BA15" s="159">
        <f t="shared" si="37"/>
        <v>15.522101123696878</v>
      </c>
      <c r="BB15" s="159">
        <f t="shared" si="38"/>
        <v>3.0214078065175323</v>
      </c>
      <c r="BC15" s="159">
        <f t="shared" si="39"/>
        <v>5.2803201636014245</v>
      </c>
      <c r="BD15" s="159">
        <f t="shared" si="40"/>
        <v>1.5107039032587661</v>
      </c>
      <c r="BE15" s="159">
        <f t="shared" si="41"/>
        <v>3.760396093662457</v>
      </c>
      <c r="BF15" s="159">
        <f t="shared" si="42"/>
        <v>4.4969685243798452</v>
      </c>
      <c r="BG15" s="159">
        <f t="shared" si="43"/>
        <v>13.67497108997695</v>
      </c>
      <c r="BH15" s="159">
        <f t="shared" si="44"/>
        <v>8.2920254545220775</v>
      </c>
      <c r="BI15" s="159">
        <f t="shared" si="45"/>
        <v>2.8780999263665028</v>
      </c>
      <c r="BJ15" s="159">
        <f t="shared" si="46"/>
        <v>6.2673268227707615</v>
      </c>
      <c r="BK15" s="159">
        <f t="shared" si="47"/>
        <v>3.4114933633226414</v>
      </c>
      <c r="BL15" s="159">
        <f t="shared" si="48"/>
        <v>5.9139205281285108</v>
      </c>
      <c r="BM15" s="159">
        <f t="shared" si="49"/>
        <v>7.711940604333293</v>
      </c>
      <c r="BN15" s="159">
        <f t="shared" si="50"/>
        <v>0.62100081398779317</v>
      </c>
      <c r="BO15" s="159">
        <f t="shared" si="51"/>
        <v>2.3260182022654372</v>
      </c>
      <c r="BP15" s="159">
        <f t="shared" si="52"/>
        <v>0.87871798752249863</v>
      </c>
      <c r="BQ15" s="159">
        <f t="shared" si="53"/>
        <v>4.734240842727548</v>
      </c>
      <c r="BR15" s="159">
        <f t="shared" si="54"/>
        <v>11.30782782285196</v>
      </c>
      <c r="BS15" s="159">
        <f t="shared" si="55"/>
        <v>1.6122136516990786</v>
      </c>
      <c r="BT15" s="159">
        <f t="shared" si="56"/>
        <v>3.6699398302410229</v>
      </c>
      <c r="BU15" s="159">
        <f t="shared" si="57"/>
        <v>3.1530468964042595</v>
      </c>
      <c r="BV15" s="159">
        <f t="shared" si="58"/>
        <v>7.06255601128208</v>
      </c>
      <c r="BW15" s="159">
        <f t="shared" si="59"/>
        <v>9.7328942672783612</v>
      </c>
      <c r="BX15" s="159">
        <f t="shared" si="60"/>
        <v>1.445021124856211</v>
      </c>
      <c r="BY15" s="159">
        <f t="shared" si="61"/>
        <v>3.6699398302410229</v>
      </c>
      <c r="BZ15" s="159">
        <f t="shared" si="62"/>
        <v>3.1530468964042595</v>
      </c>
      <c r="CA15" s="159">
        <f t="shared" si="63"/>
        <v>9.7944458090527302</v>
      </c>
      <c r="CB15" s="159">
        <f t="shared" si="64"/>
        <v>7.8452793945975925</v>
      </c>
      <c r="CC15" s="159">
        <f t="shared" si="65"/>
        <v>1.7674638551960267</v>
      </c>
      <c r="CD15" s="159">
        <f t="shared" si="66"/>
        <v>6.3019730562209331</v>
      </c>
      <c r="CE15" s="159">
        <f t="shared" si="67"/>
        <v>4.8526204632238512</v>
      </c>
      <c r="CF15" s="159">
        <f t="shared" si="68"/>
        <v>9.8382860875049065</v>
      </c>
      <c r="CG15" s="159">
        <f t="shared" si="69"/>
        <v>4.8526204632238512</v>
      </c>
      <c r="CH15" s="159">
        <f t="shared" si="70"/>
        <v>4.8056174445075985</v>
      </c>
      <c r="CI15" s="159">
        <f t="shared" si="71"/>
        <v>10.159040660563248</v>
      </c>
      <c r="CJ15" s="159">
        <f t="shared" si="72"/>
        <v>4.8056174445075985</v>
      </c>
      <c r="CK15" s="159">
        <f t="shared" si="73"/>
        <v>3.8805252809242194</v>
      </c>
    </row>
    <row r="16" spans="1:89" x14ac:dyDescent="0.25">
      <c r="A16" t="str">
        <f>PLANTILLA!D18</f>
        <v>L. Bauman</v>
      </c>
      <c r="B16" s="523">
        <f>PLANTILLA!E18</f>
        <v>30</v>
      </c>
      <c r="C16" s="523">
        <f ca="1">PLANTILLA!F18</f>
        <v>24</v>
      </c>
      <c r="D16" s="523"/>
      <c r="E16" s="317">
        <v>41686</v>
      </c>
      <c r="F16" s="371">
        <f>PLANTILLA!O18</f>
        <v>6</v>
      </c>
      <c r="G16" s="439">
        <f t="shared" si="78"/>
        <v>0.92582009977255142</v>
      </c>
      <c r="H16" s="439">
        <f t="shared" si="75"/>
        <v>0.99928545900129484</v>
      </c>
      <c r="I16" s="532">
        <v>1.5</v>
      </c>
      <c r="J16" s="533">
        <f>PLANTILLA!I18</f>
        <v>8</v>
      </c>
      <c r="K16" s="163">
        <f>PLANTILLA!V18</f>
        <v>0</v>
      </c>
      <c r="L16" s="163">
        <f>PLANTILLA!W18</f>
        <v>5.2811111111111115</v>
      </c>
      <c r="M16" s="163">
        <f>PLANTILLA!X18</f>
        <v>14.193842857142847</v>
      </c>
      <c r="N16" s="163">
        <f>PLANTILLA!Y18</f>
        <v>3.4924999999999993</v>
      </c>
      <c r="O16" s="163">
        <f>PLANTILLA!Z18</f>
        <v>9.0700000000000038</v>
      </c>
      <c r="P16" s="163">
        <f>PLANTILLA!AA18</f>
        <v>7.4318888888888894</v>
      </c>
      <c r="Q16" s="163">
        <f>PLANTILLA!AB18</f>
        <v>16.07</v>
      </c>
      <c r="R16" s="163">
        <f t="shared" si="2"/>
        <v>3.30263888888889</v>
      </c>
      <c r="S16" s="163">
        <f t="shared" si="3"/>
        <v>19.551540717225151</v>
      </c>
      <c r="T16" s="163">
        <f t="shared" si="4"/>
        <v>0.85369444444444442</v>
      </c>
      <c r="U16" s="163">
        <f t="shared" si="5"/>
        <v>0.69334444444444443</v>
      </c>
      <c r="V16" s="163">
        <f t="shared" ca="1" si="6"/>
        <v>16.918547585598084</v>
      </c>
      <c r="W16" s="163">
        <f t="shared" ca="1" si="7"/>
        <v>18.26106237471306</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4.0217151558721076</v>
      </c>
      <c r="AE16" s="159">
        <f t="shared" si="15"/>
        <v>3.0184173534439398</v>
      </c>
      <c r="AF16" s="159">
        <f t="shared" si="16"/>
        <v>5.7733220807935668</v>
      </c>
      <c r="AG16" s="159">
        <f t="shared" si="17"/>
        <v>1.5092086767219699</v>
      </c>
      <c r="AH16" s="159">
        <f t="shared" si="18"/>
        <v>6.5057156933225277</v>
      </c>
      <c r="AI16" s="159">
        <f t="shared" si="19"/>
        <v>7.3464126062656741</v>
      </c>
      <c r="AJ16" s="159">
        <f t="shared" si="20"/>
        <v>3.3058856728195529</v>
      </c>
      <c r="AK16" s="159">
        <f t="shared" si="21"/>
        <v>2.821959794246395</v>
      </c>
      <c r="AL16" s="159">
        <f t="shared" si="22"/>
        <v>3.6436125498016834</v>
      </c>
      <c r="AM16" s="159">
        <f t="shared" si="23"/>
        <v>6.0208642447003458</v>
      </c>
      <c r="AN16" s="159">
        <f t="shared" si="24"/>
        <v>5.6535436143870612</v>
      </c>
      <c r="AO16" s="159">
        <f t="shared" si="25"/>
        <v>3.1352780371035398</v>
      </c>
      <c r="AP16" s="159">
        <f t="shared" si="26"/>
        <v>1.7299465550049065</v>
      </c>
      <c r="AQ16" s="159">
        <f t="shared" si="27"/>
        <v>2.1560123953171</v>
      </c>
      <c r="AR16" s="159">
        <f t="shared" si="28"/>
        <v>4.7432272696976199</v>
      </c>
      <c r="AS16" s="159">
        <f t="shared" si="29"/>
        <v>1.07800619765855</v>
      </c>
      <c r="AT16" s="159">
        <f t="shared" si="30"/>
        <v>15.951676920770041</v>
      </c>
      <c r="AU16" s="159">
        <f t="shared" si="31"/>
        <v>1.5306355977452708</v>
      </c>
      <c r="AV16" s="159">
        <f t="shared" si="32"/>
        <v>3.166423932695964</v>
      </c>
      <c r="AW16" s="159">
        <f t="shared" si="33"/>
        <v>0.7653177988726354</v>
      </c>
      <c r="AX16" s="159">
        <f t="shared" si="34"/>
        <v>1.5092086767219699</v>
      </c>
      <c r="AY16" s="159">
        <f t="shared" si="35"/>
        <v>3.1940924375068147</v>
      </c>
      <c r="AZ16" s="159">
        <f t="shared" si="36"/>
        <v>0.75460433836098495</v>
      </c>
      <c r="BA16" s="159">
        <f t="shared" si="37"/>
        <v>16.897962839798772</v>
      </c>
      <c r="BB16" s="159">
        <f t="shared" si="38"/>
        <v>2.9788523556119499</v>
      </c>
      <c r="BC16" s="159">
        <f t="shared" si="39"/>
        <v>6.1435367771100822</v>
      </c>
      <c r="BD16" s="159">
        <f t="shared" si="40"/>
        <v>1.489426177805975</v>
      </c>
      <c r="BE16" s="159">
        <f t="shared" si="41"/>
        <v>2.3237022482862075</v>
      </c>
      <c r="BF16" s="159">
        <f t="shared" si="42"/>
        <v>2.7788604206309286</v>
      </c>
      <c r="BG16" s="159">
        <f t="shared" si="43"/>
        <v>14.887105261862718</v>
      </c>
      <c r="BH16" s="159">
        <f t="shared" si="44"/>
        <v>7.2657076645811181</v>
      </c>
      <c r="BI16" s="159">
        <f t="shared" si="45"/>
        <v>2.8375629158200786</v>
      </c>
      <c r="BJ16" s="159">
        <f t="shared" si="46"/>
        <v>3.8728370804770127</v>
      </c>
      <c r="BK16" s="159">
        <f t="shared" si="47"/>
        <v>2.1081010087544976</v>
      </c>
      <c r="BL16" s="159">
        <f t="shared" si="48"/>
        <v>6.438123841963332</v>
      </c>
      <c r="BM16" s="159">
        <f t="shared" si="49"/>
        <v>6.5369233648412797</v>
      </c>
      <c r="BN16" s="159">
        <f t="shared" si="50"/>
        <v>0.61225423909810828</v>
      </c>
      <c r="BO16" s="159">
        <f t="shared" si="51"/>
        <v>1.4373415968780665</v>
      </c>
      <c r="BP16" s="159">
        <f t="shared" si="52"/>
        <v>0.54299571437615857</v>
      </c>
      <c r="BQ16" s="159">
        <f t="shared" si="53"/>
        <v>5.1538786661386258</v>
      </c>
      <c r="BR16" s="159">
        <f t="shared" si="54"/>
        <v>9.5640182976955206</v>
      </c>
      <c r="BS16" s="159">
        <f t="shared" si="55"/>
        <v>1.5895061976585505</v>
      </c>
      <c r="BT16" s="159">
        <f t="shared" si="56"/>
        <v>2.2678056306298382</v>
      </c>
      <c r="BU16" s="159">
        <f t="shared" si="57"/>
        <v>1.9483963868791569</v>
      </c>
      <c r="BV16" s="159">
        <f t="shared" si="58"/>
        <v>7.6885730921084416</v>
      </c>
      <c r="BW16" s="159">
        <f t="shared" si="59"/>
        <v>8.2267649407827648</v>
      </c>
      <c r="BX16" s="159">
        <f t="shared" si="60"/>
        <v>1.4246685179013674</v>
      </c>
      <c r="BY16" s="159">
        <f t="shared" si="61"/>
        <v>2.2678056306298382</v>
      </c>
      <c r="BZ16" s="159">
        <f t="shared" si="62"/>
        <v>1.9483963868791569</v>
      </c>
      <c r="CA16" s="159">
        <f t="shared" si="63"/>
        <v>10.662614551913025</v>
      </c>
      <c r="CB16" s="159">
        <f t="shared" si="64"/>
        <v>6.6224323844770527</v>
      </c>
      <c r="CC16" s="159">
        <f t="shared" si="65"/>
        <v>1.7425697574330774</v>
      </c>
      <c r="CD16" s="159">
        <f t="shared" si="66"/>
        <v>6.8605729129583022</v>
      </c>
      <c r="CE16" s="159">
        <f t="shared" si="67"/>
        <v>5.123116399852627</v>
      </c>
      <c r="CF16" s="159">
        <f t="shared" si="68"/>
        <v>12.302640322692795</v>
      </c>
      <c r="CG16" s="159">
        <f t="shared" si="69"/>
        <v>5.123116399852627</v>
      </c>
      <c r="CH16" s="159">
        <f t="shared" si="70"/>
        <v>5.546740360305753</v>
      </c>
      <c r="CI16" s="159">
        <f t="shared" si="71"/>
        <v>14.480659145144852</v>
      </c>
      <c r="CJ16" s="159">
        <f t="shared" si="72"/>
        <v>5.546740360305753</v>
      </c>
      <c r="CK16" s="159">
        <f t="shared" si="73"/>
        <v>4.2244907099496931</v>
      </c>
    </row>
    <row r="17" spans="1:89" x14ac:dyDescent="0.25">
      <c r="A17" t="str">
        <f>PLANTILLA!D19</f>
        <v>W. Gelifini</v>
      </c>
      <c r="B17" s="523">
        <f>PLANTILLA!E19</f>
        <v>28</v>
      </c>
      <c r="C17" s="523">
        <f ca="1">PLANTILLA!F19</f>
        <v>86</v>
      </c>
      <c r="D17" s="523"/>
      <c r="E17" s="317">
        <v>41737</v>
      </c>
      <c r="F17" s="371">
        <f>PLANTILLA!O19</f>
        <v>4</v>
      </c>
      <c r="G17" s="439">
        <f t="shared" si="78"/>
        <v>0.7559289460184544</v>
      </c>
      <c r="H17" s="439">
        <f t="shared" si="75"/>
        <v>0.84430867747355465</v>
      </c>
      <c r="I17" s="532">
        <v>1.5</v>
      </c>
      <c r="J17" s="533">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10.774063756860782</v>
      </c>
      <c r="W17" s="163">
        <f t="shared" ca="1" si="7"/>
        <v>12.033717678736448</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3">
        <f>PLANTILLA!E20</f>
        <v>28</v>
      </c>
      <c r="C18" s="523">
        <f ca="1">PLANTILLA!F20</f>
        <v>93</v>
      </c>
      <c r="D18" s="523" t="str">
        <f>PLANTILLA!G20</f>
        <v>IMP</v>
      </c>
      <c r="E18" s="317">
        <v>41730</v>
      </c>
      <c r="F18" s="371">
        <f>PLANTILLA!O20</f>
        <v>5</v>
      </c>
      <c r="G18" s="439">
        <f t="shared" si="78"/>
        <v>0.84515425472851657</v>
      </c>
      <c r="H18" s="439">
        <f t="shared" si="75"/>
        <v>0.92504826128926143</v>
      </c>
      <c r="I18" s="532">
        <v>1.5</v>
      </c>
      <c r="J18" s="533">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PLANTILLA!D21</f>
        <v>J. Limon</v>
      </c>
      <c r="B19" s="523">
        <f>PLANTILLA!E21</f>
        <v>29</v>
      </c>
      <c r="C19" s="523">
        <f ca="1">PLANTILLA!F21</f>
        <v>61</v>
      </c>
      <c r="D19" s="523" t="str">
        <f>PLANTILLA!G21</f>
        <v>RAP</v>
      </c>
      <c r="E19" s="317">
        <v>41664</v>
      </c>
      <c r="F19" s="371">
        <f>PLANTILLA!O21</f>
        <v>7</v>
      </c>
      <c r="G19" s="439">
        <f t="shared" si="78"/>
        <v>1</v>
      </c>
      <c r="H19" s="439">
        <f t="shared" si="75"/>
        <v>1</v>
      </c>
      <c r="I19" s="532">
        <v>1.5</v>
      </c>
      <c r="J19" s="533">
        <f>PLANTILLA!I21</f>
        <v>9.9</v>
      </c>
      <c r="K19" s="163">
        <f>PLANTILLA!V21</f>
        <v>0</v>
      </c>
      <c r="L19" s="163">
        <f>PLANTILLA!W21</f>
        <v>6.8176190476190497</v>
      </c>
      <c r="M19" s="163">
        <f>PLANTILLA!X21</f>
        <v>8.3125</v>
      </c>
      <c r="N19" s="163">
        <f>PLANTILLA!Y21</f>
        <v>8.7199999999999971</v>
      </c>
      <c r="O19" s="163">
        <f>PLANTILLA!Z21</f>
        <v>9.6800000000000015</v>
      </c>
      <c r="P19" s="163">
        <f>PLANTILLA!AA21</f>
        <v>8.5625000000000018</v>
      </c>
      <c r="Q19" s="163">
        <f>PLANTILLA!AB21</f>
        <v>18.639999999999993</v>
      </c>
      <c r="R19" s="163">
        <f t="shared" si="2"/>
        <v>3.6472023809523817</v>
      </c>
      <c r="S19" s="163">
        <f t="shared" si="3"/>
        <v>23.114555040080781</v>
      </c>
      <c r="T19" s="163">
        <f t="shared" si="4"/>
        <v>0.9873249999999999</v>
      </c>
      <c r="U19" s="163">
        <f t="shared" si="5"/>
        <v>0.83190476190476181</v>
      </c>
      <c r="V19" s="163">
        <f t="shared" ca="1" si="6"/>
        <v>20.967513592796728</v>
      </c>
      <c r="W19" s="163">
        <f t="shared" ca="1" si="7"/>
        <v>20.967513592796728</v>
      </c>
      <c r="X19" s="159">
        <f t="shared" si="8"/>
        <v>4.3500822236544066</v>
      </c>
      <c r="Y19" s="159">
        <f t="shared" si="9"/>
        <v>6.5478081435386795</v>
      </c>
      <c r="Z19" s="159">
        <f t="shared" si="10"/>
        <v>4.3500822236544066</v>
      </c>
      <c r="AA19" s="159">
        <f t="shared" si="11"/>
        <v>4.9768884424545448</v>
      </c>
      <c r="AB19" s="159">
        <f t="shared" si="12"/>
        <v>9.6451326404157847</v>
      </c>
      <c r="AC19" s="159">
        <f t="shared" si="13"/>
        <v>2.4884442212272724</v>
      </c>
      <c r="AD19" s="159">
        <f t="shared" si="14"/>
        <v>2.6513232350856226</v>
      </c>
      <c r="AE19" s="159">
        <f t="shared" si="15"/>
        <v>3.6458601380771665</v>
      </c>
      <c r="AF19" s="159">
        <f t="shared" si="16"/>
        <v>6.9734308990206122</v>
      </c>
      <c r="AG19" s="159">
        <f t="shared" si="17"/>
        <v>1.8229300690385832</v>
      </c>
      <c r="AH19" s="159">
        <f t="shared" si="18"/>
        <v>4.2889052332267426</v>
      </c>
      <c r="AI19" s="159">
        <f t="shared" si="19"/>
        <v>8.8735220291825225</v>
      </c>
      <c r="AJ19" s="159">
        <f t="shared" si="20"/>
        <v>3.9930849131321344</v>
      </c>
      <c r="AK19" s="159">
        <f t="shared" si="21"/>
        <v>1.8603822699970547</v>
      </c>
      <c r="AL19" s="159">
        <f t="shared" si="22"/>
        <v>6.7899379925644769</v>
      </c>
      <c r="AM19" s="159">
        <f t="shared" si="23"/>
        <v>7.272430010873502</v>
      </c>
      <c r="AN19" s="159">
        <f t="shared" si="24"/>
        <v>6.8287539094143748</v>
      </c>
      <c r="AO19" s="159">
        <f t="shared" si="25"/>
        <v>3.5850747699970538</v>
      </c>
      <c r="AP19" s="159">
        <f t="shared" si="26"/>
        <v>1.8647182004397449</v>
      </c>
      <c r="AQ19" s="159">
        <f t="shared" si="27"/>
        <v>2.6041858129122621</v>
      </c>
      <c r="AR19" s="159">
        <f t="shared" si="28"/>
        <v>5.729208788406976</v>
      </c>
      <c r="AS19" s="159">
        <f t="shared" si="29"/>
        <v>1.3020929064561311</v>
      </c>
      <c r="AT19" s="159">
        <f t="shared" si="30"/>
        <v>10.516172831600116</v>
      </c>
      <c r="AU19" s="159">
        <f t="shared" si="31"/>
        <v>1.6259767670635754</v>
      </c>
      <c r="AV19" s="159">
        <f t="shared" si="32"/>
        <v>3.471373982689443</v>
      </c>
      <c r="AW19" s="159">
        <f t="shared" si="33"/>
        <v>0.81298838353178771</v>
      </c>
      <c r="AX19" s="159">
        <f t="shared" si="34"/>
        <v>1.8229300690385832</v>
      </c>
      <c r="AY19" s="159">
        <f t="shared" si="35"/>
        <v>3.8580530561663142</v>
      </c>
      <c r="AZ19" s="159">
        <f t="shared" si="36"/>
        <v>0.91146503451929162</v>
      </c>
      <c r="BA19" s="159">
        <f t="shared" si="37"/>
        <v>11.140013592796734</v>
      </c>
      <c r="BB19" s="159">
        <f t="shared" si="38"/>
        <v>3.1644009389775736</v>
      </c>
      <c r="BC19" s="159">
        <f t="shared" si="39"/>
        <v>6.6569649896310015</v>
      </c>
      <c r="BD19" s="159">
        <f t="shared" si="40"/>
        <v>1.5822004694887868</v>
      </c>
      <c r="BE19" s="159">
        <f t="shared" si="41"/>
        <v>2.8067335983609931</v>
      </c>
      <c r="BF19" s="159">
        <f t="shared" si="42"/>
        <v>3.3565061588646929</v>
      </c>
      <c r="BG19" s="159">
        <f t="shared" si="43"/>
        <v>9.8143519752539223</v>
      </c>
      <c r="BH19" s="159">
        <f t="shared" si="44"/>
        <v>10.568139583996293</v>
      </c>
      <c r="BI19" s="159">
        <f t="shared" si="45"/>
        <v>3.0143107758640126</v>
      </c>
      <c r="BJ19" s="159">
        <f t="shared" si="46"/>
        <v>4.6778893306016558</v>
      </c>
      <c r="BK19" s="159">
        <f t="shared" si="47"/>
        <v>2.5463150170697673</v>
      </c>
      <c r="BL19" s="159">
        <f t="shared" si="48"/>
        <v>4.2443451788555562</v>
      </c>
      <c r="BM19" s="159">
        <f t="shared" si="49"/>
        <v>10.285486880104344</v>
      </c>
      <c r="BN19" s="159">
        <f t="shared" si="50"/>
        <v>0.6503907068254301</v>
      </c>
      <c r="BO19" s="159">
        <f t="shared" si="51"/>
        <v>1.7361238752748411</v>
      </c>
      <c r="BP19" s="159">
        <f t="shared" si="52"/>
        <v>0.65586901954827337</v>
      </c>
      <c r="BQ19" s="159">
        <f t="shared" si="53"/>
        <v>3.397704145803004</v>
      </c>
      <c r="BR19" s="159">
        <f t="shared" si="54"/>
        <v>15.124662480336594</v>
      </c>
      <c r="BS19" s="159">
        <f t="shared" si="55"/>
        <v>1.6885143350275591</v>
      </c>
      <c r="BT19" s="159">
        <f t="shared" si="56"/>
        <v>2.7392176698780828</v>
      </c>
      <c r="BU19" s="159">
        <f t="shared" si="57"/>
        <v>2.3534123642614513</v>
      </c>
      <c r="BV19" s="159">
        <f t="shared" si="58"/>
        <v>5.0687061847225143</v>
      </c>
      <c r="BW19" s="159">
        <f t="shared" si="59"/>
        <v>13.028885060818777</v>
      </c>
      <c r="BX19" s="159">
        <f t="shared" si="60"/>
        <v>1.5134091447284048</v>
      </c>
      <c r="BY19" s="159">
        <f t="shared" si="61"/>
        <v>2.7392176698780828</v>
      </c>
      <c r="BZ19" s="159">
        <f t="shared" si="62"/>
        <v>2.3534123642614513</v>
      </c>
      <c r="CA19" s="159">
        <f t="shared" si="63"/>
        <v>7.0293485770547397</v>
      </c>
      <c r="CB19" s="159">
        <f t="shared" si="64"/>
        <v>10.520304665553073</v>
      </c>
      <c r="CC19" s="159">
        <f t="shared" si="65"/>
        <v>1.8511120117339166</v>
      </c>
      <c r="CD19" s="159">
        <f t="shared" si="66"/>
        <v>4.5228455186754744</v>
      </c>
      <c r="CE19" s="159">
        <f t="shared" si="67"/>
        <v>6.2362520818470975</v>
      </c>
      <c r="CF19" s="159">
        <f t="shared" si="68"/>
        <v>13.431957805489123</v>
      </c>
      <c r="CG19" s="159">
        <f t="shared" si="69"/>
        <v>6.2362520818470975</v>
      </c>
      <c r="CH19" s="159">
        <f t="shared" si="70"/>
        <v>7.1594709683123643</v>
      </c>
      <c r="CI19" s="159">
        <f t="shared" si="71"/>
        <v>16.00528610853873</v>
      </c>
      <c r="CJ19" s="159">
        <f t="shared" si="72"/>
        <v>7.1594709683123643</v>
      </c>
      <c r="CK19" s="159">
        <f t="shared" si="73"/>
        <v>2.7850033981991835</v>
      </c>
    </row>
    <row r="20" spans="1:89" x14ac:dyDescent="0.25">
      <c r="A20" t="str">
        <f>PLANTILLA!D22</f>
        <v>L. Calosso</v>
      </c>
      <c r="B20" s="523">
        <f>PLANTILLA!E22</f>
        <v>30</v>
      </c>
      <c r="C20" s="523">
        <f ca="1">PLANTILLA!F22</f>
        <v>18</v>
      </c>
      <c r="D20" s="523" t="str">
        <f>PLANTILLA!G22</f>
        <v>TEC</v>
      </c>
      <c r="E20" s="317">
        <v>41890</v>
      </c>
      <c r="F20" s="371">
        <f>PLANTILLA!O22</f>
        <v>6</v>
      </c>
      <c r="G20" s="439">
        <f t="shared" si="78"/>
        <v>0.92582009977255142</v>
      </c>
      <c r="H20" s="439">
        <f t="shared" si="75"/>
        <v>0.99928545900129484</v>
      </c>
      <c r="I20" s="532">
        <v>1.5</v>
      </c>
      <c r="J20" s="533">
        <f>PLANTILLA!I22</f>
        <v>10.1</v>
      </c>
      <c r="K20" s="163">
        <f>PLANTILLA!V22</f>
        <v>0</v>
      </c>
      <c r="L20" s="163">
        <f>PLANTILLA!W22</f>
        <v>2</v>
      </c>
      <c r="M20" s="163">
        <f>PLANTILLA!X22</f>
        <v>14.0938</v>
      </c>
      <c r="N20" s="163">
        <f>PLANTILLA!Y22</f>
        <v>3</v>
      </c>
      <c r="O20" s="163">
        <f>PLANTILLA!Z22</f>
        <v>15.01</v>
      </c>
      <c r="P20" s="163">
        <f>PLANTILLA!AA22</f>
        <v>10</v>
      </c>
      <c r="Q20" s="163">
        <f>PLANTILLA!AB22</f>
        <v>9.3000000000000007</v>
      </c>
      <c r="R20" s="163">
        <f t="shared" si="2"/>
        <v>4.3774999999999995</v>
      </c>
      <c r="S20" s="163">
        <f t="shared" si="3"/>
        <v>20.38940031474619</v>
      </c>
      <c r="T20" s="163">
        <f t="shared" si="4"/>
        <v>0.77900000000000003</v>
      </c>
      <c r="U20" s="163">
        <f t="shared" si="5"/>
        <v>0.35899999999999999</v>
      </c>
      <c r="V20" s="163">
        <f t="shared" ca="1" si="6"/>
        <v>10.775708246962816</v>
      </c>
      <c r="W20" s="163">
        <f t="shared" ca="1" si="7"/>
        <v>11.630778554360271</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4.0300290492803583</v>
      </c>
      <c r="AE20" s="159">
        <f t="shared" si="15"/>
        <v>1.8291779723864519</v>
      </c>
      <c r="AF20" s="159">
        <f t="shared" si="16"/>
        <v>3.4986658043264671</v>
      </c>
      <c r="AG20" s="159">
        <f t="shared" si="17"/>
        <v>0.91458898619322593</v>
      </c>
      <c r="AH20" s="159">
        <f t="shared" si="18"/>
        <v>6.5191646385417563</v>
      </c>
      <c r="AI20" s="159">
        <f t="shared" si="19"/>
        <v>4.4519675518400419</v>
      </c>
      <c r="AJ20" s="159">
        <f t="shared" si="20"/>
        <v>2.0033853983280183</v>
      </c>
      <c r="AK20" s="159">
        <f t="shared" si="21"/>
        <v>2.8277934925622685</v>
      </c>
      <c r="AL20" s="159">
        <f t="shared" si="22"/>
        <v>3.4333879570455914</v>
      </c>
      <c r="AM20" s="159">
        <f t="shared" si="23"/>
        <v>3.6486777544428164</v>
      </c>
      <c r="AN20" s="159">
        <f t="shared" si="24"/>
        <v>3.4260793768508142</v>
      </c>
      <c r="AO20" s="159">
        <f t="shared" si="25"/>
        <v>2.0272288925622686</v>
      </c>
      <c r="AP20" s="159">
        <f t="shared" si="26"/>
        <v>2.0783794075325344</v>
      </c>
      <c r="AQ20" s="159">
        <f t="shared" si="27"/>
        <v>1.3065556945617514</v>
      </c>
      <c r="AR20" s="159">
        <f t="shared" si="28"/>
        <v>2.8744225280358529</v>
      </c>
      <c r="AS20" s="159">
        <f t="shared" si="29"/>
        <v>0.65327784728087568</v>
      </c>
      <c r="AT20" s="159">
        <f t="shared" si="30"/>
        <v>15.984653035801085</v>
      </c>
      <c r="AU20" s="159">
        <f t="shared" si="31"/>
        <v>2.3203823714556577</v>
      </c>
      <c r="AV20" s="159">
        <f t="shared" si="32"/>
        <v>4.3630548833577523</v>
      </c>
      <c r="AW20" s="159">
        <f t="shared" si="33"/>
        <v>1.1601911857278289</v>
      </c>
      <c r="AX20" s="159">
        <f t="shared" si="34"/>
        <v>0.91458898619322593</v>
      </c>
      <c r="AY20" s="159">
        <f t="shared" si="35"/>
        <v>1.9356380660174093</v>
      </c>
      <c r="AZ20" s="159">
        <f t="shared" si="36"/>
        <v>0.45729449309661296</v>
      </c>
      <c r="BA20" s="159">
        <f t="shared" si="37"/>
        <v>16.932895165043522</v>
      </c>
      <c r="BB20" s="159">
        <f t="shared" si="38"/>
        <v>4.5158210767560112</v>
      </c>
      <c r="BC20" s="159">
        <f t="shared" si="39"/>
        <v>8.782751435938982</v>
      </c>
      <c r="BD20" s="159">
        <f t="shared" si="40"/>
        <v>2.2579105383780056</v>
      </c>
      <c r="BE20" s="159">
        <f t="shared" si="41"/>
        <v>1.4081766930276651</v>
      </c>
      <c r="BF20" s="159">
        <f t="shared" si="42"/>
        <v>1.684005117435146</v>
      </c>
      <c r="BG20" s="159">
        <f t="shared" si="43"/>
        <v>14.917880640403343</v>
      </c>
      <c r="BH20" s="159">
        <f t="shared" si="44"/>
        <v>8.9741056017236911</v>
      </c>
      <c r="BI20" s="159">
        <f t="shared" si="45"/>
        <v>4.3016319347754886</v>
      </c>
      <c r="BJ20" s="159">
        <f t="shared" si="46"/>
        <v>2.3469611550461087</v>
      </c>
      <c r="BK20" s="159">
        <f t="shared" si="47"/>
        <v>1.2775211235714903</v>
      </c>
      <c r="BL20" s="159">
        <f t="shared" si="48"/>
        <v>6.4514330578815819</v>
      </c>
      <c r="BM20" s="159">
        <f t="shared" si="49"/>
        <v>7.51737917424804</v>
      </c>
      <c r="BN20" s="159">
        <f t="shared" si="50"/>
        <v>0.92815294858226316</v>
      </c>
      <c r="BO20" s="159">
        <f t="shared" si="51"/>
        <v>0.8710371297078342</v>
      </c>
      <c r="BP20" s="159">
        <f t="shared" si="52"/>
        <v>0.32905847122295961</v>
      </c>
      <c r="BQ20" s="159">
        <f t="shared" si="53"/>
        <v>5.1645330253382742</v>
      </c>
      <c r="BR20" s="159">
        <f t="shared" si="54"/>
        <v>10.943936382245969</v>
      </c>
      <c r="BS20" s="159">
        <f t="shared" si="55"/>
        <v>2.4096278472808756</v>
      </c>
      <c r="BT20" s="159">
        <f t="shared" si="56"/>
        <v>1.3743030268723604</v>
      </c>
      <c r="BU20" s="159">
        <f t="shared" si="57"/>
        <v>1.1807392202706197</v>
      </c>
      <c r="BV20" s="159">
        <f t="shared" si="58"/>
        <v>7.7044673000948025</v>
      </c>
      <c r="BW20" s="159">
        <f t="shared" si="59"/>
        <v>9.400157442868224</v>
      </c>
      <c r="BX20" s="159">
        <f t="shared" si="60"/>
        <v>2.1597405149702662</v>
      </c>
      <c r="BY20" s="159">
        <f t="shared" si="61"/>
        <v>1.3743030268723604</v>
      </c>
      <c r="BZ20" s="159">
        <f t="shared" si="62"/>
        <v>1.1807392202706197</v>
      </c>
      <c r="CA20" s="159">
        <f t="shared" si="63"/>
        <v>10.684656849142463</v>
      </c>
      <c r="CB20" s="159">
        <f t="shared" si="64"/>
        <v>7.5439201727139524</v>
      </c>
      <c r="CC20" s="159">
        <f t="shared" si="65"/>
        <v>2.6416660844264412</v>
      </c>
      <c r="CD20" s="159">
        <f t="shared" si="66"/>
        <v>6.8747554370076704</v>
      </c>
      <c r="CE20" s="159">
        <f t="shared" si="67"/>
        <v>8.2895361941911574</v>
      </c>
      <c r="CF20" s="159">
        <f t="shared" si="68"/>
        <v>17.177251155839006</v>
      </c>
      <c r="CG20" s="159">
        <f t="shared" si="69"/>
        <v>8.2895361941911574</v>
      </c>
      <c r="CH20" s="159">
        <f t="shared" si="70"/>
        <v>7.0331762878221156</v>
      </c>
      <c r="CI20" s="159">
        <f t="shared" si="71"/>
        <v>19.425411280944584</v>
      </c>
      <c r="CJ20" s="159">
        <f t="shared" si="72"/>
        <v>7.0331762878221156</v>
      </c>
      <c r="CK20" s="159">
        <f t="shared" si="73"/>
        <v>4.2332237912608806</v>
      </c>
    </row>
    <row r="21" spans="1:89" x14ac:dyDescent="0.25">
      <c r="A21" t="str">
        <f>PLANTILLA!D23</f>
        <v>P .Trivadi</v>
      </c>
      <c r="B21" s="523">
        <f>PLANTILLA!E23</f>
        <v>26</v>
      </c>
      <c r="C21" s="523">
        <f ca="1">PLANTILLA!F23</f>
        <v>92</v>
      </c>
      <c r="D21" s="523"/>
      <c r="E21" s="317">
        <v>41973</v>
      </c>
      <c r="F21" s="371">
        <f>PLANTILLA!O23</f>
        <v>7</v>
      </c>
      <c r="G21" s="439">
        <f t="shared" si="78"/>
        <v>1</v>
      </c>
      <c r="H21" s="439">
        <f t="shared" si="75"/>
        <v>1</v>
      </c>
      <c r="I21" s="532">
        <v>1.5</v>
      </c>
      <c r="J21" s="533">
        <f>PLANTILLA!I23</f>
        <v>5.3</v>
      </c>
      <c r="K21" s="163">
        <f>PLANTILLA!V23</f>
        <v>0</v>
      </c>
      <c r="L21" s="163">
        <f>PLANTILLA!W23</f>
        <v>4</v>
      </c>
      <c r="M21" s="163">
        <f>PLANTILLA!X23</f>
        <v>5.5138722222222212</v>
      </c>
      <c r="N21" s="163">
        <f>PLANTILLA!Y23</f>
        <v>5.47</v>
      </c>
      <c r="O21" s="163">
        <f>PLANTILLA!Z23</f>
        <v>10.799999999999999</v>
      </c>
      <c r="P21" s="163">
        <f>PLANTILLA!AA23</f>
        <v>8.384500000000001</v>
      </c>
      <c r="Q21" s="163">
        <f>PLANTILLA!AB23</f>
        <v>13.566666666666668</v>
      </c>
      <c r="R21" s="163">
        <f t="shared" si="2"/>
        <v>3.5749999999999997</v>
      </c>
      <c r="S21" s="163">
        <f t="shared" si="3"/>
        <v>19.229136229090329</v>
      </c>
      <c r="T21" s="163">
        <f t="shared" si="4"/>
        <v>0.82622500000000021</v>
      </c>
      <c r="U21" s="163">
        <f t="shared" si="5"/>
        <v>0.56699999999999995</v>
      </c>
      <c r="V21" s="163">
        <f t="shared" ca="1" si="6"/>
        <v>15.532367826134386</v>
      </c>
      <c r="W21" s="163">
        <f t="shared" ca="1" si="7"/>
        <v>15.532367826134386</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3"/>
      <c r="L25">
        <f>L15*G15</f>
        <v>8.5783156854944398</v>
      </c>
      <c r="M25">
        <f>L15*H15</f>
        <v>9.3892398520859999</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3"/>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3"/>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3"/>
    </row>
    <row r="29" spans="1:89" x14ac:dyDescent="0.25">
      <c r="D29" s="523"/>
      <c r="L29" s="47">
        <f>(M25-L27)/M25</f>
        <v>0.15125738943906633</v>
      </c>
      <c r="M29" s="47">
        <f>(L25-M27)/M27</f>
        <v>-2.6843775450983306E-3</v>
      </c>
    </row>
    <row r="30" spans="1:89" x14ac:dyDescent="0.25">
      <c r="D30" s="523"/>
    </row>
    <row r="31" spans="1:89" ht="18.75" x14ac:dyDescent="0.3">
      <c r="A31" s="473" t="s">
        <v>741</v>
      </c>
      <c r="B31" s="473" t="s">
        <v>178</v>
      </c>
      <c r="C31" s="473"/>
      <c r="D31" s="474"/>
      <c r="L31" s="47"/>
      <c r="M31" s="47"/>
    </row>
    <row r="32" spans="1:89" x14ac:dyDescent="0.25">
      <c r="A32" s="275" t="s">
        <v>746</v>
      </c>
      <c r="B32" s="475">
        <v>1</v>
      </c>
      <c r="C32" s="534">
        <v>0.624</v>
      </c>
      <c r="D32" s="535">
        <v>0.245</v>
      </c>
    </row>
    <row r="33" spans="1:4" x14ac:dyDescent="0.25">
      <c r="A33" s="275" t="s">
        <v>747</v>
      </c>
      <c r="B33" s="475">
        <v>1</v>
      </c>
      <c r="C33" s="534">
        <v>1.002</v>
      </c>
      <c r="D33" s="535">
        <v>0.34</v>
      </c>
    </row>
    <row r="34" spans="1:4" x14ac:dyDescent="0.25">
      <c r="A34" s="275" t="s">
        <v>748</v>
      </c>
      <c r="B34" s="475">
        <v>1</v>
      </c>
      <c r="C34" s="534">
        <v>0.46800000000000003</v>
      </c>
      <c r="D34" s="535">
        <v>0.125</v>
      </c>
    </row>
    <row r="35" spans="1:4" x14ac:dyDescent="0.25">
      <c r="A35" s="275" t="s">
        <v>749</v>
      </c>
      <c r="B35" s="475">
        <v>1</v>
      </c>
      <c r="C35" s="534">
        <v>0.877</v>
      </c>
      <c r="D35" s="535">
        <v>0.25</v>
      </c>
    </row>
    <row r="36" spans="1:4" x14ac:dyDescent="0.25">
      <c r="A36" s="275" t="s">
        <v>750</v>
      </c>
      <c r="B36" s="475">
        <v>1</v>
      </c>
      <c r="C36" s="534">
        <v>0.59299999999999997</v>
      </c>
      <c r="D36" s="535">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7"/>
  <sheetViews>
    <sheetView workbookViewId="0">
      <pane xSplit="16" ySplit="2" topLeftCell="Q3" activePane="bottomRight" state="frozen"/>
      <selection pane="topRight" activeCell="R1" sqref="R1"/>
      <selection pane="bottomLeft" activeCell="A3" sqref="A3"/>
      <selection pane="bottomRight" activeCell="A28" sqref="A28"/>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47" width="7.85546875" hidden="1" customWidth="1"/>
    <col min="48" max="54" width="7.85546875" customWidth="1"/>
    <col min="55"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87"/>
      <c r="V1" t="s">
        <v>824</v>
      </c>
      <c r="Y1" t="s">
        <v>825</v>
      </c>
      <c r="AC1" t="s">
        <v>826</v>
      </c>
      <c r="AG1" s="4" t="s">
        <v>827</v>
      </c>
      <c r="AK1" t="s">
        <v>828</v>
      </c>
      <c r="AO1" t="s">
        <v>823</v>
      </c>
      <c r="AV1" t="s">
        <v>829</v>
      </c>
      <c r="BC1" t="s">
        <v>596</v>
      </c>
      <c r="BH1" t="s">
        <v>830</v>
      </c>
      <c r="BM1" t="s">
        <v>772</v>
      </c>
      <c r="BR1" t="s">
        <v>976</v>
      </c>
      <c r="BW1" t="s">
        <v>766</v>
      </c>
      <c r="CB1" t="s">
        <v>738</v>
      </c>
      <c r="CF1" t="s">
        <v>67</v>
      </c>
    </row>
    <row r="2" spans="1:87" x14ac:dyDescent="0.25">
      <c r="A2" s="524" t="s">
        <v>182</v>
      </c>
      <c r="B2" s="524" t="s">
        <v>1024</v>
      </c>
      <c r="C2" s="524" t="s">
        <v>831</v>
      </c>
      <c r="D2" s="524" t="s">
        <v>63</v>
      </c>
      <c r="E2" s="525" t="s">
        <v>832</v>
      </c>
      <c r="F2" s="524" t="s">
        <v>833</v>
      </c>
      <c r="G2" s="527" t="s">
        <v>837</v>
      </c>
      <c r="H2" s="528" t="s">
        <v>838</v>
      </c>
      <c r="I2" s="528" t="s">
        <v>1026</v>
      </c>
      <c r="J2" s="528" t="s">
        <v>1</v>
      </c>
      <c r="K2" s="528" t="s">
        <v>2</v>
      </c>
      <c r="L2" s="528" t="s">
        <v>839</v>
      </c>
      <c r="M2" s="528" t="s">
        <v>66</v>
      </c>
      <c r="N2" s="528" t="s">
        <v>713</v>
      </c>
      <c r="O2" s="528" t="s">
        <v>840</v>
      </c>
      <c r="P2" s="528" t="s">
        <v>0</v>
      </c>
      <c r="Q2" s="529" t="s">
        <v>700</v>
      </c>
      <c r="R2" s="529" t="s">
        <v>998</v>
      </c>
      <c r="S2" s="529" t="s">
        <v>841</v>
      </c>
      <c r="T2" s="529" t="s">
        <v>842</v>
      </c>
      <c r="U2" s="529" t="s">
        <v>723</v>
      </c>
      <c r="V2" s="530" t="s">
        <v>843</v>
      </c>
      <c r="W2" s="530" t="s">
        <v>844</v>
      </c>
      <c r="X2" s="530" t="s">
        <v>843</v>
      </c>
      <c r="Y2" s="531" t="s">
        <v>843</v>
      </c>
      <c r="Z2" s="531" t="s">
        <v>844</v>
      </c>
      <c r="AA2" s="531" t="s">
        <v>843</v>
      </c>
      <c r="AB2" s="531" t="s">
        <v>65</v>
      </c>
      <c r="AC2" s="531" t="s">
        <v>843</v>
      </c>
      <c r="AD2" s="531" t="s">
        <v>844</v>
      </c>
      <c r="AE2" s="531" t="s">
        <v>843</v>
      </c>
      <c r="AF2" s="531" t="s">
        <v>65</v>
      </c>
      <c r="AG2" s="530" t="s">
        <v>843</v>
      </c>
      <c r="AH2" s="530" t="s">
        <v>844</v>
      </c>
      <c r="AI2" s="530" t="s">
        <v>65</v>
      </c>
      <c r="AJ2" s="530" t="s">
        <v>845</v>
      </c>
      <c r="AK2" s="530" t="s">
        <v>843</v>
      </c>
      <c r="AL2" s="530" t="s">
        <v>844</v>
      </c>
      <c r="AM2" s="530" t="s">
        <v>65</v>
      </c>
      <c r="AN2" s="530" t="s">
        <v>845</v>
      </c>
      <c r="AO2" s="530" t="s">
        <v>843</v>
      </c>
      <c r="AP2" s="530" t="s">
        <v>844</v>
      </c>
      <c r="AQ2" s="530" t="s">
        <v>843</v>
      </c>
      <c r="AR2" s="530" t="s">
        <v>65</v>
      </c>
      <c r="AS2" s="530" t="s">
        <v>845</v>
      </c>
      <c r="AT2" s="530" t="s">
        <v>846</v>
      </c>
      <c r="AU2" s="530" t="s">
        <v>845</v>
      </c>
      <c r="AV2" s="530" t="s">
        <v>843</v>
      </c>
      <c r="AW2" s="530" t="s">
        <v>844</v>
      </c>
      <c r="AX2" s="530" t="s">
        <v>843</v>
      </c>
      <c r="AY2" s="530" t="s">
        <v>65</v>
      </c>
      <c r="AZ2" s="530" t="s">
        <v>845</v>
      </c>
      <c r="BA2" s="530" t="s">
        <v>846</v>
      </c>
      <c r="BB2" s="530" t="s">
        <v>845</v>
      </c>
      <c r="BC2" s="531" t="s">
        <v>843</v>
      </c>
      <c r="BD2" s="531" t="s">
        <v>844</v>
      </c>
      <c r="BE2" s="531" t="s">
        <v>65</v>
      </c>
      <c r="BF2" s="531" t="s">
        <v>845</v>
      </c>
      <c r="BG2" s="531" t="s">
        <v>846</v>
      </c>
      <c r="BH2" s="531" t="s">
        <v>843</v>
      </c>
      <c r="BI2" s="531" t="s">
        <v>844</v>
      </c>
      <c r="BJ2" s="531" t="s">
        <v>65</v>
      </c>
      <c r="BK2" s="531" t="s">
        <v>845</v>
      </c>
      <c r="BL2" s="531" t="s">
        <v>846</v>
      </c>
      <c r="BM2" s="530" t="s">
        <v>843</v>
      </c>
      <c r="BN2" s="530" t="s">
        <v>844</v>
      </c>
      <c r="BO2" s="530" t="s">
        <v>65</v>
      </c>
      <c r="BP2" s="530" t="s">
        <v>845</v>
      </c>
      <c r="BQ2" s="530" t="s">
        <v>846</v>
      </c>
      <c r="BR2" s="530" t="s">
        <v>843</v>
      </c>
      <c r="BS2" s="530" t="s">
        <v>844</v>
      </c>
      <c r="BT2" s="530" t="s">
        <v>65</v>
      </c>
      <c r="BU2" s="530" t="s">
        <v>845</v>
      </c>
      <c r="BV2" s="530" t="s">
        <v>846</v>
      </c>
      <c r="BW2" s="530" t="s">
        <v>843</v>
      </c>
      <c r="BX2" s="530" t="s">
        <v>844</v>
      </c>
      <c r="BY2" s="530" t="s">
        <v>65</v>
      </c>
      <c r="BZ2" s="530" t="s">
        <v>845</v>
      </c>
      <c r="CA2" s="530" t="s">
        <v>846</v>
      </c>
      <c r="CB2" s="531" t="s">
        <v>65</v>
      </c>
      <c r="CC2" s="531" t="s">
        <v>845</v>
      </c>
      <c r="CD2" s="531" t="s">
        <v>846</v>
      </c>
      <c r="CE2" s="531" t="s">
        <v>845</v>
      </c>
      <c r="CF2" s="530" t="s">
        <v>845</v>
      </c>
      <c r="CG2" s="530" t="s">
        <v>846</v>
      </c>
      <c r="CH2" s="530" t="s">
        <v>845</v>
      </c>
      <c r="CI2" s="530" t="s">
        <v>65</v>
      </c>
    </row>
    <row r="3" spans="1:87" hidden="1" x14ac:dyDescent="0.25">
      <c r="A3" t="str">
        <f>PLANTILLA!D5</f>
        <v>D. Gehmacher</v>
      </c>
      <c r="C3" s="687">
        <f>PLANTILLA!E5</f>
        <v>29</v>
      </c>
      <c r="D3" s="371">
        <f ca="1">PLANTILLA!F5</f>
        <v>89</v>
      </c>
      <c r="E3" s="687"/>
      <c r="F3" s="317">
        <v>42468</v>
      </c>
      <c r="G3" s="532">
        <v>1</v>
      </c>
      <c r="H3" s="533">
        <f>PLANTILLA!I5</f>
        <v>18</v>
      </c>
      <c r="I3" s="533"/>
      <c r="J3" s="163">
        <f>PLANTILLA!V5</f>
        <v>16.666666666666668</v>
      </c>
      <c r="K3" s="163">
        <f>PLANTILLA!W5</f>
        <v>11.650909090909092</v>
      </c>
      <c r="L3" s="163">
        <f>PLANTILLA!X5</f>
        <v>2.0199999999999996</v>
      </c>
      <c r="M3" s="163">
        <f>PLANTILLA!Y5</f>
        <v>2.1199999999999992</v>
      </c>
      <c r="N3" s="163">
        <f>PLANTILLA!Z5</f>
        <v>1.0300000000000002</v>
      </c>
      <c r="O3" s="163">
        <f>PLANTILLA!AA5</f>
        <v>0.14055555555555557</v>
      </c>
      <c r="P3" s="163">
        <f>PLANTILLA!AB5</f>
        <v>17.849999999999998</v>
      </c>
      <c r="Q3" s="163">
        <f>((2*(N3+1))+(K3+1))/8</f>
        <v>2.0888636363636364</v>
      </c>
      <c r="R3" s="163">
        <f>1.66*(O3+(LOG(H3)*4/3)+G3)+0.55*(P3+(LOG(H3)*4/3)+G3)-7.6</f>
        <v>8.3596918705932968</v>
      </c>
      <c r="S3" s="163">
        <f>(0.5*O3+ 0.3*P3)/10</f>
        <v>0.54252777777777772</v>
      </c>
      <c r="T3" s="163">
        <f>(0.4*K3+0.3*P3)/10</f>
        <v>1.0015363636363637</v>
      </c>
      <c r="U3" s="163">
        <f t="shared" ref="U3:U21" ca="1" si="0">IF(TODAY()-F3&gt;335,(P3+1+(LOG(H3)*4/3)),(P3+((TODAY()-F3)^0.5)/(336^0.5)+(LOG(H3)*4/3)))</f>
        <v>20.523696673471072</v>
      </c>
      <c r="V3" s="159">
        <f t="shared" ref="V3:V21" si="1">((J3+G3+(LOG(H3)*4/3))*0.597)+((K3+G3+(LOG(H3)*4/3))*0.276)</f>
        <v>15.499788105031158</v>
      </c>
      <c r="W3" s="159">
        <f t="shared" ref="W3:W21" si="2">((J3+G3+(LOG(H3)*4/3))*0.866)+((K3+G3+(LOG(H3)*4/3))*0.425)</f>
        <v>22.836712102420854</v>
      </c>
      <c r="X3" s="159">
        <f>V3</f>
        <v>15.499788105031158</v>
      </c>
      <c r="Y3" s="159">
        <f t="shared" ref="Y3:Y21" si="3">((K3+G3+(LOG(H3)*4/3))*0.516)</f>
        <v>7.3914965744201657</v>
      </c>
      <c r="Z3" s="159">
        <f t="shared" ref="Z3:Z21" si="4">(K3+G3+(LOG(H3)*4/3))*1</f>
        <v>14.324605764380166</v>
      </c>
      <c r="AA3" s="159">
        <f>Y3/2</f>
        <v>3.6957482872100829</v>
      </c>
      <c r="AB3" s="159">
        <f t="shared" ref="AB3:AB21" si="5">(L3+G3+(LOG(H3)*4/3))*0.238</f>
        <v>1.1170998082861157</v>
      </c>
      <c r="AC3" s="159">
        <f t="shared" ref="AC3:AC21" si="6">((K3+G3+(LOG(H3)*4/3))*0.378)</f>
        <v>5.414700978935703</v>
      </c>
      <c r="AD3" s="159">
        <f t="shared" ref="AD3:AD21" si="7">(K3+G3+(LOG(H3)*4/3))*0.723</f>
        <v>10.35668996764686</v>
      </c>
      <c r="AE3" s="159">
        <f>AC3/2</f>
        <v>2.7073504894678515</v>
      </c>
      <c r="AF3" s="159">
        <f t="shared" ref="AF3:AF21" si="8">(L3+G3+(LOG(H3)*4/3))*0.385</f>
        <v>1.8070732192863637</v>
      </c>
      <c r="AG3" s="387">
        <f t="shared" ref="AG3:AG21" si="9">((K3+G3+(LOG(H3)*4/3))*0.92)</f>
        <v>13.178637303229754</v>
      </c>
      <c r="AH3" s="159">
        <f t="shared" ref="AH3:AH21" si="10">(K3+G3+(LOG(H3)*4/3))*0.414</f>
        <v>5.9303867864533881</v>
      </c>
      <c r="AI3" s="159">
        <f t="shared" ref="AI3:AI21" si="11">((L3+G3+(LOG(H3)*4/3))*0.167)</f>
        <v>0.78384734446966953</v>
      </c>
      <c r="AJ3" s="387">
        <f t="shared" ref="AJ3:AJ21" si="12">(M3+G3+(LOG(H3)*4/3))*0.588</f>
        <v>2.8186936440009913</v>
      </c>
      <c r="AK3" s="159">
        <f t="shared" ref="AK3:AK21" si="13">((K3+G3+(LOG(H3)*4/3))*0.754)</f>
        <v>10.800752746342646</v>
      </c>
      <c r="AL3" s="159">
        <f t="shared" ref="AL3:AL21" si="14">((K3+G3+(LOG(H3)*4/3))*0.708)</f>
        <v>10.141820881181157</v>
      </c>
      <c r="AM3" s="159">
        <f t="shared" ref="AM3:AM21" si="15">((P3+G3+(LOG(H3)*4/3))*0.167)</f>
        <v>3.4274573444696692</v>
      </c>
      <c r="AN3" s="159">
        <f t="shared" ref="AN3:AN21" si="16">((Q3+G3+(LOG(H3)*4/3))*0.288)</f>
        <v>1.3716173692323967</v>
      </c>
      <c r="AO3" s="159">
        <f t="shared" ref="AO3:AO21" si="17">((K3+G3+(LOG(H3)*4/3))*0.27)</f>
        <v>3.867643556382645</v>
      </c>
      <c r="AP3" s="159">
        <f t="shared" ref="AP3:AP21" si="18">((K3+G3+(LOG(H3)*4/3))*0.594)</f>
        <v>8.5088158240418181</v>
      </c>
      <c r="AQ3" s="159">
        <f>AO3/2</f>
        <v>1.9338217781913225</v>
      </c>
      <c r="AR3" s="159">
        <f t="shared" ref="AR3:AR21" si="19">((L3+G3+(LOG(H3)*4/3))*0.944)</f>
        <v>4.430849659756694</v>
      </c>
      <c r="AS3" s="159">
        <f t="shared" ref="AS3:AS21" si="20">((N3+G3+(LOG(H3)*4/3))*0.13)</f>
        <v>0.4814805675512398</v>
      </c>
      <c r="AT3" s="159">
        <f t="shared" ref="AT3:AT21" si="21">((O3+G3+(LOG(H3)*4/3))*0.173)+((N3+G3+(LOG(H3)*4/3))*0.12)</f>
        <v>0.93130923643813601</v>
      </c>
      <c r="AU3" s="159">
        <f>AS3/2</f>
        <v>0.2407402837756199</v>
      </c>
      <c r="AV3" s="159">
        <f t="shared" ref="AV3:AV21" si="22">((K3+G3+(LOG(H3)*4/3))*0.189)</f>
        <v>2.7073504894678515</v>
      </c>
      <c r="AW3" s="159">
        <f t="shared" ref="AW3:AW21" si="23">((K3+G3+(LOG(H3)*4/3))*0.4)</f>
        <v>5.7298423057520669</v>
      </c>
      <c r="AX3" s="159">
        <f>AV3/2</f>
        <v>1.3536752447339258</v>
      </c>
      <c r="AY3" s="159">
        <f t="shared" ref="AY3:AY21" si="24">((L3+G3+(LOG(H3)*4/3))*1)</f>
        <v>4.6936966734710746</v>
      </c>
      <c r="AZ3" s="159">
        <f t="shared" ref="AZ3:AZ21" si="25">((N3+G3+(LOG(H3)*4/3))*0.253)</f>
        <v>0.93703525838818202</v>
      </c>
      <c r="BA3" s="159">
        <f t="shared" ref="BA3:BA21" si="26">((O3+G3+(LOG(H3)*4/3))*0.21)+((N3+G3+(LOG(H3)*4/3))*0.341)</f>
        <v>1.853953533749229</v>
      </c>
      <c r="BB3" s="159">
        <f>AZ3/2</f>
        <v>0.46851762919409101</v>
      </c>
      <c r="BC3" s="159">
        <f t="shared" ref="BC3:BC21" si="27">((K3+G3+(LOG(H3)*4/3))*0.291)</f>
        <v>4.1684602774346278</v>
      </c>
      <c r="BD3" s="159">
        <f t="shared" ref="BD3:BD21" si="28">((K3+G3+(LOG(H3)*4/3))*0.348)</f>
        <v>4.9849628060042974</v>
      </c>
      <c r="BE3" s="159">
        <f t="shared" ref="BE3:BE21" si="29">((L3+G3+(LOG(H3)*4/3))*0.881)</f>
        <v>4.1351467693280171</v>
      </c>
      <c r="BF3" s="159">
        <f t="shared" ref="BF3:BF21" si="30">((M3+G3+(LOG(H3)*4/3))*0.574)+((N3+G3+(LOG(H3)*4/3))*0.315)</f>
        <v>3.9182463427157854</v>
      </c>
      <c r="BG3" s="159">
        <f t="shared" ref="BG3:BG21" si="31">((N3+G3+(LOG(H3)*4/3))*0.241)</f>
        <v>0.89259089830652905</v>
      </c>
      <c r="BH3" s="159">
        <f t="shared" ref="BH3:BH21" si="32">((K3+G3+(LOG(H3)*4/3))*0.485)</f>
        <v>6.9474337957243808</v>
      </c>
      <c r="BI3" s="159">
        <f t="shared" ref="BI3:BI21" si="33">((K3+G3+(LOG(H3)*4/3))*0.264)</f>
        <v>3.7816959217963642</v>
      </c>
      <c r="BJ3" s="159">
        <f t="shared" ref="BJ3:BJ21" si="34">((L3+G3+(LOG(H3)*4/3))*0.381)</f>
        <v>1.7882984325924793</v>
      </c>
      <c r="BK3" s="159">
        <f t="shared" ref="BK3:BK21" si="35">((M3+G3+(LOG(H3)*4/3))*0.673)+((N3+G3+(LOG(H3)*4/3))*0.201)</f>
        <v>3.9706008926137195</v>
      </c>
      <c r="BL3" s="159">
        <f t="shared" ref="BL3:BL21" si="36">((N3+G3+(LOG(H3)*4/3))*0.052)</f>
        <v>0.19259222702049592</v>
      </c>
      <c r="BM3" s="159">
        <f t="shared" ref="BM3:BM21" si="37">((K3+G3+(LOG(H3)*4/3))*0.18)</f>
        <v>2.57842903758843</v>
      </c>
      <c r="BN3" s="159">
        <f t="shared" ref="BN3:BN21" si="38">(K3+G3+(LOG(H3)*4/3))*0.068</f>
        <v>0.97407319197785136</v>
      </c>
      <c r="BO3" s="159">
        <f t="shared" ref="BO3:BO21" si="39">((L3+G3+(LOG(H3)*4/3))*0.305)</f>
        <v>1.4315774854086778</v>
      </c>
      <c r="BP3" s="159">
        <f t="shared" ref="BP3:BP21" si="40">((M3+G3+(LOG(H3)*4/3))*1)+((N3+G3+(LOG(H3)*4/3))*0.286)</f>
        <v>5.8529539220838016</v>
      </c>
      <c r="BQ3" s="159">
        <f t="shared" ref="BQ3:BQ21" si="41">((N3+G3+(LOG(H3)*4/3))*0.135)</f>
        <v>0.4999990509185952</v>
      </c>
      <c r="BR3" s="159">
        <f t="shared" ref="BR3:BR21" si="42">((K3+G3+(LOG(H3)*4/3))*0.284)</f>
        <v>4.0681880370839671</v>
      </c>
      <c r="BS3" s="159">
        <f t="shared" ref="BS3:BS21" si="43">(K3+G3+(LOG(H3)*4/3))*0.244</f>
        <v>3.4952038065087603</v>
      </c>
      <c r="BT3" s="159">
        <f t="shared" ref="BT3:BT21" si="44">((L3+G3+(LOG(H3)*4/3))*0.455)</f>
        <v>2.1356319864293392</v>
      </c>
      <c r="BU3" s="159">
        <f t="shared" ref="BU3:BU21" si="45">((M3+G3+(LOG(H3)*4/3))*0.864)+((N3+G3+(LOG(H3)*4/3))*0.244)</f>
        <v>5.0454559142059505</v>
      </c>
      <c r="BV3" s="159">
        <f t="shared" ref="BV3:BV21" si="46">((N3+G3+(LOG(H3)*4/3))*0.121)</f>
        <v>0.4481472974900001</v>
      </c>
      <c r="BW3" s="159">
        <f t="shared" ref="BW3:BW21" si="47">((K3+G3+(LOG(H3)*4/3))*0.284)</f>
        <v>4.0681880370839671</v>
      </c>
      <c r="BX3" s="159">
        <f t="shared" ref="BX3:BX21" si="48">((K3+G3+(LOG(H3)*4/3))*0.244)</f>
        <v>3.4952038065087603</v>
      </c>
      <c r="BY3" s="159">
        <f t="shared" ref="BY3:BY21" si="49">((L3+G3+(LOG(H3)*4/3))*0.631)</f>
        <v>2.9617226009602482</v>
      </c>
      <c r="BZ3" s="159">
        <f t="shared" ref="BZ3:BZ21" si="50">((M3+G3+(LOG(H3)*4/3))*0.702)+((N3+G3+(LOG(H3)*4/3))*0.193)</f>
        <v>4.0799885227566115</v>
      </c>
      <c r="CA3" s="159">
        <f t="shared" ref="CA3:CA21" si="51">((N3+G3+(LOG(H3)*4/3))*0.148)</f>
        <v>0.5481471076737191</v>
      </c>
      <c r="CB3" s="159">
        <f t="shared" ref="CB3:CB21" si="52">((L3+G3+(LOG(H3)*4/3))*0.406)</f>
        <v>1.9056408494292565</v>
      </c>
      <c r="CC3" s="159">
        <f t="shared" ref="CC3:CC21" si="53">IF(E3="TEC",((M3+G3+(LOG(H3)*4/3))*0.15)+((N3+G3+(LOG(H3)*4/3))*0.324)+((O3+G3+(LOG(H3)*4/3))*0.127),(((M3+G3+(LOG(H3)*4/3))*0.144)+((N3+G3+(LOG(H3)*4/3))*0.25)+((O3+G3+(LOG(H3)*4/3))*0.127)))</f>
        <v>1.9736265224339855</v>
      </c>
      <c r="CD3" s="159">
        <f t="shared" ref="CD3:CD21" si="54">((N3+G3+(LOG(H3)*4/3))*0.543)+((O3+G3+(LOG(H3)*4/3))*0.583)</f>
        <v>3.6518163432173192</v>
      </c>
      <c r="CE3" s="159">
        <f>CC3</f>
        <v>1.9736265224339855</v>
      </c>
      <c r="CF3" s="159">
        <f t="shared" ref="CF3:CF21" si="55">((O3+1+(LOG(H3)*4/3))*0.26)+((M3+G3+(LOG(H3)*4/3))*0.221)+((N3+G3+(LOG(H3)*4/3))*0.142)</f>
        <v>2.3170374720169238</v>
      </c>
      <c r="CG3" s="159">
        <f t="shared" ref="CG3:CG21" si="56">((O3+G3+(LOG(H3)*4/3))*1)+((N3+G3+(LOG(H3)*4/3))*0.369)</f>
        <v>4.1809163015374571</v>
      </c>
      <c r="CH3" s="159">
        <f>CF3</f>
        <v>2.3170374720169238</v>
      </c>
      <c r="CI3" s="159">
        <f>((L3+G3+(LOG(H3)*4/3))*0.25)</f>
        <v>1.1734241683677686</v>
      </c>
    </row>
    <row r="4" spans="1:87" hidden="1" x14ac:dyDescent="0.25">
      <c r="A4" t="str">
        <f>PLANTILLA!D6</f>
        <v>T. Hammond</v>
      </c>
      <c r="B4" t="s">
        <v>1025</v>
      </c>
      <c r="C4" s="687">
        <f>PLANTILLA!E6</f>
        <v>33</v>
      </c>
      <c r="D4" s="687">
        <f ca="1">PLANTILLA!F6</f>
        <v>98</v>
      </c>
      <c r="E4" s="687" t="str">
        <f>PLANTILLA!G6</f>
        <v>CAB</v>
      </c>
      <c r="F4" s="317">
        <v>41400</v>
      </c>
      <c r="G4" s="532">
        <v>1.5</v>
      </c>
      <c r="H4" s="533">
        <f>PLANTILLA!I6</f>
        <v>7.8</v>
      </c>
      <c r="I4" s="533"/>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1" si="57">((2*(N4+1))+(K4+1))/8</f>
        <v>3.3604861111111104</v>
      </c>
      <c r="R4" s="163">
        <f t="shared" ref="R4:R21" si="58">1.66*(O4+(LOG(H4)*4/3)+G4)+0.55*(P4+(LOG(H4)*4/3)+G4)-7.6</f>
        <v>13.645494318150172</v>
      </c>
      <c r="S4" s="163">
        <f t="shared" ref="S4:S21" si="59">(0.5*O4+ 0.3*P4)/10</f>
        <v>0.67286666666666661</v>
      </c>
      <c r="T4" s="163">
        <f t="shared" ref="T4:T21" si="60">(0.4*K4+0.3*P4)/10</f>
        <v>0.90516666666666656</v>
      </c>
      <c r="U4" s="163">
        <f t="shared" ca="1" si="0"/>
        <v>17.968348359142858</v>
      </c>
      <c r="V4" s="159">
        <f t="shared" si="1"/>
        <v>11.476418117531718</v>
      </c>
      <c r="W4" s="159">
        <f t="shared" si="2"/>
        <v>16.97976717609788</v>
      </c>
      <c r="X4" s="159">
        <f t="shared" ref="X4:X21" si="61">V4</f>
        <v>11.476418117531718</v>
      </c>
      <c r="Y4" s="159">
        <f t="shared" si="3"/>
        <v>6.9579810866510501</v>
      </c>
      <c r="Z4" s="159">
        <f t="shared" si="4"/>
        <v>13.484459470253972</v>
      </c>
      <c r="AA4" s="159">
        <f t="shared" ref="AA4:AA21" si="62">Y4/2</f>
        <v>3.478990543325525</v>
      </c>
      <c r="AB4" s="159">
        <f t="shared" si="5"/>
        <v>1.7372713539204461</v>
      </c>
      <c r="AC4" s="159">
        <f t="shared" si="6"/>
        <v>5.0971256797560018</v>
      </c>
      <c r="AD4" s="159">
        <f t="shared" si="7"/>
        <v>9.7492641969936216</v>
      </c>
      <c r="AE4" s="159">
        <f t="shared" ref="AE4:AE21"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1" si="64">AO4/2</f>
        <v>1.8204020284842863</v>
      </c>
      <c r="AR4" s="159">
        <f t="shared" si="19"/>
        <v>6.8906897399197522</v>
      </c>
      <c r="AS4" s="159">
        <f t="shared" si="20"/>
        <v>1.2004075089107944</v>
      </c>
      <c r="AT4" s="159">
        <f t="shared" si="21"/>
        <v>2.2636149581177474</v>
      </c>
      <c r="AU4" s="159">
        <f t="shared" ref="AU4:AU21" si="65">AS4/2</f>
        <v>0.6002037544553972</v>
      </c>
      <c r="AV4" s="159">
        <f t="shared" si="22"/>
        <v>2.5485628398780009</v>
      </c>
      <c r="AW4" s="159">
        <f t="shared" si="23"/>
        <v>5.3937837881015893</v>
      </c>
      <c r="AX4" s="159">
        <f t="shared" ref="AX4:AX21" si="66">AV4/2</f>
        <v>1.2742814199390005</v>
      </c>
      <c r="AY4" s="159">
        <f t="shared" si="24"/>
        <v>7.299459470253975</v>
      </c>
      <c r="AZ4" s="159">
        <f t="shared" si="25"/>
        <v>2.3361776904186997</v>
      </c>
      <c r="BA4" s="159">
        <f t="shared" si="26"/>
        <v>4.5514477236654951</v>
      </c>
      <c r="BB4" s="159">
        <f t="shared" ref="BB4:BB21"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1" si="68">CC4</f>
        <v>4.2626094951134315</v>
      </c>
      <c r="CF4" s="159">
        <f t="shared" si="55"/>
        <v>4.6150343610793367</v>
      </c>
      <c r="CG4" s="159">
        <f t="shared" si="56"/>
        <v>10.08677001477769</v>
      </c>
      <c r="CH4" s="159">
        <f t="shared" ref="CH4:CH21" si="69">CF4</f>
        <v>4.6150343610793367</v>
      </c>
      <c r="CI4" s="159">
        <f t="shared" ref="CI4:CI21" si="70">((L4+G4+(LOG(H4)*4/3))*0.25)</f>
        <v>1.8248648675634938</v>
      </c>
    </row>
    <row r="5" spans="1:87" hidden="1" x14ac:dyDescent="0.25">
      <c r="A5" t="str">
        <f>PLANTILLA!D8</f>
        <v>D. Toh</v>
      </c>
      <c r="B5" t="s">
        <v>1025</v>
      </c>
      <c r="C5" s="687">
        <f>PLANTILLA!E8</f>
        <v>31</v>
      </c>
      <c r="D5" s="687">
        <f ca="1">PLANTILLA!F8</f>
        <v>34</v>
      </c>
      <c r="E5" s="687" t="str">
        <f>PLANTILLA!G8</f>
        <v>CAB</v>
      </c>
      <c r="F5" s="317">
        <v>41519</v>
      </c>
      <c r="G5" s="532">
        <v>1.5</v>
      </c>
      <c r="H5" s="533">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1025</v>
      </c>
      <c r="C6" s="687">
        <f>PLANTILLA!E9</f>
        <v>30</v>
      </c>
      <c r="D6" s="687">
        <f ca="1">PLANTILLA!F9</f>
        <v>100</v>
      </c>
      <c r="E6" s="687"/>
      <c r="F6" s="317">
        <v>41539</v>
      </c>
      <c r="G6" s="532">
        <v>1.5</v>
      </c>
      <c r="H6" s="533">
        <f>PLANTILLA!I9</f>
        <v>12.1</v>
      </c>
      <c r="I6" s="371"/>
      <c r="J6" s="163">
        <f>PLANTILLA!V9</f>
        <v>0</v>
      </c>
      <c r="K6" s="163">
        <f>PLANTILLA!W9</f>
        <v>12.060000000000004</v>
      </c>
      <c r="L6" s="163">
        <f>PLANTILLA!X9</f>
        <v>13.020999999999999</v>
      </c>
      <c r="M6" s="163">
        <f>PLANTILLA!Y9</f>
        <v>9.7100000000000062</v>
      </c>
      <c r="N6" s="163">
        <f>PLANTILLA!Z9</f>
        <v>9.5299999999999994</v>
      </c>
      <c r="O6" s="163">
        <f>PLANTILLA!AA9</f>
        <v>3.6816666666666658</v>
      </c>
      <c r="P6" s="163">
        <f>PLANTILLA!AB9</f>
        <v>16.627777777777773</v>
      </c>
      <c r="Q6" s="163">
        <f t="shared" si="57"/>
        <v>4.2650000000000006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3.7996018908470863</v>
      </c>
      <c r="AC6" s="159">
        <f t="shared" si="6"/>
        <v>5.6714038266394917</v>
      </c>
      <c r="AD6" s="159">
        <f t="shared" si="7"/>
        <v>10.84768509698506</v>
      </c>
      <c r="AE6" s="159">
        <f t="shared" si="63"/>
        <v>2.8357019133197459</v>
      </c>
      <c r="AF6" s="159">
        <f t="shared" si="8"/>
        <v>6.1464148234291107</v>
      </c>
      <c r="AG6" s="387">
        <f t="shared" si="9"/>
        <v>13.803416720921515</v>
      </c>
      <c r="AH6" s="159">
        <f t="shared" si="10"/>
        <v>6.2115375244146813</v>
      </c>
      <c r="AI6" s="159">
        <f t="shared" si="11"/>
        <v>2.6661072091237958</v>
      </c>
      <c r="AJ6" s="387">
        <f t="shared" si="12"/>
        <v>7.4403837303281</v>
      </c>
      <c r="AK6" s="159">
        <f t="shared" si="13"/>
        <v>11.312800225624807</v>
      </c>
      <c r="AL6" s="159">
        <f t="shared" si="14"/>
        <v>10.62262938957873</v>
      </c>
      <c r="AM6" s="159">
        <f t="shared" si="15"/>
        <v>3.2684390980126845</v>
      </c>
      <c r="AN6" s="159">
        <f t="shared" si="16"/>
        <v>2.076109582201517</v>
      </c>
      <c r="AO6" s="159">
        <f t="shared" si="17"/>
        <v>4.0510027333139229</v>
      </c>
      <c r="AP6" s="159">
        <f t="shared" si="18"/>
        <v>8.9122060132906302</v>
      </c>
      <c r="AQ6" s="159">
        <f t="shared" si="64"/>
        <v>2.0255013666569615</v>
      </c>
      <c r="AR6" s="159">
        <f t="shared" si="19"/>
        <v>15.070689852771636</v>
      </c>
      <c r="AS6" s="159">
        <f t="shared" si="20"/>
        <v>1.6215827975215178</v>
      </c>
      <c r="AT6" s="159">
        <f t="shared" si="21"/>
        <v>2.6430364846702927</v>
      </c>
      <c r="AU6" s="159">
        <f t="shared" si="65"/>
        <v>0.8107913987607589</v>
      </c>
      <c r="AV6" s="159">
        <f t="shared" si="22"/>
        <v>2.8357019133197459</v>
      </c>
      <c r="AW6" s="159">
        <f t="shared" si="23"/>
        <v>6.001485530835442</v>
      </c>
      <c r="AX6" s="159">
        <f t="shared" si="66"/>
        <v>1.4178509566598729</v>
      </c>
      <c r="AY6" s="159">
        <f t="shared" si="24"/>
        <v>15.964713827088598</v>
      </c>
      <c r="AZ6" s="159">
        <f t="shared" si="25"/>
        <v>3.1558495982534156</v>
      </c>
      <c r="BA6" s="159">
        <f t="shared" si="26"/>
        <v>5.6448663187258177</v>
      </c>
      <c r="BB6" s="159">
        <f t="shared" si="67"/>
        <v>1.5779247991267078</v>
      </c>
      <c r="BC6" s="159">
        <f t="shared" si="27"/>
        <v>4.3660807236827832</v>
      </c>
      <c r="BD6" s="159">
        <f t="shared" si="28"/>
        <v>5.2212924118268331</v>
      </c>
      <c r="BE6" s="159">
        <f t="shared" si="29"/>
        <v>14.064912881665055</v>
      </c>
      <c r="BF6" s="159">
        <f t="shared" si="30"/>
        <v>11.192451592281767</v>
      </c>
      <c r="BG6" s="159">
        <f t="shared" si="31"/>
        <v>3.0061650323283522</v>
      </c>
      <c r="BH6" s="159">
        <f t="shared" si="32"/>
        <v>7.2768012061379723</v>
      </c>
      <c r="BI6" s="159">
        <f t="shared" si="33"/>
        <v>3.9609804503513915</v>
      </c>
      <c r="BJ6" s="159">
        <f t="shared" si="34"/>
        <v>6.0825559681207562</v>
      </c>
      <c r="BK6" s="159">
        <f t="shared" si="35"/>
        <v>11.023165884875441</v>
      </c>
      <c r="BL6" s="159">
        <f t="shared" si="36"/>
        <v>0.6486331190086071</v>
      </c>
      <c r="BM6" s="159">
        <f t="shared" si="37"/>
        <v>2.7006684888759485</v>
      </c>
      <c r="BN6" s="159">
        <f t="shared" si="38"/>
        <v>1.0202525402420251</v>
      </c>
      <c r="BO6" s="159">
        <f t="shared" si="39"/>
        <v>4.8692377172620223</v>
      </c>
      <c r="BP6" s="159">
        <f t="shared" si="40"/>
        <v>16.221195981635944</v>
      </c>
      <c r="BQ6" s="159">
        <f t="shared" si="41"/>
        <v>1.683951366656961</v>
      </c>
      <c r="BR6" s="159">
        <f t="shared" si="42"/>
        <v>4.2610547268931631</v>
      </c>
      <c r="BS6" s="159">
        <f t="shared" si="43"/>
        <v>3.6609061738096189</v>
      </c>
      <c r="BT6" s="159">
        <f t="shared" si="44"/>
        <v>7.2639447913253123</v>
      </c>
      <c r="BU6" s="159">
        <f t="shared" si="45"/>
        <v>13.976394920414174</v>
      </c>
      <c r="BV6" s="159">
        <f t="shared" si="46"/>
        <v>1.5093193730777203</v>
      </c>
      <c r="BW6" s="159">
        <f t="shared" si="47"/>
        <v>4.2610547268931631</v>
      </c>
      <c r="BX6" s="159">
        <f t="shared" si="48"/>
        <v>3.6609061738096189</v>
      </c>
      <c r="BY6" s="159">
        <f t="shared" si="49"/>
        <v>10.073734424892905</v>
      </c>
      <c r="BZ6" s="159">
        <f t="shared" si="50"/>
        <v>11.290333875244299</v>
      </c>
      <c r="CA6" s="159">
        <f t="shared" si="51"/>
        <v>1.8461096464091125</v>
      </c>
      <c r="CB6" s="159">
        <f t="shared" si="52"/>
        <v>6.481673813797971</v>
      </c>
      <c r="CC6" s="159">
        <f t="shared" si="53"/>
        <v>5.7819865705798277</v>
      </c>
      <c r="CD6" s="159">
        <f t="shared" si="54"/>
        <v>10.63582343596843</v>
      </c>
      <c r="CE6" s="159">
        <f t="shared" si="68"/>
        <v>5.7819865705798277</v>
      </c>
      <c r="CF6" s="159">
        <f t="shared" si="55"/>
        <v>6.1603370476095325</v>
      </c>
      <c r="CG6" s="159">
        <f t="shared" si="56"/>
        <v>11.22818089595096</v>
      </c>
      <c r="CH6" s="159">
        <f t="shared" si="69"/>
        <v>6.1603370476095325</v>
      </c>
      <c r="CI6" s="159">
        <f t="shared" si="70"/>
        <v>3.9911784567721496</v>
      </c>
    </row>
    <row r="7" spans="1:87" hidden="1" x14ac:dyDescent="0.25">
      <c r="A7" t="str">
        <f>PLANTILLA!D10</f>
        <v>B. Bartolache</v>
      </c>
      <c r="B7" t="s">
        <v>1025</v>
      </c>
      <c r="C7" s="687">
        <f>PLANTILLA!E10</f>
        <v>30</v>
      </c>
      <c r="D7" s="687">
        <f ca="1">PLANTILLA!F10</f>
        <v>85</v>
      </c>
      <c r="E7" s="687"/>
      <c r="F7" s="317">
        <v>41527</v>
      </c>
      <c r="G7" s="532">
        <v>1.5</v>
      </c>
      <c r="H7" s="533">
        <f>PLANTILLA!I10</f>
        <v>9.1999999999999993</v>
      </c>
      <c r="I7" s="371"/>
      <c r="J7" s="163">
        <f>PLANTILLA!V10</f>
        <v>0</v>
      </c>
      <c r="K7" s="163">
        <f>PLANTILLA!W10</f>
        <v>11.649999999999997</v>
      </c>
      <c r="L7" s="163">
        <f>PLANTILLA!X10</f>
        <v>6.6275000000000022</v>
      </c>
      <c r="M7" s="163">
        <f>PLANTILLA!Y10</f>
        <v>7.2200000000000015</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5.8829696566389158</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9.4614898380135983</v>
      </c>
      <c r="BG7" s="159">
        <f t="shared" si="31"/>
        <v>2.8450171551870378</v>
      </c>
      <c r="BH7" s="159">
        <f t="shared" si="32"/>
        <v>7.000999461683457</v>
      </c>
      <c r="BI7" s="159">
        <f t="shared" si="33"/>
        <v>3.8108533152256348</v>
      </c>
      <c r="BJ7" s="159">
        <f t="shared" si="34"/>
        <v>3.5861817162915424</v>
      </c>
      <c r="BK7" s="159">
        <f t="shared" si="35"/>
        <v>9.106214081466689</v>
      </c>
      <c r="BL7" s="159">
        <f t="shared" si="36"/>
        <v>0.61386262269595826</v>
      </c>
      <c r="BM7" s="159">
        <f t="shared" si="37"/>
        <v>2.5983090785629326</v>
      </c>
      <c r="BN7" s="159">
        <f t="shared" si="38"/>
        <v>0.9815834296793301</v>
      </c>
      <c r="BO7" s="159">
        <f t="shared" si="39"/>
        <v>2.8708278831205258</v>
      </c>
      <c r="BP7" s="159">
        <f t="shared" si="40"/>
        <v>13.381294861288513</v>
      </c>
      <c r="BQ7" s="159">
        <f t="shared" si="41"/>
        <v>1.5936818089221996</v>
      </c>
      <c r="BR7" s="159">
        <f t="shared" si="42"/>
        <v>4.0995543239548491</v>
      </c>
      <c r="BS7" s="159">
        <f t="shared" si="43"/>
        <v>3.5221523064964195</v>
      </c>
      <c r="BT7" s="159">
        <f t="shared" si="44"/>
        <v>4.2827104485896372</v>
      </c>
      <c r="BU7" s="159">
        <f t="shared" si="45"/>
        <v>11.5247958835985</v>
      </c>
      <c r="BV7" s="159">
        <f t="shared" si="46"/>
        <v>1.4284111028117492</v>
      </c>
      <c r="BW7" s="159">
        <f t="shared" si="47"/>
        <v>4.0995543239548491</v>
      </c>
      <c r="BX7" s="159">
        <f t="shared" si="48"/>
        <v>3.5221523064964195</v>
      </c>
      <c r="BY7" s="159">
        <f t="shared" si="49"/>
        <v>5.9393193254067276</v>
      </c>
      <c r="BZ7" s="159">
        <f t="shared" si="50"/>
        <v>9.3019201406323617</v>
      </c>
      <c r="CA7" s="159">
        <f t="shared" si="51"/>
        <v>1.7471474645961891</v>
      </c>
      <c r="CB7" s="159">
        <f t="shared" si="52"/>
        <v>3.8214954772030612</v>
      </c>
      <c r="CC7" s="159">
        <f t="shared" si="53"/>
        <v>5.3324312773960454</v>
      </c>
      <c r="CD7" s="159">
        <f t="shared" si="54"/>
        <v>10.727286791454791</v>
      </c>
      <c r="CE7" s="159">
        <f t="shared" si="68"/>
        <v>5.3324312773960454</v>
      </c>
      <c r="CF7" s="159">
        <f t="shared" si="55"/>
        <v>5.6827464219150405</v>
      </c>
      <c r="CG7" s="159">
        <f t="shared" si="56"/>
        <v>11.761114047514749</v>
      </c>
      <c r="CH7" s="159">
        <f t="shared" si="69"/>
        <v>5.6827464219150405</v>
      </c>
      <c r="CI7" s="159">
        <f t="shared" si="70"/>
        <v>2.3531376091151852</v>
      </c>
    </row>
    <row r="8" spans="1:87" hidden="1" x14ac:dyDescent="0.25">
      <c r="A8" t="str">
        <f>PLANTILLA!D11</f>
        <v>F. Lasprilla</v>
      </c>
      <c r="B8" t="s">
        <v>1025</v>
      </c>
      <c r="C8" s="687">
        <f>PLANTILLA!E11</f>
        <v>26</v>
      </c>
      <c r="D8" s="687">
        <f ca="1">PLANTILLA!F11</f>
        <v>108</v>
      </c>
      <c r="E8" s="687"/>
      <c r="F8" s="317">
        <v>42106</v>
      </c>
      <c r="G8" s="532">
        <v>1.5</v>
      </c>
      <c r="H8" s="533">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87">
        <f>PLANTILLA!E7</f>
        <v>29</v>
      </c>
      <c r="D9" s="687">
        <f ca="1">PLANTILLA!F7</f>
        <v>101</v>
      </c>
      <c r="E9" s="687" t="str">
        <f>PLANTILLA!G7</f>
        <v>CAB</v>
      </c>
      <c r="F9" s="317">
        <v>41400</v>
      </c>
      <c r="G9" s="532">
        <v>1</v>
      </c>
      <c r="H9" s="533">
        <f>PLANTILLA!I7</f>
        <v>14</v>
      </c>
      <c r="I9" s="371"/>
      <c r="J9" s="163">
        <f>PLANTILLA!V7</f>
        <v>0</v>
      </c>
      <c r="K9" s="163">
        <f>PLANTILLA!W7</f>
        <v>14.200000000000003</v>
      </c>
      <c r="L9" s="163">
        <f>PLANTILLA!X7</f>
        <v>9.283333333333335</v>
      </c>
      <c r="M9" s="163">
        <f>PLANTILLA!Y7</f>
        <v>14.249999999999996</v>
      </c>
      <c r="N9" s="163">
        <f>PLANTILLA!Z7</f>
        <v>9.3499999999999979</v>
      </c>
      <c r="O9" s="163">
        <f>PLANTILLA!AA7</f>
        <v>1.1428571428571428</v>
      </c>
      <c r="P9" s="163">
        <f>PLANTILLA!AB7</f>
        <v>9.4</v>
      </c>
      <c r="Q9" s="163">
        <f>((2*(N9+1))+(K9+1))/8</f>
        <v>4.4874999999999998</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2.0205131657004434</v>
      </c>
      <c r="AO9" s="159">
        <f t="shared" si="17"/>
        <v>4.5166060928441665</v>
      </c>
      <c r="AP9" s="159">
        <f t="shared" si="18"/>
        <v>9.9365334042571654</v>
      </c>
      <c r="AQ9" s="159">
        <f>AO9/2</f>
        <v>2.2583030464220832</v>
      </c>
      <c r="AR9" s="159">
        <f t="shared" si="19"/>
        <v>11.150059820907009</v>
      </c>
      <c r="AS9" s="159">
        <f t="shared" si="20"/>
        <v>1.5441621928508942</v>
      </c>
      <c r="AT9" s="159">
        <f t="shared" si="21"/>
        <v>2.0604683049859167</v>
      </c>
      <c r="AU9" s="159">
        <f>AS9/2</f>
        <v>0.77208109642544709</v>
      </c>
      <c r="AV9" s="159">
        <f t="shared" si="22"/>
        <v>3.1616242649909165</v>
      </c>
      <c r="AW9" s="159">
        <f t="shared" si="23"/>
        <v>6.6912682856950614</v>
      </c>
      <c r="AX9" s="159">
        <f>AV9/2</f>
        <v>1.5808121324954583</v>
      </c>
      <c r="AY9" s="159">
        <f t="shared" si="24"/>
        <v>11.811504047570985</v>
      </c>
      <c r="AZ9" s="159">
        <f t="shared" si="25"/>
        <v>3.005177190702125</v>
      </c>
      <c r="BA9" s="159">
        <f t="shared" si="26"/>
        <v>4.8213720635449446</v>
      </c>
      <c r="BB9" s="159">
        <f>AZ9/2</f>
        <v>1.5025885953510625</v>
      </c>
      <c r="BC9" s="159">
        <f t="shared" si="27"/>
        <v>4.8678976778431569</v>
      </c>
      <c r="BD9" s="159">
        <f t="shared" si="28"/>
        <v>5.8214034085547031</v>
      </c>
      <c r="BE9" s="159">
        <f t="shared" si="29"/>
        <v>10.405935065910038</v>
      </c>
      <c r="BF9" s="159">
        <f t="shared" si="30"/>
        <v>13.372293764957266</v>
      </c>
      <c r="BG9" s="159">
        <f t="shared" si="31"/>
        <v>2.8626391421312731</v>
      </c>
      <c r="BH9" s="159">
        <f t="shared" si="32"/>
        <v>8.1131627964052608</v>
      </c>
      <c r="BI9" s="159">
        <f t="shared" si="33"/>
        <v>4.4162370685587407</v>
      </c>
      <c r="BJ9" s="159">
        <f t="shared" si="34"/>
        <v>4.5001830421245455</v>
      </c>
      <c r="BK9" s="159">
        <f t="shared" si="35"/>
        <v>13.679221204243705</v>
      </c>
      <c r="BL9" s="159">
        <f t="shared" si="36"/>
        <v>0.61766487714035767</v>
      </c>
      <c r="BM9" s="159">
        <f t="shared" si="37"/>
        <v>3.0110707285627774</v>
      </c>
      <c r="BN9" s="159">
        <f t="shared" si="38"/>
        <v>1.1375156085681604</v>
      </c>
      <c r="BO9" s="159">
        <f t="shared" si="39"/>
        <v>3.6025087345091502</v>
      </c>
      <c r="BP9" s="159">
        <f t="shared" si="40"/>
        <v>20.175327538509613</v>
      </c>
      <c r="BQ9" s="159">
        <f t="shared" si="41"/>
        <v>1.6035530464220826</v>
      </c>
      <c r="BR9" s="159">
        <f t="shared" si="42"/>
        <v>4.7508004828434931</v>
      </c>
      <c r="BS9" s="159">
        <f t="shared" si="43"/>
        <v>4.0816736542739873</v>
      </c>
      <c r="BT9" s="159">
        <f t="shared" si="44"/>
        <v>5.3742343416447982</v>
      </c>
      <c r="BU9" s="159">
        <f t="shared" si="45"/>
        <v>17.39461315137531</v>
      </c>
      <c r="BV9" s="159">
        <f t="shared" si="46"/>
        <v>1.4372586564227554</v>
      </c>
      <c r="BW9" s="159">
        <f t="shared" si="47"/>
        <v>4.7508004828434931</v>
      </c>
      <c r="BX9" s="159">
        <f t="shared" si="48"/>
        <v>4.0816736542739873</v>
      </c>
      <c r="BY9" s="159">
        <f t="shared" si="49"/>
        <v>7.4530590540172916</v>
      </c>
      <c r="BZ9" s="159">
        <f t="shared" si="50"/>
        <v>14.070762789242693</v>
      </c>
      <c r="CA9" s="159">
        <f t="shared" si="51"/>
        <v>1.7579692657071717</v>
      </c>
      <c r="CB9" s="159">
        <f t="shared" si="52"/>
        <v>4.7954706433138199</v>
      </c>
      <c r="CC9" s="159">
        <f t="shared" si="53"/>
        <v>5.8518197992606718</v>
      </c>
      <c r="CD9" s="159">
        <f t="shared" si="54"/>
        <v>8.5900559385173061</v>
      </c>
      <c r="CE9" s="159">
        <f>CC9</f>
        <v>5.8518197992606718</v>
      </c>
      <c r="CF9" s="159">
        <f t="shared" si="55"/>
        <v>6.3491432121129119</v>
      </c>
      <c r="CG9" s="159">
        <f t="shared" si="56"/>
        <v>8.0540728506484847</v>
      </c>
      <c r="CH9" s="159">
        <f>CF9</f>
        <v>6.3491432121129119</v>
      </c>
      <c r="CI9" s="159">
        <f>((L9+G9+(LOG(H9)*4/3))*0.25)</f>
        <v>2.9528760118927462</v>
      </c>
    </row>
    <row r="10" spans="1:87" x14ac:dyDescent="0.25">
      <c r="A10" t="str">
        <f>PLANTILLA!D12</f>
        <v>E. Romweber</v>
      </c>
      <c r="B10" t="s">
        <v>1025</v>
      </c>
      <c r="C10" s="687">
        <f>PLANTILLA!E12</f>
        <v>30</v>
      </c>
      <c r="D10" s="687">
        <f ca="1">PLANTILLA!F12</f>
        <v>62</v>
      </c>
      <c r="E10" s="687" t="str">
        <f>PLANTILLA!G12</f>
        <v>IMP</v>
      </c>
      <c r="F10" s="317">
        <v>41583</v>
      </c>
      <c r="G10" s="532">
        <v>1.5</v>
      </c>
      <c r="H10" s="533">
        <f>PLANTILLA!I12</f>
        <v>12.2</v>
      </c>
      <c r="I10" s="371"/>
      <c r="J10" s="163">
        <f>PLANTILLA!V12</f>
        <v>0</v>
      </c>
      <c r="K10" s="163">
        <f>PLANTILLA!W12</f>
        <v>11.99</v>
      </c>
      <c r="L10" s="163">
        <f>PLANTILLA!X12</f>
        <v>12.399111111111115</v>
      </c>
      <c r="M10" s="163">
        <f>PLANTILLA!Y12</f>
        <v>13.05</v>
      </c>
      <c r="N10" s="163">
        <f>PLANTILLA!Z12</f>
        <v>10.84</v>
      </c>
      <c r="O10" s="163">
        <f>PLANTILLA!AA12</f>
        <v>7.7700000000000005</v>
      </c>
      <c r="P10" s="163">
        <f>PLANTILLA!AB12</f>
        <v>17.13</v>
      </c>
      <c r="Q10" s="163">
        <f t="shared" si="57"/>
        <v>4.5837500000000002</v>
      </c>
      <c r="R10" s="163">
        <f t="shared" si="58"/>
        <v>21.235840301054928</v>
      </c>
      <c r="S10" s="163">
        <f t="shared" si="59"/>
        <v>0.90239999999999987</v>
      </c>
      <c r="T10" s="163">
        <f t="shared" si="60"/>
        <v>0.99349999999999983</v>
      </c>
      <c r="U10" s="163">
        <f t="shared" ca="1" si="0"/>
        <v>19.578479774232996</v>
      </c>
      <c r="V10" s="159">
        <f t="shared" si="1"/>
        <v>5.8832628429054079</v>
      </c>
      <c r="W10" s="159">
        <f t="shared" si="2"/>
        <v>8.9022373885348003</v>
      </c>
      <c r="X10" s="159">
        <f t="shared" si="61"/>
        <v>5.8832628429054079</v>
      </c>
      <c r="Y10" s="159">
        <f t="shared" si="3"/>
        <v>7.7082555635042276</v>
      </c>
      <c r="Z10" s="159">
        <f t="shared" si="4"/>
        <v>14.938479774232999</v>
      </c>
      <c r="AA10" s="159">
        <f t="shared" si="62"/>
        <v>3.8541277817521138</v>
      </c>
      <c r="AB10" s="159">
        <f t="shared" si="5"/>
        <v>3.6527266307118982</v>
      </c>
      <c r="AC10" s="159">
        <f t="shared" si="6"/>
        <v>5.6467453546600739</v>
      </c>
      <c r="AD10" s="159">
        <f t="shared" si="7"/>
        <v>10.800520876770458</v>
      </c>
      <c r="AE10" s="159">
        <f t="shared" si="63"/>
        <v>2.8233726773300369</v>
      </c>
      <c r="AF10" s="159">
        <f t="shared" si="8"/>
        <v>5.9088224908574833</v>
      </c>
      <c r="AG10" s="387">
        <f t="shared" si="9"/>
        <v>13.743401392294359</v>
      </c>
      <c r="AH10" s="159">
        <f t="shared" si="10"/>
        <v>6.1845306265324611</v>
      </c>
      <c r="AI10" s="159">
        <f t="shared" si="11"/>
        <v>2.5630476778524667</v>
      </c>
      <c r="AJ10" s="387">
        <f t="shared" si="12"/>
        <v>9.4071061072490014</v>
      </c>
      <c r="AK10" s="159">
        <f t="shared" si="13"/>
        <v>11.263613749771681</v>
      </c>
      <c r="AL10" s="159">
        <f t="shared" si="14"/>
        <v>10.576443680156963</v>
      </c>
      <c r="AM10" s="159">
        <f t="shared" si="15"/>
        <v>3.3531061222969103</v>
      </c>
      <c r="AN10" s="159">
        <f t="shared" si="16"/>
        <v>2.1692821749791031</v>
      </c>
      <c r="AO10" s="159">
        <f t="shared" si="17"/>
        <v>4.0333895390429095</v>
      </c>
      <c r="AP10" s="159">
        <f t="shared" si="18"/>
        <v>8.8734569858944017</v>
      </c>
      <c r="AQ10" s="159">
        <f t="shared" si="64"/>
        <v>2.0166947695214548</v>
      </c>
      <c r="AR10" s="159">
        <f t="shared" si="19"/>
        <v>14.488125795764841</v>
      </c>
      <c r="AS10" s="159">
        <f t="shared" si="20"/>
        <v>1.7925023706502896</v>
      </c>
      <c r="AT10" s="159">
        <f t="shared" si="21"/>
        <v>3.5089145738502676</v>
      </c>
      <c r="AU10" s="159">
        <f t="shared" si="65"/>
        <v>0.89625118532514481</v>
      </c>
      <c r="AV10" s="159">
        <f t="shared" si="22"/>
        <v>2.8233726773300369</v>
      </c>
      <c r="AW10" s="159">
        <f t="shared" si="23"/>
        <v>5.9753919096932</v>
      </c>
      <c r="AX10" s="159">
        <f t="shared" si="66"/>
        <v>1.4116863386650185</v>
      </c>
      <c r="AY10" s="159">
        <f t="shared" si="24"/>
        <v>15.347590885344111</v>
      </c>
      <c r="AZ10" s="159">
        <f t="shared" si="25"/>
        <v>3.4884853828809481</v>
      </c>
      <c r="BA10" s="159">
        <f t="shared" si="26"/>
        <v>6.9527523556023816</v>
      </c>
      <c r="BB10" s="159">
        <f t="shared" si="67"/>
        <v>1.7442426914404741</v>
      </c>
      <c r="BC10" s="159">
        <f t="shared" si="27"/>
        <v>4.3470976143018021</v>
      </c>
      <c r="BD10" s="159">
        <f t="shared" si="28"/>
        <v>5.1985909614330827</v>
      </c>
      <c r="BE10" s="159">
        <f t="shared" si="29"/>
        <v>13.521227569988161</v>
      </c>
      <c r="BF10" s="159">
        <f t="shared" si="30"/>
        <v>13.526498519293133</v>
      </c>
      <c r="BG10" s="159">
        <f t="shared" si="31"/>
        <v>3.3230236255901522</v>
      </c>
      <c r="BH10" s="159">
        <f t="shared" si="32"/>
        <v>7.2451626905030038</v>
      </c>
      <c r="BI10" s="159">
        <f t="shared" si="33"/>
        <v>3.9437586603975117</v>
      </c>
      <c r="BJ10" s="159">
        <f t="shared" si="34"/>
        <v>5.8474321273161065</v>
      </c>
      <c r="BK10" s="159">
        <f t="shared" si="35"/>
        <v>13.538461322679641</v>
      </c>
      <c r="BL10" s="159">
        <f t="shared" si="36"/>
        <v>0.71700094826011573</v>
      </c>
      <c r="BM10" s="159">
        <f t="shared" si="37"/>
        <v>2.6889263593619397</v>
      </c>
      <c r="BN10" s="159">
        <f t="shared" si="38"/>
        <v>1.0158166246478439</v>
      </c>
      <c r="BO10" s="159">
        <f t="shared" si="39"/>
        <v>4.6810152200299537</v>
      </c>
      <c r="BP10" s="159">
        <f t="shared" si="40"/>
        <v>19.941984989663634</v>
      </c>
      <c r="BQ10" s="159">
        <f t="shared" si="41"/>
        <v>1.8614447695214547</v>
      </c>
      <c r="BR10" s="159">
        <f t="shared" si="42"/>
        <v>4.2425282558821715</v>
      </c>
      <c r="BS10" s="159">
        <f t="shared" si="43"/>
        <v>3.6449890649128518</v>
      </c>
      <c r="BT10" s="159">
        <f t="shared" si="44"/>
        <v>6.9831538528315704</v>
      </c>
      <c r="BU10" s="159">
        <f t="shared" si="45"/>
        <v>17.18707558985016</v>
      </c>
      <c r="BV10" s="159">
        <f t="shared" si="46"/>
        <v>1.6684060526821924</v>
      </c>
      <c r="BW10" s="159">
        <f t="shared" si="47"/>
        <v>4.2425282558821715</v>
      </c>
      <c r="BX10" s="159">
        <f t="shared" si="48"/>
        <v>3.6449890649128518</v>
      </c>
      <c r="BY10" s="159">
        <f t="shared" si="49"/>
        <v>9.6843298486521334</v>
      </c>
      <c r="BZ10" s="159">
        <f t="shared" si="50"/>
        <v>13.892109397938533</v>
      </c>
      <c r="CA10" s="159">
        <f t="shared" si="51"/>
        <v>2.0406950065864833</v>
      </c>
      <c r="CB10" s="159">
        <f t="shared" si="52"/>
        <v>6.2311218994497093</v>
      </c>
      <c r="CC10" s="159">
        <f t="shared" si="53"/>
        <v>7.1121479623753912</v>
      </c>
      <c r="CD10" s="159">
        <f t="shared" si="54"/>
        <v>13.736018225786353</v>
      </c>
      <c r="CE10" s="159">
        <f t="shared" si="68"/>
        <v>7.1121479623753912</v>
      </c>
      <c r="CF10" s="159">
        <f t="shared" si="55"/>
        <v>8.1504328993471571</v>
      </c>
      <c r="CG10" s="159">
        <f t="shared" si="56"/>
        <v>15.806428810924972</v>
      </c>
      <c r="CH10" s="159">
        <f t="shared" si="69"/>
        <v>8.1504328993471571</v>
      </c>
      <c r="CI10" s="159">
        <f t="shared" si="70"/>
        <v>3.8368977213360278</v>
      </c>
    </row>
    <row r="11" spans="1:87" x14ac:dyDescent="0.25">
      <c r="A11" t="str">
        <f>PLANTILLA!D13</f>
        <v>K. Helms</v>
      </c>
      <c r="B11" t="s">
        <v>1025</v>
      </c>
      <c r="C11" s="687">
        <f>PLANTILLA!E13</f>
        <v>30</v>
      </c>
      <c r="D11" s="687">
        <f ca="1">PLANTILLA!F13</f>
        <v>9</v>
      </c>
      <c r="E11" s="687" t="str">
        <f>PLANTILLA!G13</f>
        <v>TEC</v>
      </c>
      <c r="F11" s="317">
        <v>41722</v>
      </c>
      <c r="G11" s="532">
        <v>1.5</v>
      </c>
      <c r="H11" s="533">
        <f>PLANTILLA!I13</f>
        <v>10.199999999999999</v>
      </c>
      <c r="I11" s="371"/>
      <c r="J11" s="163">
        <f>PLANTILLA!V13</f>
        <v>0</v>
      </c>
      <c r="K11" s="163">
        <f>PLANTILLA!W13</f>
        <v>7.11</v>
      </c>
      <c r="L11" s="163">
        <f>PLANTILLA!X13</f>
        <v>10.250000000000004</v>
      </c>
      <c r="M11" s="163">
        <f>PLANTILLA!Y13</f>
        <v>13.305</v>
      </c>
      <c r="N11" s="163">
        <f>PLANTILLA!Z13</f>
        <v>10.289999999999997</v>
      </c>
      <c r="O11" s="163">
        <f>PLANTILLA!AA13</f>
        <v>5.4050000000000002</v>
      </c>
      <c r="P11" s="163">
        <f>PLANTILLA!AB13</f>
        <v>17.300000000000004</v>
      </c>
      <c r="Q11" s="163">
        <f t="shared" si="57"/>
        <v>3.8362499999999993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3.1165624545057824</v>
      </c>
      <c r="AC11" s="159">
        <f t="shared" si="6"/>
        <v>3.7629144865680062</v>
      </c>
      <c r="AD11" s="159">
        <f t="shared" si="7"/>
        <v>7.1973205655784875</v>
      </c>
      <c r="AE11" s="159">
        <f t="shared" si="63"/>
        <v>1.8814572432840031</v>
      </c>
      <c r="AF11" s="159">
        <f t="shared" si="8"/>
        <v>5.0414980881711191</v>
      </c>
      <c r="AG11" s="387">
        <f t="shared" si="9"/>
        <v>9.1584162106946181</v>
      </c>
      <c r="AH11" s="159">
        <f t="shared" si="10"/>
        <v>4.1212872948125776</v>
      </c>
      <c r="AI11" s="159">
        <f t="shared" si="11"/>
        <v>2.1868316382456543</v>
      </c>
      <c r="AJ11" s="387">
        <f t="shared" si="12"/>
        <v>9.4960825346613422</v>
      </c>
      <c r="AK11" s="159">
        <f t="shared" si="13"/>
        <v>7.5059193726779805</v>
      </c>
      <c r="AL11" s="159">
        <f t="shared" si="14"/>
        <v>7.047998562143249</v>
      </c>
      <c r="AM11" s="159">
        <f t="shared" si="15"/>
        <v>3.3641816382456544</v>
      </c>
      <c r="AN11" s="159">
        <f t="shared" si="16"/>
        <v>1.924142465956576</v>
      </c>
      <c r="AO11" s="159">
        <f t="shared" si="17"/>
        <v>2.6877960618342902</v>
      </c>
      <c r="AP11" s="159">
        <f t="shared" si="18"/>
        <v>5.9131513360354377</v>
      </c>
      <c r="AQ11" s="159">
        <f t="shared" si="64"/>
        <v>1.3438980309171451</v>
      </c>
      <c r="AR11" s="159">
        <f t="shared" si="19"/>
        <v>12.361491416191003</v>
      </c>
      <c r="AS11" s="159">
        <f t="shared" si="20"/>
        <v>1.7075240297720655</v>
      </c>
      <c r="AT11" s="159">
        <f t="shared" si="21"/>
        <v>3.0033914671016548</v>
      </c>
      <c r="AU11" s="159">
        <f t="shared" si="65"/>
        <v>0.85376201488603276</v>
      </c>
      <c r="AV11" s="159">
        <f t="shared" si="22"/>
        <v>1.8814572432840031</v>
      </c>
      <c r="AW11" s="159">
        <f t="shared" si="23"/>
        <v>3.981920091606356</v>
      </c>
      <c r="AX11" s="159">
        <f t="shared" si="66"/>
        <v>0.94072862164200155</v>
      </c>
      <c r="AY11" s="159">
        <f t="shared" si="24"/>
        <v>13.094800229015894</v>
      </c>
      <c r="AZ11" s="159">
        <f t="shared" si="25"/>
        <v>3.3231044579410196</v>
      </c>
      <c r="BA11" s="159">
        <f t="shared" si="26"/>
        <v>6.211424926187755</v>
      </c>
      <c r="BB11" s="159">
        <f t="shared" si="67"/>
        <v>1.6615522289705098</v>
      </c>
      <c r="BC11" s="159">
        <f t="shared" si="27"/>
        <v>2.8968468666436236</v>
      </c>
      <c r="BD11" s="159">
        <f t="shared" si="28"/>
        <v>3.4642704796975292</v>
      </c>
      <c r="BE11" s="159">
        <f t="shared" si="29"/>
        <v>11.536519001763002</v>
      </c>
      <c r="BF11" s="159">
        <f t="shared" si="30"/>
        <v>13.407447403595125</v>
      </c>
      <c r="BG11" s="159">
        <f t="shared" si="31"/>
        <v>3.1654868551928286</v>
      </c>
      <c r="BH11" s="159">
        <f t="shared" si="32"/>
        <v>4.8280781110727062</v>
      </c>
      <c r="BI11" s="159">
        <f t="shared" si="33"/>
        <v>2.6280672604601949</v>
      </c>
      <c r="BJ11" s="159">
        <f t="shared" si="34"/>
        <v>4.9891188872550556</v>
      </c>
      <c r="BK11" s="159">
        <f t="shared" si="35"/>
        <v>13.508910400159886</v>
      </c>
      <c r="BL11" s="159">
        <f t="shared" si="36"/>
        <v>0.68300961190882614</v>
      </c>
      <c r="BM11" s="159">
        <f t="shared" si="37"/>
        <v>1.7918640412228601</v>
      </c>
      <c r="BN11" s="159">
        <f t="shared" si="38"/>
        <v>0.67692641557308053</v>
      </c>
      <c r="BO11" s="159">
        <f t="shared" si="39"/>
        <v>3.9939140698498474</v>
      </c>
      <c r="BP11" s="159">
        <f t="shared" si="40"/>
        <v>19.906353094514433</v>
      </c>
      <c r="BQ11" s="159">
        <f t="shared" si="41"/>
        <v>1.7731980309171449</v>
      </c>
      <c r="BR11" s="159">
        <f t="shared" si="42"/>
        <v>2.8271632650405123</v>
      </c>
      <c r="BS11" s="159">
        <f t="shared" si="43"/>
        <v>2.4289712558798771</v>
      </c>
      <c r="BT11" s="159">
        <f t="shared" si="44"/>
        <v>5.958134104202232</v>
      </c>
      <c r="BU11" s="159">
        <f t="shared" si="45"/>
        <v>17.158318653749603</v>
      </c>
      <c r="BV11" s="159">
        <f t="shared" si="46"/>
        <v>1.5893108277109222</v>
      </c>
      <c r="BW11" s="159">
        <f t="shared" si="47"/>
        <v>2.8271632650405123</v>
      </c>
      <c r="BX11" s="159">
        <f t="shared" si="48"/>
        <v>2.4289712558798771</v>
      </c>
      <c r="BY11" s="159">
        <f t="shared" si="49"/>
        <v>8.2628189445090285</v>
      </c>
      <c r="BZ11" s="159">
        <f t="shared" si="50"/>
        <v>13.872176204969218</v>
      </c>
      <c r="CA11" s="159">
        <f t="shared" si="51"/>
        <v>1.9439504338943512</v>
      </c>
      <c r="CB11" s="159">
        <f t="shared" si="52"/>
        <v>5.3164888929804528</v>
      </c>
      <c r="CC11" s="159">
        <f t="shared" si="53"/>
        <v>7.7258699376385476</v>
      </c>
      <c r="CD11" s="159">
        <f t="shared" si="54"/>
        <v>11.94183005787189</v>
      </c>
      <c r="CE11" s="159">
        <f t="shared" si="68"/>
        <v>7.7258699376385476</v>
      </c>
      <c r="CF11" s="159">
        <f t="shared" si="55"/>
        <v>7.4491955426768985</v>
      </c>
      <c r="CG11" s="159">
        <f t="shared" si="56"/>
        <v>13.096541513522752</v>
      </c>
      <c r="CH11" s="159">
        <f t="shared" si="69"/>
        <v>7.4491955426768985</v>
      </c>
      <c r="CI11" s="159">
        <f t="shared" si="70"/>
        <v>3.2737000572539734</v>
      </c>
    </row>
    <row r="12" spans="1:87" x14ac:dyDescent="0.25">
      <c r="A12" t="str">
        <f>PLANTILLA!D14</f>
        <v>S. Zobbe</v>
      </c>
      <c r="B12" t="s">
        <v>1025</v>
      </c>
      <c r="C12" s="687">
        <f>PLANTILLA!E14</f>
        <v>27</v>
      </c>
      <c r="D12" s="687">
        <f ca="1">PLANTILLA!F14</f>
        <v>24</v>
      </c>
      <c r="E12" s="687" t="str">
        <f>PLANTILLA!G14</f>
        <v>CAB</v>
      </c>
      <c r="F12" s="317">
        <v>41911</v>
      </c>
      <c r="G12" s="532">
        <v>1.5</v>
      </c>
      <c r="H12" s="533">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1025</v>
      </c>
      <c r="C13" s="687">
        <f>PLANTILLA!E15</f>
        <v>29</v>
      </c>
      <c r="D13" s="687">
        <f ca="1">PLANTILLA!F15</f>
        <v>21</v>
      </c>
      <c r="E13" s="687" t="str">
        <f>PLANTILLA!G15</f>
        <v>TEC</v>
      </c>
      <c r="F13" s="317">
        <v>41747</v>
      </c>
      <c r="G13" s="532">
        <v>1.5</v>
      </c>
      <c r="H13" s="533">
        <f>PLANTILLA!I15</f>
        <v>10.4</v>
      </c>
      <c r="I13" s="371"/>
      <c r="J13" s="163">
        <f>PLANTILLA!V15</f>
        <v>0</v>
      </c>
      <c r="K13" s="163">
        <f>PLANTILLA!W15</f>
        <v>9.0936666666666657</v>
      </c>
      <c r="L13" s="163">
        <f>PLANTILLA!X15</f>
        <v>13.499999999999998</v>
      </c>
      <c r="M13" s="163">
        <f>PLANTILLA!Y15</f>
        <v>12.725000000000001</v>
      </c>
      <c r="N13" s="163">
        <f>PLANTILLA!Z15</f>
        <v>9.6033333333333353</v>
      </c>
      <c r="O13" s="163">
        <f>PLANTILLA!AA15</f>
        <v>5.0296666666666656</v>
      </c>
      <c r="P13" s="163">
        <f>PLANTILLA!AB15</f>
        <v>15.2</v>
      </c>
      <c r="Q13" s="163">
        <f t="shared" si="57"/>
        <v>3.9125416666666668</v>
      </c>
      <c r="R13" s="163">
        <f t="shared" si="58"/>
        <v>15.421104906467074</v>
      </c>
      <c r="S13" s="163">
        <f t="shared" si="59"/>
        <v>0.70748333333333324</v>
      </c>
      <c r="T13" s="163">
        <f t="shared" si="60"/>
        <v>0.81974666666666673</v>
      </c>
      <c r="U13" s="163">
        <f t="shared" ca="1" si="0"/>
        <v>17.556044452398375</v>
      </c>
      <c r="V13" s="159">
        <f t="shared" si="1"/>
        <v>5.0031788069437804</v>
      </c>
      <c r="W13" s="159">
        <f t="shared" si="2"/>
        <v>7.5519617213796328</v>
      </c>
      <c r="X13" s="159">
        <f t="shared" si="61"/>
        <v>5.0031788069437804</v>
      </c>
      <c r="Y13" s="159">
        <f t="shared" si="3"/>
        <v>6.1660509374375607</v>
      </c>
      <c r="Z13" s="159">
        <f t="shared" si="4"/>
        <v>11.949711119065039</v>
      </c>
      <c r="AA13" s="159">
        <f t="shared" si="62"/>
        <v>3.0830254687187804</v>
      </c>
      <c r="AB13" s="159">
        <f t="shared" si="5"/>
        <v>3.8927385796708123</v>
      </c>
      <c r="AC13" s="159">
        <f t="shared" si="6"/>
        <v>4.5169908030065846</v>
      </c>
      <c r="AD13" s="159">
        <f t="shared" si="7"/>
        <v>8.6396411390840235</v>
      </c>
      <c r="AE13" s="159">
        <f t="shared" si="63"/>
        <v>2.2584954015032923</v>
      </c>
      <c r="AF13" s="159">
        <f t="shared" si="8"/>
        <v>6.2970771141733737</v>
      </c>
      <c r="AG13" s="387">
        <f t="shared" si="9"/>
        <v>10.993734229539836</v>
      </c>
      <c r="AH13" s="159">
        <f t="shared" si="10"/>
        <v>4.9471804032929256</v>
      </c>
      <c r="AI13" s="159">
        <f t="shared" si="11"/>
        <v>2.7314594235505281</v>
      </c>
      <c r="AJ13" s="387">
        <f t="shared" si="12"/>
        <v>9.1616541380102436</v>
      </c>
      <c r="AK13" s="159">
        <f t="shared" si="13"/>
        <v>9.0100821837750402</v>
      </c>
      <c r="AL13" s="159">
        <f t="shared" si="14"/>
        <v>8.4603954722980479</v>
      </c>
      <c r="AM13" s="159">
        <f t="shared" si="15"/>
        <v>3.0153594235505286</v>
      </c>
      <c r="AN13" s="159">
        <f t="shared" si="16"/>
        <v>1.9493528022907316</v>
      </c>
      <c r="AO13" s="159">
        <f t="shared" si="17"/>
        <v>3.2264220021475607</v>
      </c>
      <c r="AP13" s="159">
        <f t="shared" si="18"/>
        <v>7.0981284047246334</v>
      </c>
      <c r="AQ13" s="159">
        <f t="shared" si="64"/>
        <v>1.6132110010737803</v>
      </c>
      <c r="AR13" s="159">
        <f t="shared" si="19"/>
        <v>15.440105963064063</v>
      </c>
      <c r="AS13" s="159">
        <f t="shared" si="20"/>
        <v>1.6197191121451222</v>
      </c>
      <c r="AT13" s="159">
        <f t="shared" si="21"/>
        <v>2.8593533578860568</v>
      </c>
      <c r="AU13" s="159">
        <f t="shared" si="65"/>
        <v>0.8098595560725611</v>
      </c>
      <c r="AV13" s="159">
        <f t="shared" si="22"/>
        <v>2.2584954015032923</v>
      </c>
      <c r="AW13" s="159">
        <f t="shared" si="23"/>
        <v>4.7798844476260163</v>
      </c>
      <c r="AX13" s="159">
        <f t="shared" si="66"/>
        <v>1.1292477007516462</v>
      </c>
      <c r="AY13" s="159">
        <f t="shared" si="24"/>
        <v>16.356044452398372</v>
      </c>
      <c r="AZ13" s="159">
        <f t="shared" si="25"/>
        <v>3.1522225797901222</v>
      </c>
      <c r="BA13" s="159">
        <f t="shared" si="26"/>
        <v>5.9046471599381709</v>
      </c>
      <c r="BB13" s="159">
        <f t="shared" si="67"/>
        <v>1.5761112898950611</v>
      </c>
      <c r="BC13" s="159">
        <f t="shared" si="27"/>
        <v>3.4773659356479261</v>
      </c>
      <c r="BD13" s="159">
        <f t="shared" si="28"/>
        <v>4.1584994694346333</v>
      </c>
      <c r="BE13" s="159">
        <f t="shared" si="29"/>
        <v>14.409675162562966</v>
      </c>
      <c r="BF13" s="159">
        <f t="shared" si="30"/>
        <v>12.868223518182155</v>
      </c>
      <c r="BG13" s="159">
        <f t="shared" si="31"/>
        <v>3.0027100463613419</v>
      </c>
      <c r="BH13" s="159">
        <f t="shared" si="32"/>
        <v>5.795609892746544</v>
      </c>
      <c r="BI13" s="159">
        <f t="shared" si="33"/>
        <v>3.1547237354331705</v>
      </c>
      <c r="BJ13" s="159">
        <f t="shared" si="34"/>
        <v>6.2316529363637798</v>
      </c>
      <c r="BK13" s="159">
        <f t="shared" si="35"/>
        <v>12.990377851396181</v>
      </c>
      <c r="BL13" s="159">
        <f t="shared" si="36"/>
        <v>0.64788764485804884</v>
      </c>
      <c r="BM13" s="159">
        <f t="shared" si="37"/>
        <v>2.1509480014317068</v>
      </c>
      <c r="BN13" s="159">
        <f t="shared" si="38"/>
        <v>0.81258035609642276</v>
      </c>
      <c r="BO13" s="159">
        <f t="shared" si="39"/>
        <v>4.9885935579815035</v>
      </c>
      <c r="BP13" s="159">
        <f t="shared" si="40"/>
        <v>19.144426499117642</v>
      </c>
      <c r="BQ13" s="159">
        <f t="shared" si="41"/>
        <v>1.6820160010737808</v>
      </c>
      <c r="BR13" s="159">
        <f t="shared" si="42"/>
        <v>3.3937179578144709</v>
      </c>
      <c r="BS13" s="159">
        <f t="shared" si="43"/>
        <v>2.9157295130518697</v>
      </c>
      <c r="BT13" s="159">
        <f t="shared" si="44"/>
        <v>7.4420002258412596</v>
      </c>
      <c r="BU13" s="159">
        <f t="shared" si="45"/>
        <v>16.502110586590732</v>
      </c>
      <c r="BV13" s="159">
        <f t="shared" si="46"/>
        <v>1.5075847120735368</v>
      </c>
      <c r="BW13" s="159">
        <f t="shared" si="47"/>
        <v>3.3937179578144709</v>
      </c>
      <c r="BX13" s="159">
        <f t="shared" si="48"/>
        <v>2.9157295130518697</v>
      </c>
      <c r="BY13" s="159">
        <f t="shared" si="49"/>
        <v>10.320664049463373</v>
      </c>
      <c r="BZ13" s="159">
        <f t="shared" si="50"/>
        <v>13.34255311822988</v>
      </c>
      <c r="CA13" s="159">
        <f t="shared" si="51"/>
        <v>1.8439879122882927</v>
      </c>
      <c r="CB13" s="159">
        <f t="shared" si="52"/>
        <v>6.6405540476737395</v>
      </c>
      <c r="CC13" s="159">
        <f t="shared" si="53"/>
        <v>7.3754803825580906</v>
      </c>
      <c r="CD13" s="159">
        <f t="shared" si="54"/>
        <v>11.362811720067235</v>
      </c>
      <c r="CE13" s="159">
        <f t="shared" si="68"/>
        <v>7.3754803825580906</v>
      </c>
      <c r="CF13" s="159">
        <f t="shared" si="55"/>
        <v>7.1329273605108536</v>
      </c>
      <c r="CG13" s="159">
        <f t="shared" si="56"/>
        <v>12.48322152200004</v>
      </c>
      <c r="CH13" s="159">
        <f t="shared" si="69"/>
        <v>7.1329273605108536</v>
      </c>
      <c r="CI13" s="159">
        <f t="shared" si="70"/>
        <v>4.089011113099593</v>
      </c>
    </row>
    <row r="14" spans="1:87" x14ac:dyDescent="0.25">
      <c r="A14" t="str">
        <f>PLANTILLA!D16</f>
        <v>C. Rojas</v>
      </c>
      <c r="B14" t="s">
        <v>1025</v>
      </c>
      <c r="C14" s="687">
        <f>PLANTILLA!E16</f>
        <v>31</v>
      </c>
      <c r="D14" s="687">
        <f ca="1">PLANTILLA!F16</f>
        <v>55</v>
      </c>
      <c r="E14" s="687" t="str">
        <f>PLANTILLA!G16</f>
        <v>TEC</v>
      </c>
      <c r="F14" s="317">
        <v>41653</v>
      </c>
      <c r="G14" s="532">
        <v>1.5</v>
      </c>
      <c r="H14" s="533">
        <f>PLANTILLA!I16</f>
        <v>10.9</v>
      </c>
      <c r="I14" s="371"/>
      <c r="J14" s="163">
        <f>PLANTILLA!V16</f>
        <v>0</v>
      </c>
      <c r="K14" s="163">
        <f>PLANTILLA!W16</f>
        <v>8.6075555555555585</v>
      </c>
      <c r="L14" s="163">
        <f>PLANTILLA!X16</f>
        <v>14.09516031746031</v>
      </c>
      <c r="M14" s="163">
        <f>PLANTILLA!Y16</f>
        <v>10.049999999999995</v>
      </c>
      <c r="N14" s="163">
        <f>PLANTILLA!Z16</f>
        <v>10.029999999999999</v>
      </c>
      <c r="O14" s="163">
        <f>PLANTILLA!AA16</f>
        <v>4.3999999999999995</v>
      </c>
      <c r="P14" s="163">
        <f>PLANTILLA!AB16</f>
        <v>16.544444444444441</v>
      </c>
      <c r="Q14" s="163">
        <f t="shared" si="57"/>
        <v>3.9584444444444449</v>
      </c>
      <c r="R14" s="163">
        <f t="shared" si="58"/>
        <v>15.175394525042813</v>
      </c>
      <c r="S14" s="163">
        <f t="shared" si="59"/>
        <v>0.71633333333333327</v>
      </c>
      <c r="T14" s="163">
        <f t="shared" si="60"/>
        <v>0.84063555555555569</v>
      </c>
      <c r="U14" s="163">
        <f t="shared" ca="1" si="0"/>
        <v>18.92767977503194</v>
      </c>
      <c r="V14" s="159">
        <f t="shared" si="1"/>
        <v>4.8927497769362205</v>
      </c>
      <c r="W14" s="159">
        <f t="shared" si="2"/>
        <v>7.3804679228995713</v>
      </c>
      <c r="X14" s="159">
        <f t="shared" si="61"/>
        <v>4.8927497769362205</v>
      </c>
      <c r="Y14" s="159">
        <f t="shared" si="3"/>
        <v>5.9292480972498174</v>
      </c>
      <c r="Z14" s="159">
        <f t="shared" si="4"/>
        <v>11.490790886143056</v>
      </c>
      <c r="AA14" s="159">
        <f t="shared" si="62"/>
        <v>2.9646240486249087</v>
      </c>
      <c r="AB14" s="159">
        <f t="shared" si="5"/>
        <v>4.0408581642353782</v>
      </c>
      <c r="AC14" s="159">
        <f t="shared" si="6"/>
        <v>4.3435189549620752</v>
      </c>
      <c r="AD14" s="159">
        <f t="shared" si="7"/>
        <v>8.3078418106814294</v>
      </c>
      <c r="AE14" s="159">
        <f t="shared" si="63"/>
        <v>2.1717594774810376</v>
      </c>
      <c r="AF14" s="159">
        <f t="shared" si="8"/>
        <v>6.5366823244984067</v>
      </c>
      <c r="AG14" s="387">
        <f t="shared" si="9"/>
        <v>10.571527615251613</v>
      </c>
      <c r="AH14" s="159">
        <f t="shared" si="10"/>
        <v>4.7571874268632248</v>
      </c>
      <c r="AI14" s="159">
        <f t="shared" si="11"/>
        <v>2.8353920732239843</v>
      </c>
      <c r="AJ14" s="387">
        <f t="shared" si="12"/>
        <v>7.6047423743854452</v>
      </c>
      <c r="AK14" s="159">
        <f t="shared" si="13"/>
        <v>8.6640563281518652</v>
      </c>
      <c r="AL14" s="159">
        <f t="shared" si="14"/>
        <v>8.1354799473892836</v>
      </c>
      <c r="AM14" s="159">
        <f t="shared" si="15"/>
        <v>3.2444225224303342</v>
      </c>
      <c r="AN14" s="159">
        <f t="shared" si="16"/>
        <v>1.9704037752091994</v>
      </c>
      <c r="AO14" s="159">
        <f t="shared" si="17"/>
        <v>3.1025135392586254</v>
      </c>
      <c r="AP14" s="159">
        <f t="shared" si="18"/>
        <v>6.8255297863689748</v>
      </c>
      <c r="AQ14" s="159">
        <f t="shared" si="64"/>
        <v>1.5512567696293127</v>
      </c>
      <c r="AR14" s="159">
        <f t="shared" si="19"/>
        <v>16.027605491757129</v>
      </c>
      <c r="AS14" s="159">
        <f t="shared" si="20"/>
        <v>1.6787205929763747</v>
      </c>
      <c r="AT14" s="159">
        <f t="shared" si="21"/>
        <v>2.8095879518621363</v>
      </c>
      <c r="AU14" s="159">
        <f t="shared" si="65"/>
        <v>0.83936029648818733</v>
      </c>
      <c r="AV14" s="159">
        <f t="shared" si="22"/>
        <v>2.1717594774810376</v>
      </c>
      <c r="AW14" s="159">
        <f t="shared" si="23"/>
        <v>4.5963163544572225</v>
      </c>
      <c r="AX14" s="159">
        <f t="shared" si="66"/>
        <v>1.0858797387405188</v>
      </c>
      <c r="AY14" s="159">
        <f t="shared" si="24"/>
        <v>16.978395648047808</v>
      </c>
      <c r="AZ14" s="159">
        <f t="shared" si="25"/>
        <v>3.2670485386386368</v>
      </c>
      <c r="BA14" s="159">
        <f t="shared" si="26"/>
        <v>5.9328926671537117</v>
      </c>
      <c r="BB14" s="159">
        <f t="shared" si="67"/>
        <v>1.6335242693193184</v>
      </c>
      <c r="BC14" s="159">
        <f t="shared" si="27"/>
        <v>3.3438201478676293</v>
      </c>
      <c r="BD14" s="159">
        <f t="shared" si="28"/>
        <v>3.9987952283777832</v>
      </c>
      <c r="BE14" s="159">
        <f t="shared" si="29"/>
        <v>14.95796656593012</v>
      </c>
      <c r="BF14" s="159">
        <f t="shared" si="30"/>
        <v>11.491346208892281</v>
      </c>
      <c r="BG14" s="159">
        <f t="shared" si="31"/>
        <v>3.1120897146715869</v>
      </c>
      <c r="BH14" s="159">
        <f t="shared" si="32"/>
        <v>5.5730335797793824</v>
      </c>
      <c r="BI14" s="159">
        <f t="shared" si="33"/>
        <v>3.0335687939417668</v>
      </c>
      <c r="BJ14" s="159">
        <f t="shared" si="34"/>
        <v>6.4687687419062154</v>
      </c>
      <c r="BK14" s="159">
        <f t="shared" si="35"/>
        <v>11.29962767893347</v>
      </c>
      <c r="BL14" s="159">
        <f t="shared" si="36"/>
        <v>0.67148823719054984</v>
      </c>
      <c r="BM14" s="159">
        <f t="shared" si="37"/>
        <v>2.06834235950575</v>
      </c>
      <c r="BN14" s="159">
        <f t="shared" si="38"/>
        <v>0.78137378025772786</v>
      </c>
      <c r="BO14" s="159">
        <f t="shared" si="39"/>
        <v>5.1784106726545813</v>
      </c>
      <c r="BP14" s="159">
        <f t="shared" si="40"/>
        <v>16.626420635135517</v>
      </c>
      <c r="BQ14" s="159">
        <f t="shared" si="41"/>
        <v>1.7432867696293122</v>
      </c>
      <c r="BR14" s="159">
        <f t="shared" si="42"/>
        <v>3.2633846116646277</v>
      </c>
      <c r="BS14" s="159">
        <f t="shared" si="43"/>
        <v>2.8037529762189055</v>
      </c>
      <c r="BT14" s="159">
        <f t="shared" si="44"/>
        <v>7.7251700198617526</v>
      </c>
      <c r="BU14" s="159">
        <f t="shared" si="45"/>
        <v>14.325144746290944</v>
      </c>
      <c r="BV14" s="159">
        <f t="shared" si="46"/>
        <v>1.562501475001087</v>
      </c>
      <c r="BW14" s="159">
        <f t="shared" si="47"/>
        <v>3.2633846116646277</v>
      </c>
      <c r="BX14" s="159">
        <f t="shared" si="48"/>
        <v>2.8037529762189055</v>
      </c>
      <c r="BY14" s="159">
        <f t="shared" si="49"/>
        <v>10.713367653918167</v>
      </c>
      <c r="BZ14" s="159">
        <f t="shared" si="50"/>
        <v>11.571385620875807</v>
      </c>
      <c r="CA14" s="159">
        <f t="shared" si="51"/>
        <v>1.9111588289269494</v>
      </c>
      <c r="CB14" s="159">
        <f t="shared" si="52"/>
        <v>6.8932286331074106</v>
      </c>
      <c r="CC14" s="159">
        <f t="shared" si="53"/>
        <v>7.0488444336830858</v>
      </c>
      <c r="CD14" s="159">
        <f t="shared" si="54"/>
        <v>11.258012982241521</v>
      </c>
      <c r="CE14" s="159">
        <f t="shared" si="68"/>
        <v>7.0488444336830858</v>
      </c>
      <c r="CF14" s="159">
        <f t="shared" si="55"/>
        <v>6.4555656109560102</v>
      </c>
      <c r="CG14" s="159">
        <f t="shared" si="56"/>
        <v>12.048219167574285</v>
      </c>
      <c r="CH14" s="159">
        <f t="shared" si="69"/>
        <v>6.4555656109560102</v>
      </c>
      <c r="CI14" s="159">
        <f t="shared" si="70"/>
        <v>4.2445989120119521</v>
      </c>
    </row>
    <row r="15" spans="1:87" hidden="1" x14ac:dyDescent="0.25">
      <c r="A15" t="str">
        <f>PLANTILLA!D17</f>
        <v>E. Gross</v>
      </c>
      <c r="B15" t="s">
        <v>1025</v>
      </c>
      <c r="C15" s="687">
        <f>PLANTILLA!E17</f>
        <v>30</v>
      </c>
      <c r="D15" s="687">
        <f ca="1">PLANTILLA!F17</f>
        <v>49</v>
      </c>
      <c r="E15" s="687"/>
      <c r="F15" s="317">
        <v>41552</v>
      </c>
      <c r="G15" s="532">
        <v>1.5</v>
      </c>
      <c r="H15" s="533">
        <f>PLANTILLA!I17</f>
        <v>9</v>
      </c>
      <c r="I15" s="371"/>
      <c r="J15" s="163">
        <f>PLANTILLA!V17</f>
        <v>0</v>
      </c>
      <c r="K15" s="163">
        <f>PLANTILLA!W17</f>
        <v>10.149999999999997</v>
      </c>
      <c r="L15" s="163">
        <f>PLANTILLA!X17</f>
        <v>12.749777777777778</v>
      </c>
      <c r="M15" s="163">
        <f>PLANTILLA!Y17</f>
        <v>5.1199999999999983</v>
      </c>
      <c r="N15" s="163">
        <f>PLANTILLA!Z17</f>
        <v>9.17</v>
      </c>
      <c r="O15" s="163">
        <f>PLANTILLA!AA17</f>
        <v>2.98</v>
      </c>
      <c r="P15" s="163">
        <f>PLANTILLA!AB17</f>
        <v>16.959999999999997</v>
      </c>
      <c r="Q15" s="163">
        <f t="shared" si="57"/>
        <v>3.9362499999999994</v>
      </c>
      <c r="R15" s="163">
        <f t="shared" si="58"/>
        <v>12.801634594481213</v>
      </c>
      <c r="S15" s="163">
        <f t="shared" si="59"/>
        <v>0.65779999999999994</v>
      </c>
      <c r="T15" s="163">
        <f t="shared" si="60"/>
        <v>0.91479999999999984</v>
      </c>
      <c r="U15" s="163">
        <f t="shared" ca="1" si="0"/>
        <v>19.232323345919099</v>
      </c>
      <c r="V15" s="159">
        <f t="shared" si="1"/>
        <v>5.2216382809873734</v>
      </c>
      <c r="W15" s="159">
        <f t="shared" si="2"/>
        <v>7.8928194395815563</v>
      </c>
      <c r="X15" s="159">
        <f t="shared" si="61"/>
        <v>5.2216382809873734</v>
      </c>
      <c r="Y15" s="159">
        <f t="shared" si="3"/>
        <v>6.6679188464942536</v>
      </c>
      <c r="Z15" s="159">
        <f t="shared" si="4"/>
        <v>12.922323345919096</v>
      </c>
      <c r="AA15" s="159">
        <f t="shared" si="62"/>
        <v>3.3339594232471268</v>
      </c>
      <c r="AB15" s="159">
        <f t="shared" si="5"/>
        <v>3.6942600674398567</v>
      </c>
      <c r="AC15" s="159">
        <f t="shared" si="6"/>
        <v>4.8846382247574187</v>
      </c>
      <c r="AD15" s="159">
        <f t="shared" si="7"/>
        <v>9.3428397790995064</v>
      </c>
      <c r="AE15" s="159">
        <f t="shared" si="63"/>
        <v>2.4423191123787094</v>
      </c>
      <c r="AF15" s="159">
        <f t="shared" si="8"/>
        <v>5.9760089326232979</v>
      </c>
      <c r="AG15" s="387">
        <f t="shared" si="9"/>
        <v>11.888537478245569</v>
      </c>
      <c r="AH15" s="159">
        <f t="shared" si="10"/>
        <v>5.3498418652105055</v>
      </c>
      <c r="AI15" s="159">
        <f t="shared" si="11"/>
        <v>2.5921908876573787</v>
      </c>
      <c r="AJ15" s="387">
        <f t="shared" si="12"/>
        <v>4.6406861274004294</v>
      </c>
      <c r="AK15" s="159">
        <f t="shared" si="13"/>
        <v>9.7434318028229985</v>
      </c>
      <c r="AL15" s="159">
        <f t="shared" si="14"/>
        <v>9.1490049289107205</v>
      </c>
      <c r="AM15" s="159">
        <f t="shared" si="15"/>
        <v>3.2952979987684898</v>
      </c>
      <c r="AN15" s="159">
        <f t="shared" si="16"/>
        <v>1.9320691236247003</v>
      </c>
      <c r="AO15" s="159">
        <f t="shared" si="17"/>
        <v>3.4890273033981565</v>
      </c>
      <c r="AP15" s="159">
        <f t="shared" si="18"/>
        <v>7.6758600674759432</v>
      </c>
      <c r="AQ15" s="159">
        <f t="shared" si="64"/>
        <v>1.7445136516990782</v>
      </c>
      <c r="AR15" s="159">
        <f t="shared" si="19"/>
        <v>14.652863460769852</v>
      </c>
      <c r="AS15" s="159">
        <f t="shared" si="20"/>
        <v>1.5525020349694829</v>
      </c>
      <c r="AT15" s="159">
        <f t="shared" si="21"/>
        <v>2.4282307403542962</v>
      </c>
      <c r="AU15" s="159">
        <f t="shared" si="65"/>
        <v>0.77625101748474146</v>
      </c>
      <c r="AV15" s="159">
        <f t="shared" si="22"/>
        <v>2.4423191123787094</v>
      </c>
      <c r="AW15" s="159">
        <f t="shared" si="23"/>
        <v>5.1689293383676391</v>
      </c>
      <c r="AX15" s="159">
        <f t="shared" si="66"/>
        <v>1.2211595561893547</v>
      </c>
      <c r="AY15" s="159">
        <f t="shared" si="24"/>
        <v>15.522101123696878</v>
      </c>
      <c r="AZ15" s="159">
        <f t="shared" si="25"/>
        <v>3.0214078065175323</v>
      </c>
      <c r="BA15" s="159">
        <f t="shared" si="26"/>
        <v>5.2803201636014245</v>
      </c>
      <c r="BB15" s="159">
        <f t="shared" si="67"/>
        <v>1.5107039032587661</v>
      </c>
      <c r="BC15" s="159">
        <f t="shared" si="27"/>
        <v>3.760396093662457</v>
      </c>
      <c r="BD15" s="159">
        <f t="shared" si="28"/>
        <v>4.4969685243798452</v>
      </c>
      <c r="BE15" s="159">
        <f t="shared" si="29"/>
        <v>13.67497108997695</v>
      </c>
      <c r="BF15" s="159">
        <f t="shared" si="30"/>
        <v>8.2920254545220775</v>
      </c>
      <c r="BG15" s="159">
        <f t="shared" si="31"/>
        <v>2.8780999263665028</v>
      </c>
      <c r="BH15" s="159">
        <f t="shared" si="32"/>
        <v>6.2673268227707615</v>
      </c>
      <c r="BI15" s="159">
        <f t="shared" si="33"/>
        <v>3.4114933633226414</v>
      </c>
      <c r="BJ15" s="159">
        <f t="shared" si="34"/>
        <v>5.9139205281285108</v>
      </c>
      <c r="BK15" s="159">
        <f t="shared" si="35"/>
        <v>7.711940604333293</v>
      </c>
      <c r="BL15" s="159">
        <f t="shared" si="36"/>
        <v>0.62100081398779317</v>
      </c>
      <c r="BM15" s="159">
        <f t="shared" si="37"/>
        <v>2.3260182022654372</v>
      </c>
      <c r="BN15" s="159">
        <f t="shared" si="38"/>
        <v>0.87871798752249863</v>
      </c>
      <c r="BO15" s="159">
        <f t="shared" si="39"/>
        <v>4.734240842727548</v>
      </c>
      <c r="BP15" s="159">
        <f t="shared" si="40"/>
        <v>11.30782782285196</v>
      </c>
      <c r="BQ15" s="159">
        <f t="shared" si="41"/>
        <v>1.6122136516990786</v>
      </c>
      <c r="BR15" s="159">
        <f t="shared" si="42"/>
        <v>3.6699398302410229</v>
      </c>
      <c r="BS15" s="159">
        <f t="shared" si="43"/>
        <v>3.1530468964042595</v>
      </c>
      <c r="BT15" s="159">
        <f t="shared" si="44"/>
        <v>7.06255601128208</v>
      </c>
      <c r="BU15" s="159">
        <f t="shared" si="45"/>
        <v>9.7328942672783612</v>
      </c>
      <c r="BV15" s="159">
        <f t="shared" si="46"/>
        <v>1.445021124856211</v>
      </c>
      <c r="BW15" s="159">
        <f t="shared" si="47"/>
        <v>3.6699398302410229</v>
      </c>
      <c r="BX15" s="159">
        <f t="shared" si="48"/>
        <v>3.1530468964042595</v>
      </c>
      <c r="BY15" s="159">
        <f t="shared" si="49"/>
        <v>9.7944458090527302</v>
      </c>
      <c r="BZ15" s="159">
        <f t="shared" si="50"/>
        <v>7.8452793945975925</v>
      </c>
      <c r="CA15" s="159">
        <f t="shared" si="51"/>
        <v>1.7674638551960267</v>
      </c>
      <c r="CB15" s="159">
        <f t="shared" si="52"/>
        <v>6.3019730562209331</v>
      </c>
      <c r="CC15" s="159">
        <f t="shared" si="53"/>
        <v>4.8526204632238512</v>
      </c>
      <c r="CD15" s="159">
        <f t="shared" si="54"/>
        <v>9.8382860875049065</v>
      </c>
      <c r="CE15" s="159">
        <f t="shared" si="68"/>
        <v>4.8526204632238512</v>
      </c>
      <c r="CF15" s="159">
        <f t="shared" si="55"/>
        <v>4.8056174445075985</v>
      </c>
      <c r="CG15" s="159">
        <f t="shared" si="56"/>
        <v>10.159040660563248</v>
      </c>
      <c r="CH15" s="159">
        <f t="shared" si="69"/>
        <v>4.8056174445075985</v>
      </c>
      <c r="CI15" s="159">
        <f t="shared" si="70"/>
        <v>3.8805252809242194</v>
      </c>
    </row>
    <row r="16" spans="1:87" x14ac:dyDescent="0.25">
      <c r="A16" t="str">
        <f>PLANTILLA!D18</f>
        <v>L. Bauman</v>
      </c>
      <c r="B16" t="s">
        <v>1025</v>
      </c>
      <c r="C16" s="687">
        <f>PLANTILLA!E18</f>
        <v>30</v>
      </c>
      <c r="D16" s="687">
        <f ca="1">PLANTILLA!F18</f>
        <v>24</v>
      </c>
      <c r="E16" s="687"/>
      <c r="F16" s="317">
        <v>41686</v>
      </c>
      <c r="G16" s="532">
        <v>1.5</v>
      </c>
      <c r="H16" s="533">
        <f>PLANTILLA!I18</f>
        <v>8</v>
      </c>
      <c r="I16" s="371"/>
      <c r="J16" s="163">
        <f>PLANTILLA!V18</f>
        <v>0</v>
      </c>
      <c r="K16" s="163">
        <f>PLANTILLA!W18</f>
        <v>5.2811111111111115</v>
      </c>
      <c r="L16" s="163">
        <f>PLANTILLA!X18</f>
        <v>14.193842857142847</v>
      </c>
      <c r="M16" s="163">
        <f>PLANTILLA!Y18</f>
        <v>3.4924999999999993</v>
      </c>
      <c r="N16" s="163">
        <f>PLANTILLA!Z18</f>
        <v>9.0700000000000038</v>
      </c>
      <c r="O16" s="163">
        <f>PLANTILLA!AA18</f>
        <v>7.4318888888888894</v>
      </c>
      <c r="P16" s="163">
        <f>PLANTILLA!AB18</f>
        <v>16.07</v>
      </c>
      <c r="Q16" s="163">
        <f t="shared" si="57"/>
        <v>3.30263888888889</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4.0217151558721076</v>
      </c>
      <c r="AC16" s="159">
        <f t="shared" si="6"/>
        <v>3.0184173534439398</v>
      </c>
      <c r="AD16" s="159">
        <f t="shared" si="7"/>
        <v>5.7733220807935668</v>
      </c>
      <c r="AE16" s="159">
        <f t="shared" si="63"/>
        <v>1.5092086767219699</v>
      </c>
      <c r="AF16" s="159">
        <f t="shared" si="8"/>
        <v>6.5057156933225277</v>
      </c>
      <c r="AG16" s="387">
        <f t="shared" si="9"/>
        <v>7.3464126062656741</v>
      </c>
      <c r="AH16" s="159">
        <f t="shared" si="10"/>
        <v>3.3058856728195529</v>
      </c>
      <c r="AI16" s="159">
        <f t="shared" si="11"/>
        <v>2.821959794246395</v>
      </c>
      <c r="AJ16" s="387">
        <f t="shared" si="12"/>
        <v>3.6436125498016834</v>
      </c>
      <c r="AK16" s="159">
        <f t="shared" si="13"/>
        <v>6.0208642447003458</v>
      </c>
      <c r="AL16" s="159">
        <f t="shared" si="14"/>
        <v>5.6535436143870612</v>
      </c>
      <c r="AM16" s="159">
        <f t="shared" si="15"/>
        <v>3.1352780371035398</v>
      </c>
      <c r="AN16" s="159">
        <f t="shared" si="16"/>
        <v>1.7299465550049065</v>
      </c>
      <c r="AO16" s="159">
        <f t="shared" si="17"/>
        <v>2.1560123953171</v>
      </c>
      <c r="AP16" s="159">
        <f t="shared" si="18"/>
        <v>4.7432272696976199</v>
      </c>
      <c r="AQ16" s="159">
        <f t="shared" si="64"/>
        <v>1.07800619765855</v>
      </c>
      <c r="AR16" s="159">
        <f t="shared" si="19"/>
        <v>15.951676920770041</v>
      </c>
      <c r="AS16" s="159">
        <f t="shared" si="20"/>
        <v>1.5306355977452708</v>
      </c>
      <c r="AT16" s="159">
        <f t="shared" si="21"/>
        <v>3.166423932695964</v>
      </c>
      <c r="AU16" s="159">
        <f t="shared" si="65"/>
        <v>0.7653177988726354</v>
      </c>
      <c r="AV16" s="159">
        <f t="shared" si="22"/>
        <v>1.5092086767219699</v>
      </c>
      <c r="AW16" s="159">
        <f t="shared" si="23"/>
        <v>3.1940924375068147</v>
      </c>
      <c r="AX16" s="159">
        <f t="shared" si="66"/>
        <v>0.75460433836098495</v>
      </c>
      <c r="AY16" s="159">
        <f t="shared" si="24"/>
        <v>16.897962839798772</v>
      </c>
      <c r="AZ16" s="159">
        <f t="shared" si="25"/>
        <v>2.9788523556119499</v>
      </c>
      <c r="BA16" s="159">
        <f t="shared" si="26"/>
        <v>6.1435367771100822</v>
      </c>
      <c r="BB16" s="159">
        <f t="shared" si="67"/>
        <v>1.489426177805975</v>
      </c>
      <c r="BC16" s="159">
        <f t="shared" si="27"/>
        <v>2.3237022482862075</v>
      </c>
      <c r="BD16" s="159">
        <f t="shared" si="28"/>
        <v>2.7788604206309286</v>
      </c>
      <c r="BE16" s="159">
        <f t="shared" si="29"/>
        <v>14.887105261862718</v>
      </c>
      <c r="BF16" s="159">
        <f t="shared" si="30"/>
        <v>7.2657076645811181</v>
      </c>
      <c r="BG16" s="159">
        <f t="shared" si="31"/>
        <v>2.8375629158200786</v>
      </c>
      <c r="BH16" s="159">
        <f t="shared" si="32"/>
        <v>3.8728370804770127</v>
      </c>
      <c r="BI16" s="159">
        <f t="shared" si="33"/>
        <v>2.1081010087544976</v>
      </c>
      <c r="BJ16" s="159">
        <f t="shared" si="34"/>
        <v>6.438123841963332</v>
      </c>
      <c r="BK16" s="159">
        <f t="shared" si="35"/>
        <v>6.5369233648412797</v>
      </c>
      <c r="BL16" s="159">
        <f t="shared" si="36"/>
        <v>0.61225423909810828</v>
      </c>
      <c r="BM16" s="159">
        <f t="shared" si="37"/>
        <v>1.4373415968780665</v>
      </c>
      <c r="BN16" s="159">
        <f t="shared" si="38"/>
        <v>0.54299571437615857</v>
      </c>
      <c r="BO16" s="159">
        <f t="shared" si="39"/>
        <v>5.1538786661386258</v>
      </c>
      <c r="BP16" s="159">
        <f t="shared" si="40"/>
        <v>9.5640182976955206</v>
      </c>
      <c r="BQ16" s="159">
        <f t="shared" si="41"/>
        <v>1.5895061976585505</v>
      </c>
      <c r="BR16" s="159">
        <f t="shared" si="42"/>
        <v>2.2678056306298382</v>
      </c>
      <c r="BS16" s="159">
        <f t="shared" si="43"/>
        <v>1.9483963868791569</v>
      </c>
      <c r="BT16" s="159">
        <f t="shared" si="44"/>
        <v>7.6885730921084416</v>
      </c>
      <c r="BU16" s="159">
        <f t="shared" si="45"/>
        <v>8.2267649407827648</v>
      </c>
      <c r="BV16" s="159">
        <f t="shared" si="46"/>
        <v>1.4246685179013674</v>
      </c>
      <c r="BW16" s="159">
        <f t="shared" si="47"/>
        <v>2.2678056306298382</v>
      </c>
      <c r="BX16" s="159">
        <f t="shared" si="48"/>
        <v>1.9483963868791569</v>
      </c>
      <c r="BY16" s="159">
        <f t="shared" si="49"/>
        <v>10.662614551913025</v>
      </c>
      <c r="BZ16" s="159">
        <f t="shared" si="50"/>
        <v>6.6224323844770527</v>
      </c>
      <c r="CA16" s="159">
        <f t="shared" si="51"/>
        <v>1.7425697574330774</v>
      </c>
      <c r="CB16" s="159">
        <f t="shared" si="52"/>
        <v>6.8605729129583022</v>
      </c>
      <c r="CC16" s="159">
        <f t="shared" si="53"/>
        <v>5.123116399852627</v>
      </c>
      <c r="CD16" s="159">
        <f t="shared" si="54"/>
        <v>12.302640322692795</v>
      </c>
      <c r="CE16" s="159">
        <f t="shared" si="68"/>
        <v>5.123116399852627</v>
      </c>
      <c r="CF16" s="159">
        <f t="shared" si="55"/>
        <v>5.546740360305753</v>
      </c>
      <c r="CG16" s="159">
        <f t="shared" si="56"/>
        <v>14.480659145144852</v>
      </c>
      <c r="CH16" s="159">
        <f t="shared" si="69"/>
        <v>5.546740360305753</v>
      </c>
      <c r="CI16" s="159">
        <f t="shared" si="70"/>
        <v>4.2244907099496931</v>
      </c>
    </row>
    <row r="17" spans="1:87" hidden="1" x14ac:dyDescent="0.25">
      <c r="A17" t="str">
        <f>PLANTILLA!D19</f>
        <v>W. Gelifini</v>
      </c>
      <c r="B17" t="s">
        <v>1025</v>
      </c>
      <c r="C17" s="687">
        <f>PLANTILLA!E19</f>
        <v>28</v>
      </c>
      <c r="D17" s="687">
        <f ca="1">PLANTILLA!F19</f>
        <v>86</v>
      </c>
      <c r="E17" s="687"/>
      <c r="F17" s="317">
        <v>41737</v>
      </c>
      <c r="G17" s="532">
        <v>1.5</v>
      </c>
      <c r="H17" s="533">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hidden="1" x14ac:dyDescent="0.25">
      <c r="A18" t="str">
        <f>PLANTILLA!D20</f>
        <v>M. Amico</v>
      </c>
      <c r="B18" t="s">
        <v>1025</v>
      </c>
      <c r="C18" s="687">
        <f>PLANTILLA!E20</f>
        <v>28</v>
      </c>
      <c r="D18" s="687">
        <f ca="1">PLANTILLA!F20</f>
        <v>93</v>
      </c>
      <c r="E18" s="687" t="str">
        <f>PLANTILLA!G20</f>
        <v>IMP</v>
      </c>
      <c r="F18" s="317">
        <v>41730</v>
      </c>
      <c r="G18" s="532">
        <v>1.5</v>
      </c>
      <c r="H18" s="533">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PLANTILLA!D21</f>
        <v>J. Limon</v>
      </c>
      <c r="B19" t="s">
        <v>1025</v>
      </c>
      <c r="C19" s="687">
        <f>PLANTILLA!E21</f>
        <v>29</v>
      </c>
      <c r="D19" s="687">
        <f ca="1">PLANTILLA!F21</f>
        <v>61</v>
      </c>
      <c r="E19" s="687" t="str">
        <f>PLANTILLA!G21</f>
        <v>RAP</v>
      </c>
      <c r="F19" s="317">
        <v>41664</v>
      </c>
      <c r="G19" s="532">
        <v>1.5</v>
      </c>
      <c r="H19" s="533">
        <f>PLANTILLA!I21</f>
        <v>9.9</v>
      </c>
      <c r="I19" s="371"/>
      <c r="J19" s="163">
        <f>PLANTILLA!V21</f>
        <v>0</v>
      </c>
      <c r="K19" s="163">
        <f>PLANTILLA!W21</f>
        <v>6.8176190476190497</v>
      </c>
      <c r="L19" s="163">
        <f>PLANTILLA!X21</f>
        <v>8.3125</v>
      </c>
      <c r="M19" s="163">
        <f>PLANTILLA!Y21</f>
        <v>8.7199999999999971</v>
      </c>
      <c r="N19" s="163">
        <f>PLANTILLA!Z21</f>
        <v>9.6800000000000015</v>
      </c>
      <c r="O19" s="163">
        <f>PLANTILLA!AA21</f>
        <v>8.5625000000000018</v>
      </c>
      <c r="P19" s="163">
        <f>PLANTILLA!AB21</f>
        <v>18.639999999999993</v>
      </c>
      <c r="Q19" s="163">
        <f t="shared" si="57"/>
        <v>3.6472023809523817</v>
      </c>
      <c r="R19" s="163">
        <f t="shared" si="58"/>
        <v>23.114555040080781</v>
      </c>
      <c r="S19" s="163">
        <f t="shared" si="59"/>
        <v>0.9873249999999999</v>
      </c>
      <c r="T19" s="163">
        <f t="shared" si="60"/>
        <v>0.83190476190476181</v>
      </c>
      <c r="U19" s="163">
        <f t="shared" ca="1" si="0"/>
        <v>20.967513592796728</v>
      </c>
      <c r="V19" s="159">
        <f t="shared" si="1"/>
        <v>4.3500822236544066</v>
      </c>
      <c r="W19" s="159">
        <f t="shared" si="2"/>
        <v>6.5478081435386795</v>
      </c>
      <c r="X19" s="159">
        <f t="shared" si="61"/>
        <v>4.3500822236544066</v>
      </c>
      <c r="Y19" s="159">
        <f t="shared" si="3"/>
        <v>4.9768884424545448</v>
      </c>
      <c r="Z19" s="159">
        <f t="shared" si="4"/>
        <v>9.6451326404157847</v>
      </c>
      <c r="AA19" s="159">
        <f t="shared" si="62"/>
        <v>2.4884442212272724</v>
      </c>
      <c r="AB19" s="159">
        <f t="shared" si="5"/>
        <v>2.6513232350856226</v>
      </c>
      <c r="AC19" s="159">
        <f t="shared" si="6"/>
        <v>3.6458601380771665</v>
      </c>
      <c r="AD19" s="159">
        <f t="shared" si="7"/>
        <v>6.9734308990206122</v>
      </c>
      <c r="AE19" s="159">
        <f t="shared" si="63"/>
        <v>1.8229300690385832</v>
      </c>
      <c r="AF19" s="159">
        <f t="shared" si="8"/>
        <v>4.2889052332267426</v>
      </c>
      <c r="AG19" s="387">
        <f t="shared" si="9"/>
        <v>8.8735220291825225</v>
      </c>
      <c r="AH19" s="159">
        <f t="shared" si="10"/>
        <v>3.9930849131321344</v>
      </c>
      <c r="AI19" s="159">
        <f t="shared" si="11"/>
        <v>1.8603822699970547</v>
      </c>
      <c r="AJ19" s="387">
        <f t="shared" si="12"/>
        <v>6.7899379925644769</v>
      </c>
      <c r="AK19" s="159">
        <f t="shared" si="13"/>
        <v>7.272430010873502</v>
      </c>
      <c r="AL19" s="159">
        <f t="shared" si="14"/>
        <v>6.8287539094143748</v>
      </c>
      <c r="AM19" s="159">
        <f t="shared" si="15"/>
        <v>3.5850747699970538</v>
      </c>
      <c r="AN19" s="159">
        <f t="shared" si="16"/>
        <v>1.8647182004397449</v>
      </c>
      <c r="AO19" s="159">
        <f t="shared" si="17"/>
        <v>2.6041858129122621</v>
      </c>
      <c r="AP19" s="159">
        <f t="shared" si="18"/>
        <v>5.729208788406976</v>
      </c>
      <c r="AQ19" s="159">
        <f t="shared" si="64"/>
        <v>1.3020929064561311</v>
      </c>
      <c r="AR19" s="159">
        <f t="shared" si="19"/>
        <v>10.516172831600116</v>
      </c>
      <c r="AS19" s="159">
        <f t="shared" si="20"/>
        <v>1.6259767670635754</v>
      </c>
      <c r="AT19" s="159">
        <f t="shared" si="21"/>
        <v>3.471373982689443</v>
      </c>
      <c r="AU19" s="159">
        <f t="shared" si="65"/>
        <v>0.81298838353178771</v>
      </c>
      <c r="AV19" s="387">
        <f t="shared" si="22"/>
        <v>1.8229300690385832</v>
      </c>
      <c r="AW19" s="387">
        <f t="shared" si="23"/>
        <v>3.8580530561663142</v>
      </c>
      <c r="AX19" s="387">
        <f t="shared" si="66"/>
        <v>0.91146503451929162</v>
      </c>
      <c r="AY19" s="387">
        <f t="shared" si="24"/>
        <v>11.140013592796734</v>
      </c>
      <c r="AZ19" s="387">
        <f t="shared" si="25"/>
        <v>3.1644009389775736</v>
      </c>
      <c r="BA19" s="387">
        <f t="shared" si="26"/>
        <v>6.6569649896310015</v>
      </c>
      <c r="BB19" s="387">
        <f t="shared" si="67"/>
        <v>1.5822004694887868</v>
      </c>
      <c r="BC19" s="387">
        <f t="shared" si="27"/>
        <v>2.8067335983609931</v>
      </c>
      <c r="BD19" s="387">
        <f t="shared" si="28"/>
        <v>3.3565061588646929</v>
      </c>
      <c r="BE19" s="387">
        <f t="shared" si="29"/>
        <v>9.8143519752539223</v>
      </c>
      <c r="BF19" s="387">
        <f t="shared" si="30"/>
        <v>10.568139583996293</v>
      </c>
      <c r="BG19" s="387">
        <f t="shared" si="31"/>
        <v>3.0143107758640126</v>
      </c>
      <c r="BH19" s="387">
        <f t="shared" si="32"/>
        <v>4.6778893306016558</v>
      </c>
      <c r="BI19" s="387">
        <f t="shared" si="33"/>
        <v>2.5463150170697673</v>
      </c>
      <c r="BJ19" s="387">
        <f t="shared" si="34"/>
        <v>4.2443451788555562</v>
      </c>
      <c r="BK19" s="387">
        <f t="shared" si="35"/>
        <v>10.285486880104344</v>
      </c>
      <c r="BL19" s="387">
        <f t="shared" si="36"/>
        <v>0.6503907068254301</v>
      </c>
      <c r="BM19" s="387">
        <f t="shared" si="37"/>
        <v>1.7361238752748411</v>
      </c>
      <c r="BN19" s="387">
        <f t="shared" si="38"/>
        <v>0.65586901954827337</v>
      </c>
      <c r="BO19" s="387">
        <f t="shared" si="39"/>
        <v>3.397704145803004</v>
      </c>
      <c r="BP19" s="387">
        <f t="shared" si="40"/>
        <v>15.124662480336594</v>
      </c>
      <c r="BQ19" s="387">
        <f t="shared" si="41"/>
        <v>1.6885143350275591</v>
      </c>
      <c r="BR19" s="387">
        <f t="shared" si="42"/>
        <v>2.7392176698780828</v>
      </c>
      <c r="BS19" s="387">
        <f t="shared" si="43"/>
        <v>2.3534123642614513</v>
      </c>
      <c r="BT19" s="387">
        <f t="shared" si="44"/>
        <v>5.0687061847225143</v>
      </c>
      <c r="BU19" s="387">
        <f t="shared" si="45"/>
        <v>13.028885060818777</v>
      </c>
      <c r="BV19" s="387">
        <f t="shared" si="46"/>
        <v>1.5134091447284048</v>
      </c>
      <c r="BW19" s="387">
        <f t="shared" si="47"/>
        <v>2.7392176698780828</v>
      </c>
      <c r="BX19" s="387">
        <f t="shared" si="48"/>
        <v>2.3534123642614513</v>
      </c>
      <c r="BY19" s="387">
        <f t="shared" si="49"/>
        <v>7.0293485770547397</v>
      </c>
      <c r="BZ19" s="387">
        <f t="shared" si="50"/>
        <v>10.520304665553073</v>
      </c>
      <c r="CA19" s="387">
        <f t="shared" si="51"/>
        <v>1.8511120117339166</v>
      </c>
      <c r="CB19" s="387">
        <f t="shared" si="52"/>
        <v>4.5228455186754744</v>
      </c>
      <c r="CC19" s="387">
        <f t="shared" si="53"/>
        <v>6.2362520818470975</v>
      </c>
      <c r="CD19" s="387">
        <f t="shared" si="54"/>
        <v>13.431957805489123</v>
      </c>
      <c r="CE19" s="387">
        <f t="shared" si="68"/>
        <v>6.2362520818470975</v>
      </c>
      <c r="CF19" s="387">
        <f t="shared" si="55"/>
        <v>7.1594709683123643</v>
      </c>
      <c r="CG19" s="387">
        <f t="shared" si="56"/>
        <v>16.00528610853873</v>
      </c>
      <c r="CH19" s="387">
        <f t="shared" si="69"/>
        <v>7.1594709683123643</v>
      </c>
      <c r="CI19" s="387">
        <f t="shared" si="70"/>
        <v>2.7850033981991835</v>
      </c>
    </row>
    <row r="20" spans="1:87" x14ac:dyDescent="0.25">
      <c r="A20" t="str">
        <f>PLANTILLA!D22</f>
        <v>L. Calosso</v>
      </c>
      <c r="C20" s="687">
        <f>PLANTILLA!E22</f>
        <v>30</v>
      </c>
      <c r="D20" s="687">
        <f ca="1">PLANTILLA!F22</f>
        <v>18</v>
      </c>
      <c r="E20" s="687" t="str">
        <f>PLANTILLA!G22</f>
        <v>TEC</v>
      </c>
      <c r="F20" s="317">
        <v>41890</v>
      </c>
      <c r="G20" s="532">
        <v>1</v>
      </c>
      <c r="H20" s="533">
        <f>PLANTILLA!I22</f>
        <v>10.1</v>
      </c>
      <c r="I20" s="371"/>
      <c r="J20" s="163">
        <f>PLANTILLA!V22</f>
        <v>0</v>
      </c>
      <c r="K20" s="163">
        <f>PLANTILLA!W22</f>
        <v>2</v>
      </c>
      <c r="L20" s="163">
        <f>PLANTILLA!X22</f>
        <v>14.0938</v>
      </c>
      <c r="M20" s="163">
        <f>PLANTILLA!Y22</f>
        <v>3</v>
      </c>
      <c r="N20" s="163">
        <f>PLANTILLA!Z22</f>
        <v>15.01</v>
      </c>
      <c r="O20" s="163">
        <f>PLANTILLA!AA22</f>
        <v>10</v>
      </c>
      <c r="P20" s="163">
        <f>PLANTILLA!AB22</f>
        <v>9.3000000000000007</v>
      </c>
      <c r="Q20" s="163">
        <f t="shared" si="57"/>
        <v>4.3774999999999995</v>
      </c>
      <c r="R20" s="163">
        <f t="shared" si="58"/>
        <v>19.284400314746186</v>
      </c>
      <c r="S20" s="163">
        <f t="shared" si="59"/>
        <v>0.77900000000000003</v>
      </c>
      <c r="T20" s="163">
        <f t="shared" si="60"/>
        <v>0.35899999999999999</v>
      </c>
      <c r="U20" s="163">
        <f t="shared" ca="1" si="0"/>
        <v>11.639095165043525</v>
      </c>
      <c r="V20" s="159">
        <f t="shared" si="1"/>
        <v>2.5940300790829958</v>
      </c>
      <c r="W20" s="159">
        <f t="shared" si="2"/>
        <v>3.8697718580711884</v>
      </c>
      <c r="X20" s="159">
        <f t="shared" si="61"/>
        <v>2.5940300790829958</v>
      </c>
      <c r="Y20" s="159">
        <f t="shared" si="3"/>
        <v>2.238973105162458</v>
      </c>
      <c r="Z20" s="159">
        <f t="shared" si="4"/>
        <v>4.3390951650435232</v>
      </c>
      <c r="AA20" s="159">
        <f t="shared" si="62"/>
        <v>1.119486552581229</v>
      </c>
      <c r="AB20" s="159">
        <f t="shared" si="5"/>
        <v>3.9110290492803581</v>
      </c>
      <c r="AC20" s="159">
        <f t="shared" si="6"/>
        <v>1.6401779723864518</v>
      </c>
      <c r="AD20" s="159">
        <f t="shared" si="7"/>
        <v>3.1371658043264672</v>
      </c>
      <c r="AE20" s="159">
        <f t="shared" si="63"/>
        <v>0.8200889861932259</v>
      </c>
      <c r="AF20" s="159">
        <f t="shared" si="8"/>
        <v>6.3266646385417564</v>
      </c>
      <c r="AG20" s="387">
        <f t="shared" si="9"/>
        <v>3.9919675518400415</v>
      </c>
      <c r="AH20" s="159">
        <f t="shared" si="10"/>
        <v>1.7963853983280185</v>
      </c>
      <c r="AI20" s="159">
        <f t="shared" si="11"/>
        <v>2.7442934925622682</v>
      </c>
      <c r="AJ20" s="387">
        <f t="shared" si="12"/>
        <v>3.1393879570455914</v>
      </c>
      <c r="AK20" s="159">
        <f t="shared" si="13"/>
        <v>3.2716777544428166</v>
      </c>
      <c r="AL20" s="159">
        <f t="shared" si="14"/>
        <v>3.0720793768508141</v>
      </c>
      <c r="AM20" s="159">
        <f t="shared" si="15"/>
        <v>1.9437288925622687</v>
      </c>
      <c r="AN20" s="159">
        <f t="shared" si="16"/>
        <v>1.9343794075325345</v>
      </c>
      <c r="AO20" s="159">
        <f t="shared" si="17"/>
        <v>1.1715556945617513</v>
      </c>
      <c r="AP20" s="159">
        <f t="shared" si="18"/>
        <v>2.5774225280358527</v>
      </c>
      <c r="AQ20" s="159">
        <f t="shared" si="64"/>
        <v>0.58577784728087567</v>
      </c>
      <c r="AR20" s="159">
        <f t="shared" si="19"/>
        <v>15.512653035801085</v>
      </c>
      <c r="AS20" s="159">
        <f t="shared" si="20"/>
        <v>2.2553823714556578</v>
      </c>
      <c r="AT20" s="159">
        <f t="shared" si="21"/>
        <v>4.2165548833577517</v>
      </c>
      <c r="AU20" s="159">
        <f t="shared" si="65"/>
        <v>1.1276911857278289</v>
      </c>
      <c r="AV20" s="387">
        <f t="shared" si="22"/>
        <v>0.8200889861932259</v>
      </c>
      <c r="AW20" s="387">
        <f t="shared" si="23"/>
        <v>1.7356380660174093</v>
      </c>
      <c r="AX20" s="387">
        <f t="shared" si="66"/>
        <v>0.41004449309661295</v>
      </c>
      <c r="AY20" s="387">
        <f t="shared" si="24"/>
        <v>16.432895165043522</v>
      </c>
      <c r="AZ20" s="387">
        <f t="shared" si="25"/>
        <v>4.3893210767560111</v>
      </c>
      <c r="BA20" s="387">
        <f t="shared" si="26"/>
        <v>8.5072514359389828</v>
      </c>
      <c r="BB20" s="387">
        <f t="shared" si="67"/>
        <v>2.1946605383780056</v>
      </c>
      <c r="BC20" s="387">
        <f t="shared" si="27"/>
        <v>1.2626766930276652</v>
      </c>
      <c r="BD20" s="387">
        <f t="shared" si="28"/>
        <v>1.5100051174351459</v>
      </c>
      <c r="BE20" s="387">
        <f t="shared" si="29"/>
        <v>14.477380640403343</v>
      </c>
      <c r="BF20" s="387">
        <f t="shared" si="30"/>
        <v>8.5296056017236914</v>
      </c>
      <c r="BG20" s="387">
        <f t="shared" si="31"/>
        <v>4.1811319347754887</v>
      </c>
      <c r="BH20" s="387">
        <f t="shared" si="32"/>
        <v>2.1044611550461085</v>
      </c>
      <c r="BI20" s="387">
        <f t="shared" si="33"/>
        <v>1.1455211235714902</v>
      </c>
      <c r="BJ20" s="387">
        <f t="shared" si="34"/>
        <v>6.2609330578815818</v>
      </c>
      <c r="BK20" s="387">
        <f t="shared" si="35"/>
        <v>7.0803791742480389</v>
      </c>
      <c r="BL20" s="387">
        <f t="shared" si="36"/>
        <v>0.90215294858226314</v>
      </c>
      <c r="BM20" s="387">
        <f t="shared" si="37"/>
        <v>0.78103712970783412</v>
      </c>
      <c r="BN20" s="387">
        <f t="shared" si="38"/>
        <v>0.29505847122295958</v>
      </c>
      <c r="BO20" s="387">
        <f t="shared" si="39"/>
        <v>5.0120330253382743</v>
      </c>
      <c r="BP20" s="387">
        <f t="shared" si="40"/>
        <v>10.30093638224597</v>
      </c>
      <c r="BQ20" s="387">
        <f t="shared" si="41"/>
        <v>2.3421278472808758</v>
      </c>
      <c r="BR20" s="387">
        <f t="shared" si="42"/>
        <v>1.2323030268723605</v>
      </c>
      <c r="BS20" s="387">
        <f t="shared" si="43"/>
        <v>1.0587392202706196</v>
      </c>
      <c r="BT20" s="387">
        <f t="shared" si="44"/>
        <v>7.4769673000948025</v>
      </c>
      <c r="BU20" s="387">
        <f t="shared" si="45"/>
        <v>8.8461574428682237</v>
      </c>
      <c r="BV20" s="387">
        <f t="shared" si="46"/>
        <v>2.099240514970266</v>
      </c>
      <c r="BW20" s="387">
        <f t="shared" si="47"/>
        <v>1.2323030268723605</v>
      </c>
      <c r="BX20" s="387">
        <f t="shared" si="48"/>
        <v>1.0587392202706196</v>
      </c>
      <c r="BY20" s="387">
        <f t="shared" si="49"/>
        <v>10.369156849142463</v>
      </c>
      <c r="BZ20" s="387">
        <f t="shared" si="50"/>
        <v>7.0964201727139535</v>
      </c>
      <c r="CA20" s="387">
        <f t="shared" si="51"/>
        <v>2.567666084426441</v>
      </c>
      <c r="CB20" s="387">
        <f t="shared" si="52"/>
        <v>6.6717554370076702</v>
      </c>
      <c r="CC20" s="387">
        <f t="shared" si="53"/>
        <v>7.9890361941911578</v>
      </c>
      <c r="CD20" s="387">
        <f t="shared" si="54"/>
        <v>16.614251155839007</v>
      </c>
      <c r="CE20" s="387">
        <f t="shared" si="68"/>
        <v>7.9890361941911578</v>
      </c>
      <c r="CF20" s="387">
        <f t="shared" si="55"/>
        <v>6.8516762878221149</v>
      </c>
      <c r="CG20" s="387">
        <f t="shared" si="56"/>
        <v>18.740911280944584</v>
      </c>
      <c r="CH20" s="387">
        <f t="shared" si="69"/>
        <v>6.8516762878221149</v>
      </c>
      <c r="CI20" s="387">
        <f t="shared" si="70"/>
        <v>4.1082237912608806</v>
      </c>
    </row>
    <row r="21" spans="1:87" x14ac:dyDescent="0.25">
      <c r="A21" t="str">
        <f>PLANTILLA!D23</f>
        <v>P .Trivadi</v>
      </c>
      <c r="B21" t="s">
        <v>1025</v>
      </c>
      <c r="C21" s="687">
        <f>PLANTILLA!E23</f>
        <v>26</v>
      </c>
      <c r="D21" s="687">
        <f ca="1">PLANTILLA!F23</f>
        <v>92</v>
      </c>
      <c r="E21" s="687"/>
      <c r="F21" s="317">
        <v>41973</v>
      </c>
      <c r="G21" s="532">
        <v>1.5</v>
      </c>
      <c r="H21" s="533">
        <f>PLANTILLA!I23</f>
        <v>5.3</v>
      </c>
      <c r="I21" s="371"/>
      <c r="J21" s="163">
        <f>PLANTILLA!V23</f>
        <v>0</v>
      </c>
      <c r="K21" s="163">
        <f>PLANTILLA!W23</f>
        <v>4</v>
      </c>
      <c r="L21" s="163">
        <f>PLANTILLA!X23</f>
        <v>5.5138722222222212</v>
      </c>
      <c r="M21" s="163">
        <f>PLANTILLA!Y23</f>
        <v>5.47</v>
      </c>
      <c r="N21" s="163">
        <f>PLANTILLA!Z23</f>
        <v>10.799999999999999</v>
      </c>
      <c r="O21" s="163">
        <f>PLANTILLA!AA23</f>
        <v>8.384500000000001</v>
      </c>
      <c r="P21" s="163">
        <f>PLANTILLA!AB23</f>
        <v>13.566666666666668</v>
      </c>
      <c r="Q21" s="163">
        <f t="shared" si="57"/>
        <v>3.5749999999999997</v>
      </c>
      <c r="R21" s="163">
        <f t="shared" si="58"/>
        <v>19.229136229090329</v>
      </c>
      <c r="S21" s="163">
        <f t="shared" si="59"/>
        <v>0.82622500000000021</v>
      </c>
      <c r="T21" s="163">
        <f t="shared" si="60"/>
        <v>0.56699999999999995</v>
      </c>
      <c r="U21" s="163">
        <f t="shared" ca="1" si="0"/>
        <v>15.532367826134386</v>
      </c>
      <c r="V21" s="159">
        <f t="shared" si="1"/>
        <v>3.2565571122153183</v>
      </c>
      <c r="W21" s="159">
        <f t="shared" si="2"/>
        <v>4.8832201968728244</v>
      </c>
      <c r="X21" s="159">
        <f t="shared" si="61"/>
        <v>3.2565571122153183</v>
      </c>
      <c r="Y21" s="159">
        <f t="shared" si="3"/>
        <v>3.3363017982853429</v>
      </c>
      <c r="Z21" s="159">
        <f t="shared" si="4"/>
        <v>6.4657011594677183</v>
      </c>
      <c r="AA21" s="159">
        <f t="shared" si="62"/>
        <v>1.6681508991426715</v>
      </c>
      <c r="AB21" s="159">
        <f t="shared" si="5"/>
        <v>1.8991384648422056</v>
      </c>
      <c r="AC21" s="159">
        <f t="shared" si="6"/>
        <v>2.4440350382787974</v>
      </c>
      <c r="AD21" s="159">
        <f t="shared" si="7"/>
        <v>4.6747019382951605</v>
      </c>
      <c r="AE21" s="159">
        <f t="shared" si="63"/>
        <v>1.2220175191393987</v>
      </c>
      <c r="AF21" s="159">
        <f t="shared" si="8"/>
        <v>3.0721357519506269</v>
      </c>
      <c r="AG21" s="387">
        <f t="shared" si="9"/>
        <v>5.9484450667103008</v>
      </c>
      <c r="AH21" s="159">
        <f t="shared" si="10"/>
        <v>2.6768002800196351</v>
      </c>
      <c r="AI21" s="159">
        <f t="shared" si="11"/>
        <v>1.3325887547422202</v>
      </c>
      <c r="AJ21" s="387">
        <f t="shared" si="12"/>
        <v>4.6661922817670183</v>
      </c>
      <c r="AK21" s="159">
        <f t="shared" si="13"/>
        <v>4.8751386742386593</v>
      </c>
      <c r="AL21" s="159">
        <f t="shared" si="14"/>
        <v>4.577716420903144</v>
      </c>
      <c r="AM21" s="159">
        <f t="shared" si="15"/>
        <v>2.6774054269644427</v>
      </c>
      <c r="AN21" s="159">
        <f t="shared" si="16"/>
        <v>1.7397219339267025</v>
      </c>
      <c r="AO21" s="159">
        <f t="shared" si="17"/>
        <v>1.7457393130562842</v>
      </c>
      <c r="AP21" s="159">
        <f t="shared" si="18"/>
        <v>3.8406264887238244</v>
      </c>
      <c r="AQ21" s="159">
        <f t="shared" si="64"/>
        <v>0.87286965652814208</v>
      </c>
      <c r="AR21" s="159">
        <f t="shared" si="19"/>
        <v>7.5327172723153035</v>
      </c>
      <c r="AS21" s="159">
        <f t="shared" si="20"/>
        <v>1.7245411507308033</v>
      </c>
      <c r="AT21" s="159">
        <f t="shared" si="21"/>
        <v>3.4689689397240411</v>
      </c>
      <c r="AU21" s="159">
        <f t="shared" si="65"/>
        <v>0.86227057536540164</v>
      </c>
      <c r="AV21" s="387">
        <f t="shared" si="22"/>
        <v>1.2220175191393987</v>
      </c>
      <c r="AW21" s="387">
        <f t="shared" si="23"/>
        <v>2.5862804637870873</v>
      </c>
      <c r="AX21" s="387">
        <f t="shared" si="66"/>
        <v>0.61100875956969936</v>
      </c>
      <c r="AY21" s="387">
        <f t="shared" si="24"/>
        <v>7.9795733816899403</v>
      </c>
      <c r="AZ21" s="387">
        <f t="shared" si="25"/>
        <v>3.3562223933453326</v>
      </c>
      <c r="BA21" s="387">
        <f t="shared" si="26"/>
        <v>6.8021463388667129</v>
      </c>
      <c r="BB21" s="387">
        <f t="shared" si="67"/>
        <v>1.6781111966726663</v>
      </c>
      <c r="BC21" s="387">
        <f t="shared" si="27"/>
        <v>1.8815190374051058</v>
      </c>
      <c r="BD21" s="387">
        <f t="shared" si="28"/>
        <v>2.2500640034947659</v>
      </c>
      <c r="BE21" s="387">
        <f t="shared" si="29"/>
        <v>7.0300041492688372</v>
      </c>
      <c r="BF21" s="387">
        <f t="shared" si="30"/>
        <v>8.7337883307668029</v>
      </c>
      <c r="BG21" s="387">
        <f t="shared" si="31"/>
        <v>3.19703397943172</v>
      </c>
      <c r="BH21" s="387">
        <f t="shared" si="32"/>
        <v>3.1358650623418431</v>
      </c>
      <c r="BI21" s="387">
        <f t="shared" si="33"/>
        <v>1.7069451060994778</v>
      </c>
      <c r="BJ21" s="387">
        <f t="shared" si="34"/>
        <v>3.0402174584238675</v>
      </c>
      <c r="BK21" s="387">
        <f t="shared" si="35"/>
        <v>8.0071328133747866</v>
      </c>
      <c r="BL21" s="387">
        <f t="shared" si="36"/>
        <v>0.68981646029232124</v>
      </c>
      <c r="BM21" s="387">
        <f t="shared" si="37"/>
        <v>1.1638262087041893</v>
      </c>
      <c r="BN21" s="387">
        <f t="shared" si="38"/>
        <v>0.43966767884380487</v>
      </c>
      <c r="BO21" s="387">
        <f t="shared" si="39"/>
        <v>2.4337698814154316</v>
      </c>
      <c r="BP21" s="387">
        <f t="shared" si="40"/>
        <v>11.729691691075486</v>
      </c>
      <c r="BQ21" s="387">
        <f t="shared" si="41"/>
        <v>1.7908696565281419</v>
      </c>
      <c r="BR21" s="387">
        <f t="shared" si="42"/>
        <v>1.8362591292888317</v>
      </c>
      <c r="BS21" s="387">
        <f t="shared" si="43"/>
        <v>1.5776310829101232</v>
      </c>
      <c r="BT21" s="387">
        <f t="shared" si="44"/>
        <v>3.6307058886689232</v>
      </c>
      <c r="BU21" s="387">
        <f t="shared" si="45"/>
        <v>10.093276884690232</v>
      </c>
      <c r="BV21" s="387">
        <f t="shared" si="46"/>
        <v>1.6051498402955937</v>
      </c>
      <c r="BW21" s="387">
        <f t="shared" si="47"/>
        <v>1.8362591292888317</v>
      </c>
      <c r="BX21" s="387">
        <f t="shared" si="48"/>
        <v>1.5776310829101232</v>
      </c>
      <c r="BY21" s="387">
        <f t="shared" si="49"/>
        <v>5.0351108038463526</v>
      </c>
      <c r="BZ21" s="387">
        <f t="shared" si="50"/>
        <v>8.1311425377236084</v>
      </c>
      <c r="CA21" s="387">
        <f t="shared" si="51"/>
        <v>1.963323771601222</v>
      </c>
      <c r="CB21" s="387">
        <f t="shared" si="52"/>
        <v>3.2397067929661159</v>
      </c>
      <c r="CC21" s="387">
        <f t="shared" si="53"/>
        <v>5.8371418040826821</v>
      </c>
      <c r="CD21" s="387">
        <f t="shared" si="54"/>
        <v>13.528943005560652</v>
      </c>
      <c r="CE21" s="387">
        <f t="shared" si="68"/>
        <v>5.8371418040826821</v>
      </c>
      <c r="CF21" s="387">
        <f t="shared" si="55"/>
        <v>6.3285718223483887</v>
      </c>
      <c r="CG21" s="387">
        <f t="shared" si="56"/>
        <v>15.745244887311307</v>
      </c>
      <c r="CH21" s="387">
        <f t="shared" si="69"/>
        <v>6.3285718223483887</v>
      </c>
      <c r="CI21" s="387">
        <f t="shared" si="70"/>
        <v>1.9948933454224851</v>
      </c>
    </row>
    <row r="22" spans="1:87" x14ac:dyDescent="0.25">
      <c r="I22" s="166"/>
      <c r="Q22" s="163"/>
      <c r="R22" s="163"/>
      <c r="S22" s="163"/>
      <c r="T22" s="163"/>
      <c r="U22" s="163"/>
      <c r="V22" s="159"/>
      <c r="W22" s="159"/>
      <c r="X22" s="159"/>
      <c r="Y22" s="159"/>
      <c r="Z22" s="159"/>
      <c r="AA22" s="159"/>
      <c r="AB22" s="159"/>
      <c r="AC22" s="159"/>
      <c r="AD22" s="159"/>
      <c r="AE22" s="159"/>
      <c r="AF22" s="159"/>
      <c r="AG22" s="387"/>
      <c r="AH22" s="159"/>
      <c r="AI22" s="159"/>
      <c r="AJ22" s="387"/>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row>
    <row r="23" spans="1:87" x14ac:dyDescent="0.25">
      <c r="A23" t="s">
        <v>1042</v>
      </c>
      <c r="C23" s="724">
        <v>30</v>
      </c>
      <c r="D23" s="371">
        <v>51</v>
      </c>
      <c r="E23" s="724" t="s">
        <v>336</v>
      </c>
      <c r="F23" s="317">
        <v>43047</v>
      </c>
      <c r="G23" s="532">
        <v>1</v>
      </c>
      <c r="H23" s="533">
        <v>10</v>
      </c>
      <c r="I23" s="371"/>
      <c r="J23" s="163">
        <v>0</v>
      </c>
      <c r="K23" s="163">
        <v>3</v>
      </c>
      <c r="L23" s="163">
        <v>13</v>
      </c>
      <c r="M23" s="163">
        <v>5</v>
      </c>
      <c r="N23" s="163">
        <v>15</v>
      </c>
      <c r="O23" s="163">
        <v>13</v>
      </c>
      <c r="P23" s="163">
        <v>0</v>
      </c>
      <c r="Q23" s="163">
        <f t="shared" ref="Q23:Q30" si="71">((2*(N23+1))+(K23+1))/8</f>
        <v>4.5</v>
      </c>
      <c r="R23" s="163">
        <f t="shared" ref="R23:R30" si="72">1.66*(O23+(LOG(H23)*4/3)+G23)+0.55*(P23+(LOG(H23)*4/3)+G23)-7.6</f>
        <v>19.136666666666663</v>
      </c>
      <c r="S23" s="163">
        <f t="shared" ref="S23:S30" si="73">(0.5*O23+ 0.3*P23)/10</f>
        <v>0.65</v>
      </c>
      <c r="T23" s="163">
        <f t="shared" ref="T23:T30" si="74">(0.4*K23+0.3*P23)/10</f>
        <v>0.12000000000000002</v>
      </c>
      <c r="U23" s="163">
        <f t="shared" ref="U23:U30" ca="1" si="75">IF(TODAY()-F23&gt;335,(P23+1+(LOG(H23)*4/3)),(P23+((TODAY()-F23)^0.5)/(336^0.5)+(LOG(H23)*4/3)))</f>
        <v>1.4876366832954253</v>
      </c>
      <c r="V23" s="159">
        <f t="shared" ref="V23:V30" si="76">((J23+G23+(LOG(H23)*4/3))*0.597)+((K23+G23+(LOG(H23)*4/3))*0.276)</f>
        <v>2.8649999999999998</v>
      </c>
      <c r="W23" s="159">
        <f t="shared" ref="W23:W30" si="77">((J23+G23+(LOG(H23)*4/3))*0.866)+((K23+G23+(LOG(H23)*4/3))*0.425)</f>
        <v>4.2873333333333328</v>
      </c>
      <c r="X23" s="159">
        <f t="shared" ref="X23:X30" si="78">V23</f>
        <v>2.8649999999999998</v>
      </c>
      <c r="Y23" s="159">
        <f t="shared" ref="Y23:Y30" si="79">((K23+G23+(LOG(H23)*4/3))*0.516)</f>
        <v>2.7519999999999998</v>
      </c>
      <c r="Z23" s="159">
        <f t="shared" ref="Z23:Z30" si="80">(K23+G23+(LOG(H23)*4/3))*1</f>
        <v>5.333333333333333</v>
      </c>
      <c r="AA23" s="159">
        <f t="shared" ref="AA23:AA30" si="81">Y23/2</f>
        <v>1.3759999999999999</v>
      </c>
      <c r="AB23" s="159">
        <f t="shared" ref="AB23:AB30" si="82">(L23+G23+(LOG(H23)*4/3))*0.238</f>
        <v>3.6493333333333333</v>
      </c>
      <c r="AC23" s="159">
        <f t="shared" ref="AC23:AC30" si="83">((K23+G23+(LOG(H23)*4/3))*0.378)</f>
        <v>2.016</v>
      </c>
      <c r="AD23" s="159">
        <f t="shared" ref="AD23:AD30" si="84">(K23+G23+(LOG(H23)*4/3))*0.723</f>
        <v>3.8559999999999999</v>
      </c>
      <c r="AE23" s="159">
        <f t="shared" ref="AE23:AE30" si="85">AC23/2</f>
        <v>1.008</v>
      </c>
      <c r="AF23" s="159">
        <f t="shared" ref="AF23:AF30" si="86">(L23+G23+(LOG(H23)*4/3))*0.385</f>
        <v>5.9033333333333333</v>
      </c>
      <c r="AG23" s="387">
        <f t="shared" ref="AG23:AG30" si="87">((K23+G23+(LOG(H23)*4/3))*0.92)</f>
        <v>4.9066666666666663</v>
      </c>
      <c r="AH23" s="159">
        <f t="shared" ref="AH23:AH30" si="88">(K23+G23+(LOG(H23)*4/3))*0.414</f>
        <v>2.2079999999999997</v>
      </c>
      <c r="AI23" s="159">
        <f t="shared" ref="AI23:AI30" si="89">((L23+G23+(LOG(H23)*4/3))*0.167)</f>
        <v>2.5606666666666671</v>
      </c>
      <c r="AJ23" s="387">
        <f t="shared" ref="AJ23:AJ30" si="90">(M23+G23+(LOG(H23)*4/3))*0.588</f>
        <v>4.3119999999999994</v>
      </c>
      <c r="AK23" s="159">
        <f t="shared" ref="AK23:AK30" si="91">((K23+G23+(LOG(H23)*4/3))*0.754)</f>
        <v>4.0213333333333328</v>
      </c>
      <c r="AL23" s="159">
        <f t="shared" ref="AL23:AL30" si="92">((K23+G23+(LOG(H23)*4/3))*0.708)</f>
        <v>3.7759999999999998</v>
      </c>
      <c r="AM23" s="159">
        <f t="shared" ref="AM23:AM30" si="93">((P23+G23+(LOG(H23)*4/3))*0.167)</f>
        <v>0.38966666666666666</v>
      </c>
      <c r="AN23" s="159">
        <f t="shared" ref="AN23:AN30" si="94">((Q23+G23+(LOG(H23)*4/3))*0.288)</f>
        <v>1.9679999999999997</v>
      </c>
      <c r="AO23" s="159">
        <f t="shared" ref="AO23:AO30" si="95">((K23+G23+(LOG(H23)*4/3))*0.27)</f>
        <v>1.44</v>
      </c>
      <c r="AP23" s="159">
        <f t="shared" ref="AP23:AP30" si="96">((K23+G23+(LOG(H23)*4/3))*0.594)</f>
        <v>3.1679999999999997</v>
      </c>
      <c r="AQ23" s="159">
        <f t="shared" ref="AQ23:AQ30" si="97">AO23/2</f>
        <v>0.72</v>
      </c>
      <c r="AR23" s="159">
        <f t="shared" ref="AR23:AR30" si="98">((L23+G23+(LOG(H23)*4/3))*0.944)</f>
        <v>14.474666666666666</v>
      </c>
      <c r="AS23" s="159">
        <f t="shared" ref="AS23:AS30" si="99">((N23+G23+(LOG(H23)*4/3))*0.13)</f>
        <v>2.2533333333333334</v>
      </c>
      <c r="AT23" s="159">
        <f t="shared" ref="AT23:AT30" si="100">((O23+G23+(LOG(H23)*4/3))*0.173)+((N23+G23+(LOG(H23)*4/3))*0.12)</f>
        <v>4.7326666666666668</v>
      </c>
      <c r="AU23" s="159">
        <f t="shared" ref="AU23:AU30" si="101">AS23/2</f>
        <v>1.1266666666666667</v>
      </c>
      <c r="AV23" s="159">
        <f t="shared" ref="AV23:AV30" si="102">((K23+G23+(LOG(H23)*4/3))*0.189)</f>
        <v>1.008</v>
      </c>
      <c r="AW23" s="159">
        <f t="shared" ref="AW23:AW30" si="103">((K23+G23+(LOG(H23)*4/3))*0.4)</f>
        <v>2.1333333333333333</v>
      </c>
      <c r="AX23" s="159">
        <f t="shared" ref="AX23:AX30" si="104">AV23/2</f>
        <v>0.504</v>
      </c>
      <c r="AY23" s="159">
        <f t="shared" ref="AY23:AY30" si="105">((L23+G23+(LOG(H23)*4/3))*1)</f>
        <v>15.333333333333334</v>
      </c>
      <c r="AZ23" s="159">
        <f t="shared" ref="AZ23:AZ30" si="106">((N23+G23+(LOG(H23)*4/3))*0.253)</f>
        <v>4.3853333333333326</v>
      </c>
      <c r="BA23" s="159">
        <f t="shared" ref="BA23:BA30" si="107">((O23+G23+(LOG(H23)*4/3))*0.21)+((N23+G23+(LOG(H23)*4/3))*0.341)</f>
        <v>9.1306666666666665</v>
      </c>
      <c r="BB23" s="159">
        <f t="shared" ref="BB23:BB30" si="108">AZ23/2</f>
        <v>2.1926666666666663</v>
      </c>
      <c r="BC23" s="159">
        <f t="shared" ref="BC23:BC30" si="109">((K23+G23+(LOG(H23)*4/3))*0.291)</f>
        <v>1.5519999999999998</v>
      </c>
      <c r="BD23" s="159">
        <f t="shared" ref="BD23:BD30" si="110">((K23+G23+(LOG(H23)*4/3))*0.348)</f>
        <v>1.8559999999999999</v>
      </c>
      <c r="BE23" s="159">
        <f t="shared" ref="BE23:BE30" si="111">((L23+G23+(LOG(H23)*4/3))*0.881)</f>
        <v>13.508666666666667</v>
      </c>
      <c r="BF23" s="159">
        <f t="shared" ref="BF23:BF30" si="112">((M23+G23+(LOG(H23)*4/3))*0.574)+((N23+G23+(LOG(H23)*4/3))*0.315)</f>
        <v>9.6693333333333324</v>
      </c>
      <c r="BG23" s="159">
        <f t="shared" ref="BG23:BG30" si="113">((N23+G23+(LOG(H23)*4/3))*0.241)</f>
        <v>4.1773333333333333</v>
      </c>
      <c r="BH23" s="159">
        <f t="shared" ref="BH23:BH30" si="114">((K23+G23+(LOG(H23)*4/3))*0.485)</f>
        <v>2.5866666666666664</v>
      </c>
      <c r="BI23" s="159">
        <f t="shared" ref="BI23:BI30" si="115">((K23+G23+(LOG(H23)*4/3))*0.264)</f>
        <v>1.4079999999999999</v>
      </c>
      <c r="BJ23" s="159">
        <f t="shared" ref="BJ23:BJ30" si="116">((L23+G23+(LOG(H23)*4/3))*0.381)</f>
        <v>5.8420000000000005</v>
      </c>
      <c r="BK23" s="159">
        <f t="shared" ref="BK23:BK30" si="117">((M23+G23+(LOG(H23)*4/3))*0.673)+((N23+G23+(LOG(H23)*4/3))*0.201)</f>
        <v>8.4193333333333342</v>
      </c>
      <c r="BL23" s="159">
        <f t="shared" ref="BL23:BL30" si="118">((N23+G23+(LOG(H23)*4/3))*0.052)</f>
        <v>0.90133333333333321</v>
      </c>
      <c r="BM23" s="159">
        <f t="shared" ref="BM23:BM30" si="119">((K23+G23+(LOG(H23)*4/3))*0.18)</f>
        <v>0.96</v>
      </c>
      <c r="BN23" s="159">
        <f t="shared" ref="BN23:BN30" si="120">(K23+G23+(LOG(H23)*4/3))*0.068</f>
        <v>0.36266666666666669</v>
      </c>
      <c r="BO23" s="159">
        <f t="shared" ref="BO23:BO30" si="121">((L23+G23+(LOG(H23)*4/3))*0.305)</f>
        <v>4.6766666666666667</v>
      </c>
      <c r="BP23" s="159">
        <f t="shared" ref="BP23:BP30" si="122">((M23+G23+(LOG(H23)*4/3))*1)+((N23+G23+(LOG(H23)*4/3))*0.286)</f>
        <v>12.290666666666667</v>
      </c>
      <c r="BQ23" s="159">
        <f t="shared" ref="BQ23:BQ30" si="123">((N23+G23+(LOG(H23)*4/3))*0.135)</f>
        <v>2.34</v>
      </c>
      <c r="BR23" s="159">
        <f t="shared" ref="BR23:BR30" si="124">((K23+G23+(LOG(H23)*4/3))*0.284)</f>
        <v>1.5146666666666664</v>
      </c>
      <c r="BS23" s="159">
        <f t="shared" ref="BS23:BS30" si="125">(K23+G23+(LOG(H23)*4/3))*0.244</f>
        <v>1.3013333333333332</v>
      </c>
      <c r="BT23" s="159">
        <f t="shared" ref="BT23:BT30" si="126">((L23+G23+(LOG(H23)*4/3))*0.455)</f>
        <v>6.9766666666666675</v>
      </c>
      <c r="BU23" s="159">
        <f t="shared" ref="BU23:BU30" si="127">((M23+G23+(LOG(H23)*4/3))*0.864)+((N23+G23+(LOG(H23)*4/3))*0.244)</f>
        <v>10.565333333333331</v>
      </c>
      <c r="BV23" s="159">
        <f t="shared" ref="BV23:BV30" si="128">((N23+G23+(LOG(H23)*4/3))*0.121)</f>
        <v>2.0973333333333333</v>
      </c>
      <c r="BW23" s="159"/>
      <c r="BX23" s="159"/>
      <c r="BY23" s="159"/>
      <c r="BZ23" s="159"/>
      <c r="CA23" s="159"/>
      <c r="CB23" s="159">
        <f t="shared" ref="CB23:CB30" si="129">((L23+G23+(LOG(H23)*4/3))*0.406)</f>
        <v>6.2253333333333343</v>
      </c>
      <c r="CC23" s="159">
        <f t="shared" ref="CC23:CC30" si="130">IF(E23="TEC",((M23+G23+(LOG(H23)*4/3))*0.15)+((N23+G23+(LOG(H23)*4/3))*0.324)+((O23+G23+(LOG(H23)*4/3))*0.127),(((M23+G23+(LOG(H23)*4/3))*0.144)+((N23+G23+(LOG(H23)*4/3))*0.25)+((O23+G23+(LOG(H23)*4/3))*0.127)))</f>
        <v>7.336666666666666</v>
      </c>
      <c r="CD23" s="159">
        <f t="shared" ref="CD23:CD30" si="131">((N23+G23+(LOG(H23)*4/3))*0.543)+((O23+G23+(LOG(H23)*4/3))*0.583)</f>
        <v>18.351333333333336</v>
      </c>
      <c r="CE23" s="159">
        <f t="shared" ref="CE23:CE30" si="132">CC23</f>
        <v>7.336666666666666</v>
      </c>
      <c r="CF23" s="159">
        <f t="shared" ref="CF23:CF30" si="133">((O23+1+(LOG(H23)*4/3))*0.26)+((M23+G23+(LOG(H23)*4/3))*0.221)+((N23+G23+(LOG(H23)*4/3))*0.142)</f>
        <v>8.0686666666666653</v>
      </c>
      <c r="CG23" s="159">
        <f t="shared" ref="CG23:CG30" si="134">((O23+G23+(LOG(H23)*4/3))*1)+((N23+G23+(LOG(H23)*4/3))*0.369)</f>
        <v>21.729333333333333</v>
      </c>
      <c r="CH23" s="159">
        <f t="shared" ref="CH23:CH30" si="135">CF23</f>
        <v>8.0686666666666653</v>
      </c>
      <c r="CI23" s="159">
        <f t="shared" ref="CI23:CI30" si="136">((L23+G23+(LOG(H23)*4/3))*0.25)</f>
        <v>3.8333333333333335</v>
      </c>
    </row>
    <row r="24" spans="1:87" x14ac:dyDescent="0.25">
      <c r="A24" t="s">
        <v>1045</v>
      </c>
      <c r="C24" s="724">
        <v>30</v>
      </c>
      <c r="D24" s="371">
        <v>48</v>
      </c>
      <c r="E24" s="724" t="s">
        <v>595</v>
      </c>
      <c r="F24" s="317">
        <v>43053</v>
      </c>
      <c r="G24" s="532">
        <v>1</v>
      </c>
      <c r="H24" s="533">
        <v>9.6999999999999993</v>
      </c>
      <c r="I24" s="371"/>
      <c r="J24" s="163">
        <v>0</v>
      </c>
      <c r="K24" s="163">
        <v>1</v>
      </c>
      <c r="L24" s="163">
        <v>13</v>
      </c>
      <c r="M24" s="163">
        <v>5</v>
      </c>
      <c r="N24" s="163">
        <v>13</v>
      </c>
      <c r="O24" s="163">
        <v>14</v>
      </c>
      <c r="P24" s="163">
        <v>1</v>
      </c>
      <c r="Q24" s="163">
        <f>((2*(N24+1))+(K24+1))/8</f>
        <v>3.75</v>
      </c>
      <c r="R24" s="163">
        <f>1.66*(O24+(LOG(H24)*4/3)+G24)+0.55*(P24+(LOG(H24)*4/3)+G24)-7.6</f>
        <v>21.307687376971202</v>
      </c>
      <c r="S24" s="163">
        <f>(0.5*O24+ 0.3*P24)/10</f>
        <v>0.73</v>
      </c>
      <c r="T24" s="163">
        <f>(0.4*K24+0.3*P24)/10</f>
        <v>6.9999999999999993E-2</v>
      </c>
      <c r="U24" s="163">
        <f ca="1">IF(TODAY()-F24&gt;335,(P24+1+(LOG(H24)*4/3)),(P24+((TODAY()-F24)^0.5)/(336^0.5)+(LOG(H24)*4/3)))</f>
        <v>2.3928473206693726</v>
      </c>
      <c r="V24" s="159">
        <f>((J24+G24+(LOG(H24)*4/3))*0.597)+((K24+G24+(LOG(H24)*4/3))*0.276)</f>
        <v>2.2976022986859093</v>
      </c>
      <c r="W24" s="159">
        <f>((J24+G24+(LOG(H24)*4/3))*0.866)+((K24+G24+(LOG(H24)*4/3))*0.425)</f>
        <v>3.4145630785836296</v>
      </c>
      <c r="X24" s="159">
        <f>V24</f>
        <v>2.2976022986859093</v>
      </c>
      <c r="Y24" s="159">
        <f>((K24+G24+(LOG(H24)*4/3))*0.516)</f>
        <v>1.7108989531751766</v>
      </c>
      <c r="Z24" s="159">
        <f>(K24+G24+(LOG(H24)*4/3))*1</f>
        <v>3.3156956456883266</v>
      </c>
      <c r="AA24" s="159">
        <f>Y24/2</f>
        <v>0.8554494765875883</v>
      </c>
      <c r="AB24" s="159">
        <f>(L24+G24+(LOG(H24)*4/3))*0.238</f>
        <v>3.6451355636738212</v>
      </c>
      <c r="AC24" s="159">
        <f>((K24+G24+(LOG(H24)*4/3))*0.378)</f>
        <v>1.2533329540701874</v>
      </c>
      <c r="AD24" s="159">
        <f>(K24+G24+(LOG(H24)*4/3))*0.723</f>
        <v>2.3972479518326599</v>
      </c>
      <c r="AE24" s="159">
        <f>AC24/2</f>
        <v>0.62666647703509371</v>
      </c>
      <c r="AF24" s="159">
        <f>(L24+G24+(LOG(H24)*4/3))*0.385</f>
        <v>5.8965428235900053</v>
      </c>
      <c r="AG24" s="387">
        <f>((K24+G24+(LOG(H24)*4/3))*0.92)</f>
        <v>3.0504399940332605</v>
      </c>
      <c r="AH24" s="159">
        <f>(K24+G24+(LOG(H24)*4/3))*0.414</f>
        <v>1.3726979973149671</v>
      </c>
      <c r="AI24" s="159">
        <f>((L24+G24+(LOG(H24)*4/3))*0.167)</f>
        <v>2.5577211728299507</v>
      </c>
      <c r="AJ24" s="387">
        <f>(M24+G24+(LOG(H24)*4/3))*0.588</f>
        <v>4.3016290396647356</v>
      </c>
      <c r="AK24" s="159">
        <f>((K24+G24+(LOG(H24)*4/3))*0.754)</f>
        <v>2.5000345168489981</v>
      </c>
      <c r="AL24" s="159">
        <f>((K24+G24+(LOG(H24)*4/3))*0.708)</f>
        <v>2.3475125171473352</v>
      </c>
      <c r="AM24" s="159">
        <f>((P24+G24+(LOG(H24)*4/3))*0.167)</f>
        <v>0.55372117282995059</v>
      </c>
      <c r="AN24" s="159">
        <f>((Q24+G24+(LOG(H24)*4/3))*0.288)</f>
        <v>1.7469203459582379</v>
      </c>
      <c r="AO24" s="159">
        <f>((K24+G24+(LOG(H24)*4/3))*0.27)</f>
        <v>0.8952378243358482</v>
      </c>
      <c r="AP24" s="159">
        <f>((K24+G24+(LOG(H24)*4/3))*0.594)</f>
        <v>1.9695232135388658</v>
      </c>
      <c r="AQ24" s="159">
        <f>AO24/2</f>
        <v>0.4476189121679241</v>
      </c>
      <c r="AR24" s="159">
        <f>((L24+G24+(LOG(H24)*4/3))*0.944)</f>
        <v>14.458016689529778</v>
      </c>
      <c r="AS24" s="159">
        <f>((N24+G24+(LOG(H24)*4/3))*0.13)</f>
        <v>1.9910404339394825</v>
      </c>
      <c r="AT24" s="159">
        <f>((O24+G24+(LOG(H24)*4/3))*0.173)+((N24+G24+(LOG(H24)*4/3))*0.12)</f>
        <v>4.6604988241866785</v>
      </c>
      <c r="AU24" s="159">
        <f>AS24/2</f>
        <v>0.99552021696974125</v>
      </c>
      <c r="AV24" s="159">
        <f>((K24+G24+(LOG(H24)*4/3))*0.189)</f>
        <v>0.62666647703509371</v>
      </c>
      <c r="AW24" s="159">
        <f>((K24+G24+(LOG(H24)*4/3))*0.4)</f>
        <v>1.3262782582753307</v>
      </c>
      <c r="AX24" s="159">
        <f>AV24/2</f>
        <v>0.31333323851754685</v>
      </c>
      <c r="AY24" s="159">
        <f>((L24+G24+(LOG(H24)*4/3))*1)</f>
        <v>15.315695645688326</v>
      </c>
      <c r="AZ24" s="159">
        <f>((N24+G24+(LOG(H24)*4/3))*0.253)</f>
        <v>3.8748709983591465</v>
      </c>
      <c r="BA24" s="159">
        <f>((O24+G24+(LOG(H24)*4/3))*0.21)+((N24+G24+(LOG(H24)*4/3))*0.341)</f>
        <v>8.6489483007742685</v>
      </c>
      <c r="BB24" s="159">
        <f>AZ24/2</f>
        <v>1.9374354991795733</v>
      </c>
      <c r="BC24" s="159">
        <f>((K24+G24+(LOG(H24)*4/3))*0.291)</f>
        <v>0.96486743289530297</v>
      </c>
      <c r="BD24" s="159">
        <f>((K24+G24+(LOG(H24)*4/3))*0.348)</f>
        <v>1.1538620846995375</v>
      </c>
      <c r="BE24" s="159">
        <f>((L24+G24+(LOG(H24)*4/3))*0.881)</f>
        <v>13.493127863851415</v>
      </c>
      <c r="BF24" s="159">
        <f>((M24+G24+(LOG(H24)*4/3))*0.574)+((N24+G24+(LOG(H24)*4/3))*0.315)</f>
        <v>9.023653429016921</v>
      </c>
      <c r="BG24" s="159">
        <f>((N24+G24+(LOG(H24)*4/3))*0.241)</f>
        <v>3.6910826506108863</v>
      </c>
      <c r="BH24" s="159">
        <f>((K24+G24+(LOG(H24)*4/3))*0.485)</f>
        <v>1.6081123881588384</v>
      </c>
      <c r="BI24" s="159">
        <f>((K24+G24+(LOG(H24)*4/3))*0.264)</f>
        <v>0.87534365046171825</v>
      </c>
      <c r="BJ24" s="159">
        <f>((L24+G24+(LOG(H24)*4/3))*0.381)</f>
        <v>5.8352800410072518</v>
      </c>
      <c r="BK24" s="159">
        <f>((M24+G24+(LOG(H24)*4/3))*0.673)+((N24+G24+(LOG(H24)*4/3))*0.201)</f>
        <v>8.0019179943315972</v>
      </c>
      <c r="BL24" s="159">
        <f>((N24+G24+(LOG(H24)*4/3))*0.052)</f>
        <v>0.79641617357579286</v>
      </c>
      <c r="BM24" s="159">
        <f>((K24+G24+(LOG(H24)*4/3))*0.18)</f>
        <v>0.59682521622389872</v>
      </c>
      <c r="BN24" s="159">
        <f>(K24+G24+(LOG(H24)*4/3))*0.068</f>
        <v>0.22546730390680622</v>
      </c>
      <c r="BO24" s="159">
        <f>((L24+G24+(LOG(H24)*4/3))*0.305)</f>
        <v>4.6712871719349396</v>
      </c>
      <c r="BP24" s="159">
        <f>((M24+G24+(LOG(H24)*4/3))*1)+((N24+G24+(LOG(H24)*4/3))*0.286)</f>
        <v>11.695984600355187</v>
      </c>
      <c r="BQ24" s="159">
        <f>((N24+G24+(LOG(H24)*4/3))*0.135)</f>
        <v>2.0676189121679243</v>
      </c>
      <c r="BR24" s="159">
        <f>((K24+G24+(LOG(H24)*4/3))*0.284)</f>
        <v>0.94165756337548467</v>
      </c>
      <c r="BS24" s="159">
        <f>(K24+G24+(LOG(H24)*4/3))*0.244</f>
        <v>0.80902973754795171</v>
      </c>
      <c r="BT24" s="159">
        <f>((L24+G24+(LOG(H24)*4/3))*0.455)</f>
        <v>6.9686415187881883</v>
      </c>
      <c r="BU24" s="159">
        <f>((M24+G24+(LOG(H24)*4/3))*0.864)+((N24+G24+(LOG(H24)*4/3))*0.244)</f>
        <v>10.057790775422665</v>
      </c>
      <c r="BV24" s="159">
        <f>((N24+G24+(LOG(H24)*4/3))*0.121)</f>
        <v>1.8531991731282873</v>
      </c>
      <c r="BW24" s="159"/>
      <c r="BX24" s="159"/>
      <c r="BY24" s="159"/>
      <c r="BZ24" s="159"/>
      <c r="CA24" s="159"/>
      <c r="CB24" s="159">
        <f>((L24+G24+(LOG(H24)*4/3))*0.406)</f>
        <v>6.2181724321494602</v>
      </c>
      <c r="CC24" s="159">
        <f>IF(E24="TEC",((M24+G24+(LOG(H24)*4/3))*0.15)+((N24+G24+(LOG(H24)*4/3))*0.324)+((O24+G24+(LOG(H24)*4/3))*0.127),(((M24+G24+(LOG(H24)*4/3))*0.144)+((N24+G24+(LOG(H24)*4/3))*0.25)+((O24+G24+(LOG(H24)*4/3))*0.127)))</f>
        <v>6.9544774314036175</v>
      </c>
      <c r="CD24" s="159">
        <f>((N24+G24+(LOG(H24)*4/3))*0.543)+((O24+G24+(LOG(H24)*4/3))*0.583)</f>
        <v>17.828473297045054</v>
      </c>
      <c r="CE24" s="159">
        <f>CC24</f>
        <v>6.9544774314036175</v>
      </c>
      <c r="CF24" s="159">
        <f>((O24+1+(LOG(H24)*4/3))*0.26)+((M24+G24+(LOG(H24)*4/3))*0.221)+((N24+G24+(LOG(H24)*4/3))*0.142)</f>
        <v>8.0336783872638264</v>
      </c>
      <c r="CG24" s="159">
        <f>((O24+G24+(LOG(H24)*4/3))*1)+((N24+G24+(LOG(H24)*4/3))*0.369)</f>
        <v>21.967187338947319</v>
      </c>
      <c r="CH24" s="159">
        <f>CF24</f>
        <v>8.0336783872638264</v>
      </c>
      <c r="CI24" s="159">
        <f>((L24+G24+(LOG(H24)*4/3))*0.25)</f>
        <v>3.8289239114220814</v>
      </c>
    </row>
    <row r="25" spans="1:87" x14ac:dyDescent="0.25">
      <c r="A25" t="s">
        <v>1046</v>
      </c>
      <c r="C25" s="724">
        <v>29</v>
      </c>
      <c r="D25" s="371">
        <v>92</v>
      </c>
      <c r="E25" s="724" t="s">
        <v>595</v>
      </c>
      <c r="F25" s="317">
        <v>43054</v>
      </c>
      <c r="G25" s="532">
        <v>1</v>
      </c>
      <c r="H25" s="533">
        <v>8.1999999999999993</v>
      </c>
      <c r="I25" s="371"/>
      <c r="J25" s="163">
        <v>0</v>
      </c>
      <c r="K25" s="163">
        <v>3</v>
      </c>
      <c r="L25" s="163">
        <v>14</v>
      </c>
      <c r="M25" s="163">
        <v>6</v>
      </c>
      <c r="N25" s="163">
        <v>13</v>
      </c>
      <c r="O25" s="163">
        <v>13</v>
      </c>
      <c r="P25" s="163">
        <v>3</v>
      </c>
      <c r="Q25" s="163">
        <f>((2*(N25+1))+(K25+1))/8</f>
        <v>4</v>
      </c>
      <c r="R25" s="163">
        <f>1.66*(O25+(LOG(H25)*4/3)+G25)+0.55*(P25+(LOG(H25)*4/3)+G25)-7.6</f>
        <v>20.532704818357352</v>
      </c>
      <c r="S25" s="163">
        <f>(0.5*O25+ 0.3*P25)/10</f>
        <v>0.74</v>
      </c>
      <c r="T25" s="163">
        <f>(0.4*K25+0.3*P25)/10</f>
        <v>0.21000000000000002</v>
      </c>
      <c r="U25" s="163">
        <f ca="1">IF(TODAY()-F25&gt;335,(P25+1+(LOG(H25)*4/3)),(P25+((TODAY()-F25)^0.5)/(336^0.5)+(LOG(H25)*4/3)))</f>
        <v>4.2729729424039533</v>
      </c>
      <c r="V25" s="159">
        <f>((J25+G25+(LOG(H25)*4/3))*0.597)+((K25+G25+(LOG(H25)*4/3))*0.276)</f>
        <v>2.7646793241746463</v>
      </c>
      <c r="W25" s="159">
        <f>((J25+G25+(LOG(H25)*4/3))*0.866)+((K25+G25+(LOG(H25)*4/3))*0.425)</f>
        <v>4.138978244569838</v>
      </c>
      <c r="X25" s="159">
        <f>V25</f>
        <v>2.7646793241746463</v>
      </c>
      <c r="Y25" s="159">
        <f>((K25+G25+(LOG(H25)*4/3))*0.516)</f>
        <v>2.6927039304399973</v>
      </c>
      <c r="Z25" s="159">
        <f>(K25+G25+(LOG(H25)*4/3))*1</f>
        <v>5.2184184698449556</v>
      </c>
      <c r="AA25" s="159">
        <f>Y25/2</f>
        <v>1.3463519652199987</v>
      </c>
      <c r="AB25" s="159">
        <f>(L25+G25+(LOG(H25)*4/3))*0.238</f>
        <v>3.8599835958230995</v>
      </c>
      <c r="AC25" s="159">
        <f>((K25+G25+(LOG(H25)*4/3))*0.378)</f>
        <v>1.9725621816013932</v>
      </c>
      <c r="AD25" s="159">
        <f>(K25+G25+(LOG(H25)*4/3))*0.723</f>
        <v>3.7729165536979026</v>
      </c>
      <c r="AE25" s="159">
        <f>AC25/2</f>
        <v>0.98628109080069659</v>
      </c>
      <c r="AF25" s="159">
        <f>(L25+G25+(LOG(H25)*4/3))*0.385</f>
        <v>6.2440911108903077</v>
      </c>
      <c r="AG25" s="387">
        <f>((K25+G25+(LOG(H25)*4/3))*0.92)</f>
        <v>4.8009449922573593</v>
      </c>
      <c r="AH25" s="159">
        <f>(K25+G25+(LOG(H25)*4/3))*0.414</f>
        <v>2.1604252465158114</v>
      </c>
      <c r="AI25" s="159">
        <f>((L25+G25+(LOG(H25)*4/3))*0.167)</f>
        <v>2.7084758844641077</v>
      </c>
      <c r="AJ25" s="387">
        <f>(M25+G25+(LOG(H25)*4/3))*0.588</f>
        <v>4.8324300602688339</v>
      </c>
      <c r="AK25" s="159">
        <f>((K25+G25+(LOG(H25)*4/3))*0.754)</f>
        <v>3.9346875262630965</v>
      </c>
      <c r="AL25" s="159">
        <f>((K25+G25+(LOG(H25)*4/3))*0.708)</f>
        <v>3.6946402766502282</v>
      </c>
      <c r="AM25" s="159">
        <f>((P25+G25+(LOG(H25)*4/3))*0.167)</f>
        <v>0.87147588446410762</v>
      </c>
      <c r="AN25" s="159">
        <f>((Q25+G25+(LOG(H25)*4/3))*0.288)</f>
        <v>1.790904519315347</v>
      </c>
      <c r="AO25" s="159">
        <f>((K25+G25+(LOG(H25)*4/3))*0.27)</f>
        <v>1.4089729868581382</v>
      </c>
      <c r="AP25" s="159">
        <f>((K25+G25+(LOG(H25)*4/3))*0.594)</f>
        <v>3.0997405710879034</v>
      </c>
      <c r="AQ25" s="159">
        <f>AO25/2</f>
        <v>0.7044864934290691</v>
      </c>
      <c r="AR25" s="159">
        <f>((L25+G25+(LOG(H25)*4/3))*0.944)</f>
        <v>15.310187035533637</v>
      </c>
      <c r="AS25" s="159">
        <f>((N25+G25+(LOG(H25)*4/3))*0.13)</f>
        <v>1.9783944010798442</v>
      </c>
      <c r="AT25" s="159">
        <f>((O25+G25+(LOG(H25)*4/3))*0.173)+((N25+G25+(LOG(H25)*4/3))*0.12)</f>
        <v>4.4589966116645723</v>
      </c>
      <c r="AU25" s="159">
        <f>AS25/2</f>
        <v>0.98919720053992211</v>
      </c>
      <c r="AV25" s="159">
        <f>((K25+G25+(LOG(H25)*4/3))*0.189)</f>
        <v>0.98628109080069659</v>
      </c>
      <c r="AW25" s="159">
        <f>((K25+G25+(LOG(H25)*4/3))*0.4)</f>
        <v>2.0873673879379822</v>
      </c>
      <c r="AX25" s="159">
        <f>AV25/2</f>
        <v>0.4931405454003483</v>
      </c>
      <c r="AY25" s="159">
        <f>((L25+G25+(LOG(H25)*4/3))*1)</f>
        <v>16.218418469844956</v>
      </c>
      <c r="AZ25" s="159">
        <f>((N25+G25+(LOG(H25)*4/3))*0.253)</f>
        <v>3.8502598728707738</v>
      </c>
      <c r="BA25" s="159">
        <f>((O25+G25+(LOG(H25)*4/3))*0.21)+((N25+G25+(LOG(H25)*4/3))*0.341)</f>
        <v>8.3853485768845708</v>
      </c>
      <c r="BB25" s="159">
        <f>AZ25/2</f>
        <v>1.9251299364353869</v>
      </c>
      <c r="BC25" s="159">
        <f>((K25+G25+(LOG(H25)*4/3))*0.291)</f>
        <v>1.518559774724882</v>
      </c>
      <c r="BD25" s="159">
        <f>((K25+G25+(LOG(H25)*4/3))*0.348)</f>
        <v>1.8160096275060444</v>
      </c>
      <c r="BE25" s="159">
        <f>((L25+G25+(LOG(H25)*4/3))*0.881)</f>
        <v>14.288426671933406</v>
      </c>
      <c r="BF25" s="159">
        <f>((M25+G25+(LOG(H25)*4/3))*0.574)+((N25+G25+(LOG(H25)*4/3))*0.315)</f>
        <v>9.5111740196921666</v>
      </c>
      <c r="BG25" s="159">
        <f>((N25+G25+(LOG(H25)*4/3))*0.241)</f>
        <v>3.6676388512326343</v>
      </c>
      <c r="BH25" s="159">
        <f>((K25+G25+(LOG(H25)*4/3))*0.485)</f>
        <v>2.5309329578748034</v>
      </c>
      <c r="BI25" s="159">
        <f>((K25+G25+(LOG(H25)*4/3))*0.264)</f>
        <v>1.3776624760390683</v>
      </c>
      <c r="BJ25" s="159">
        <f>((L25+G25+(LOG(H25)*4/3))*0.381)</f>
        <v>6.1792174370109283</v>
      </c>
      <c r="BK25" s="159">
        <f>((M25+G25+(LOG(H25)*4/3))*0.673)+((N25+G25+(LOG(H25)*4/3))*0.201)</f>
        <v>8.5898977426444922</v>
      </c>
      <c r="BL25" s="159">
        <f>((N25+G25+(LOG(H25)*4/3))*0.052)</f>
        <v>0.79135776043193762</v>
      </c>
      <c r="BM25" s="159">
        <f>((K25+G25+(LOG(H25)*4/3))*0.18)</f>
        <v>0.93931532457209199</v>
      </c>
      <c r="BN25" s="159">
        <f>(K25+G25+(LOG(H25)*4/3))*0.068</f>
        <v>0.35485245594945702</v>
      </c>
      <c r="BO25" s="159">
        <f>((L25+G25+(LOG(H25)*4/3))*0.305)</f>
        <v>4.9466176333027114</v>
      </c>
      <c r="BP25" s="159">
        <f>((M25+G25+(LOG(H25)*4/3))*1)+((N25+G25+(LOG(H25)*4/3))*0.286)</f>
        <v>12.570886152220613</v>
      </c>
      <c r="BQ25" s="159">
        <f>((N25+G25+(LOG(H25)*4/3))*0.135)</f>
        <v>2.054486493429069</v>
      </c>
      <c r="BR25" s="159">
        <f>((K25+G25+(LOG(H25)*4/3))*0.284)</f>
        <v>1.4820308454359672</v>
      </c>
      <c r="BS25" s="159">
        <f>(K25+G25+(LOG(H25)*4/3))*0.244</f>
        <v>1.2732941066421692</v>
      </c>
      <c r="BT25" s="159">
        <f>((L25+G25+(LOG(H25)*4/3))*0.455)</f>
        <v>7.3793804037794555</v>
      </c>
      <c r="BU25" s="159">
        <f>((M25+G25+(LOG(H25)*4/3))*0.864)+((N25+G25+(LOG(H25)*4/3))*0.244)</f>
        <v>10.81400766458821</v>
      </c>
      <c r="BV25" s="159">
        <f>((N25+G25+(LOG(H25)*4/3))*0.121)</f>
        <v>1.8414286348512396</v>
      </c>
      <c r="BW25" s="159"/>
      <c r="BX25" s="159"/>
      <c r="BY25" s="159"/>
      <c r="BZ25" s="159"/>
      <c r="CA25" s="159"/>
      <c r="CB25" s="159">
        <f>((L25+G25+(LOG(H25)*4/3))*0.406)</f>
        <v>6.584677898757052</v>
      </c>
      <c r="CC25" s="159">
        <f>IF(E25="TEC",((M25+G25+(LOG(H25)*4/3))*0.15)+((N25+G25+(LOG(H25)*4/3))*0.324)+((O25+G25+(LOG(H25)*4/3))*0.127),(((M25+G25+(LOG(H25)*4/3))*0.144)+((N25+G25+(LOG(H25)*4/3))*0.25)+((O25+G25+(LOG(H25)*4/3))*0.127)))</f>
        <v>6.9207960227892222</v>
      </c>
      <c r="CD25" s="159">
        <f>((N25+G25+(LOG(H25)*4/3))*0.543)+((O25+G25+(LOG(H25)*4/3))*0.583)</f>
        <v>17.13593919704542</v>
      </c>
      <c r="CE25" s="159">
        <f>CC25</f>
        <v>6.9207960227892222</v>
      </c>
      <c r="CF25" s="159">
        <f>((O25+1+(LOG(H25)*4/3))*0.26)+((M25+G25+(LOG(H25)*4/3))*0.221)+((N25+G25+(LOG(H25)*4/3))*0.142)</f>
        <v>7.9340747067134068</v>
      </c>
      <c r="CG25" s="159">
        <f>((O25+G25+(LOG(H25)*4/3))*1)+((N25+G25+(LOG(H25)*4/3))*0.369)</f>
        <v>20.834014885217744</v>
      </c>
      <c r="CH25" s="159">
        <f>CF25</f>
        <v>7.9340747067134068</v>
      </c>
      <c r="CI25" s="159">
        <f>((L25+G25+(LOG(H25)*4/3))*0.25)</f>
        <v>4.0546046174612389</v>
      </c>
    </row>
    <row r="26" spans="1:87" x14ac:dyDescent="0.25">
      <c r="A26" t="s">
        <v>1043</v>
      </c>
      <c r="C26" s="724">
        <v>30</v>
      </c>
      <c r="D26" s="371">
        <v>63</v>
      </c>
      <c r="E26" s="724" t="s">
        <v>336</v>
      </c>
      <c r="F26" s="317">
        <v>43049</v>
      </c>
      <c r="G26" s="532">
        <v>1</v>
      </c>
      <c r="H26" s="533">
        <v>11</v>
      </c>
      <c r="I26" s="371"/>
      <c r="J26" s="163">
        <v>0</v>
      </c>
      <c r="K26" s="163">
        <v>3</v>
      </c>
      <c r="L26" s="163">
        <v>14</v>
      </c>
      <c r="M26" s="163">
        <v>2</v>
      </c>
      <c r="N26" s="163">
        <v>16</v>
      </c>
      <c r="O26" s="163">
        <v>13</v>
      </c>
      <c r="P26" s="163">
        <v>1</v>
      </c>
      <c r="Q26" s="163">
        <f t="shared" si="71"/>
        <v>4.75</v>
      </c>
      <c r="R26" s="163">
        <f t="shared" si="72"/>
        <v>19.808637112266233</v>
      </c>
      <c r="S26" s="163">
        <f t="shared" si="73"/>
        <v>0.67999999999999994</v>
      </c>
      <c r="T26" s="163">
        <f t="shared" si="74"/>
        <v>0.15000000000000002</v>
      </c>
      <c r="U26" s="163">
        <f t="shared" ca="1" si="75"/>
        <v>2.5221542011671789</v>
      </c>
      <c r="V26" s="159">
        <f t="shared" si="76"/>
        <v>2.9131810855241742</v>
      </c>
      <c r="W26" s="159">
        <f t="shared" si="77"/>
        <v>4.3585839420523573</v>
      </c>
      <c r="X26" s="159">
        <f t="shared" si="78"/>
        <v>2.9131810855241742</v>
      </c>
      <c r="Y26" s="159">
        <f t="shared" si="79"/>
        <v>2.7804781673888588</v>
      </c>
      <c r="Z26" s="159">
        <f t="shared" si="80"/>
        <v>5.3885235802109666</v>
      </c>
      <c r="AA26" s="159">
        <f t="shared" si="81"/>
        <v>1.3902390836944294</v>
      </c>
      <c r="AB26" s="159">
        <f t="shared" si="82"/>
        <v>3.9004686120902101</v>
      </c>
      <c r="AC26" s="159">
        <f t="shared" si="83"/>
        <v>2.0368619133197452</v>
      </c>
      <c r="AD26" s="159">
        <f t="shared" si="84"/>
        <v>3.8959025484925287</v>
      </c>
      <c r="AE26" s="159">
        <f t="shared" si="85"/>
        <v>1.0184309566598726</v>
      </c>
      <c r="AF26" s="159">
        <f t="shared" si="86"/>
        <v>6.3095815783812226</v>
      </c>
      <c r="AG26" s="387">
        <f t="shared" si="87"/>
        <v>4.9574416937940891</v>
      </c>
      <c r="AH26" s="159">
        <f t="shared" si="88"/>
        <v>2.2308487622073399</v>
      </c>
      <c r="AI26" s="159">
        <f t="shared" si="89"/>
        <v>2.7368834378952318</v>
      </c>
      <c r="AJ26" s="387">
        <f t="shared" si="90"/>
        <v>2.580451865164048</v>
      </c>
      <c r="AK26" s="159">
        <f t="shared" si="91"/>
        <v>4.062946779479069</v>
      </c>
      <c r="AL26" s="159">
        <f t="shared" si="92"/>
        <v>3.8150746947893643</v>
      </c>
      <c r="AM26" s="159">
        <f t="shared" si="93"/>
        <v>0.56588343789523143</v>
      </c>
      <c r="AN26" s="159">
        <f t="shared" si="94"/>
        <v>2.0558947911007581</v>
      </c>
      <c r="AO26" s="159">
        <f t="shared" si="95"/>
        <v>1.454901366656961</v>
      </c>
      <c r="AP26" s="159">
        <f t="shared" si="96"/>
        <v>3.200783006645314</v>
      </c>
      <c r="AQ26" s="159">
        <f t="shared" si="97"/>
        <v>0.72745068332848051</v>
      </c>
      <c r="AR26" s="159">
        <f t="shared" si="98"/>
        <v>15.470766259719154</v>
      </c>
      <c r="AS26" s="159">
        <f t="shared" si="99"/>
        <v>2.3905080654274258</v>
      </c>
      <c r="AT26" s="159">
        <f t="shared" si="100"/>
        <v>4.8688374090018129</v>
      </c>
      <c r="AU26" s="159">
        <f t="shared" si="101"/>
        <v>1.1952540327137129</v>
      </c>
      <c r="AV26" s="159">
        <f t="shared" si="102"/>
        <v>1.0184309566598726</v>
      </c>
      <c r="AW26" s="159">
        <f t="shared" si="103"/>
        <v>2.1554094320843866</v>
      </c>
      <c r="AX26" s="159">
        <f t="shared" si="104"/>
        <v>0.5092154783299363</v>
      </c>
      <c r="AY26" s="159">
        <f t="shared" si="105"/>
        <v>16.388523580210968</v>
      </c>
      <c r="AZ26" s="159">
        <f t="shared" si="106"/>
        <v>4.6522964657933752</v>
      </c>
      <c r="BA26" s="159">
        <f t="shared" si="107"/>
        <v>9.5020764926962435</v>
      </c>
      <c r="BB26" s="159">
        <f t="shared" si="108"/>
        <v>2.3261482328966876</v>
      </c>
      <c r="BC26" s="159">
        <f t="shared" si="109"/>
        <v>1.5680603618413911</v>
      </c>
      <c r="BD26" s="159">
        <f t="shared" si="110"/>
        <v>1.8752062059134162</v>
      </c>
      <c r="BE26" s="159">
        <f t="shared" si="111"/>
        <v>14.438289274165863</v>
      </c>
      <c r="BF26" s="159">
        <f t="shared" si="112"/>
        <v>8.31139746280755</v>
      </c>
      <c r="BG26" s="159">
        <f t="shared" si="113"/>
        <v>4.4316341828308436</v>
      </c>
      <c r="BH26" s="159">
        <f t="shared" si="114"/>
        <v>2.6134339364023189</v>
      </c>
      <c r="BI26" s="159">
        <f t="shared" si="115"/>
        <v>1.4225702251756953</v>
      </c>
      <c r="BJ26" s="159">
        <f t="shared" si="116"/>
        <v>6.2440274840603793</v>
      </c>
      <c r="BK26" s="159">
        <f t="shared" si="117"/>
        <v>6.6495696091043861</v>
      </c>
      <c r="BL26" s="159">
        <f t="shared" si="118"/>
        <v>0.95620322617097031</v>
      </c>
      <c r="BM26" s="159">
        <f t="shared" si="119"/>
        <v>0.96993424443797394</v>
      </c>
      <c r="BN26" s="159">
        <f t="shared" si="120"/>
        <v>0.36641960345434577</v>
      </c>
      <c r="BO26" s="159">
        <f t="shared" si="121"/>
        <v>4.9984996919643452</v>
      </c>
      <c r="BP26" s="159">
        <f t="shared" si="122"/>
        <v>9.6476413241513033</v>
      </c>
      <c r="BQ26" s="159">
        <f t="shared" si="123"/>
        <v>2.482450683328481</v>
      </c>
      <c r="BR26" s="159">
        <f t="shared" si="124"/>
        <v>1.5303406967799145</v>
      </c>
      <c r="BS26" s="159">
        <f t="shared" si="125"/>
        <v>1.3147997535714757</v>
      </c>
      <c r="BT26" s="159">
        <f t="shared" si="126"/>
        <v>7.456778228995991</v>
      </c>
      <c r="BU26" s="159">
        <f t="shared" si="127"/>
        <v>8.2784841268737512</v>
      </c>
      <c r="BV26" s="159">
        <f t="shared" si="128"/>
        <v>2.2250113532055269</v>
      </c>
      <c r="BW26" s="159"/>
      <c r="BX26" s="159"/>
      <c r="BY26" s="159"/>
      <c r="BZ26" s="159"/>
      <c r="CA26" s="159"/>
      <c r="CB26" s="159">
        <f t="shared" si="129"/>
        <v>6.6537405735656536</v>
      </c>
      <c r="CC26" s="159">
        <f t="shared" si="130"/>
        <v>7.1834207852899148</v>
      </c>
      <c r="CD26" s="159">
        <f t="shared" si="131"/>
        <v>18.956477551317548</v>
      </c>
      <c r="CE26" s="159">
        <f t="shared" si="132"/>
        <v>7.1834207852899148</v>
      </c>
      <c r="CF26" s="159">
        <f t="shared" si="133"/>
        <v>7.5820501904714321</v>
      </c>
      <c r="CG26" s="159">
        <f t="shared" si="134"/>
        <v>22.173888781308815</v>
      </c>
      <c r="CH26" s="159">
        <f t="shared" si="135"/>
        <v>7.5820501904714321</v>
      </c>
      <c r="CI26" s="159">
        <f t="shared" si="136"/>
        <v>4.0971308950527421</v>
      </c>
    </row>
    <row r="27" spans="1:87" x14ac:dyDescent="0.25">
      <c r="A27" t="s">
        <v>1044</v>
      </c>
      <c r="C27" s="724">
        <v>29</v>
      </c>
      <c r="D27" s="371">
        <v>60</v>
      </c>
      <c r="E27" s="724" t="s">
        <v>595</v>
      </c>
      <c r="F27" s="317">
        <v>43050</v>
      </c>
      <c r="G27" s="532">
        <v>1</v>
      </c>
      <c r="H27" s="533">
        <v>6</v>
      </c>
      <c r="I27" s="371"/>
      <c r="J27" s="163">
        <v>0</v>
      </c>
      <c r="K27" s="163">
        <v>2</v>
      </c>
      <c r="L27" s="163">
        <v>13</v>
      </c>
      <c r="M27" s="163">
        <v>5</v>
      </c>
      <c r="N27" s="163">
        <v>14</v>
      </c>
      <c r="O27" s="163">
        <v>11</v>
      </c>
      <c r="P27" s="163">
        <v>2</v>
      </c>
      <c r="Q27" s="163">
        <f>((2*(N27+1))+(K27+1))/8</f>
        <v>4.125</v>
      </c>
      <c r="R27" s="163">
        <f>1.66*(O27+(LOG(H27)*4/3)+G27)+0.55*(P27+(LOG(H27)*4/3)+G27)-7.6</f>
        <v>16.262952351130473</v>
      </c>
      <c r="S27" s="163">
        <f>(0.5*O27+ 0.3*P27)/10</f>
        <v>0.61</v>
      </c>
      <c r="T27" s="163">
        <f>(0.4*K27+0.3*P27)/10</f>
        <v>0.13999999999999999</v>
      </c>
      <c r="U27" s="163">
        <f ca="1">IF(TODAY()-F27&gt;335,(P27+1+(LOG(H27)*4/3)),(P27+((TODAY()-F27)^0.5)/(336^0.5)+(LOG(H27)*4/3)))</f>
        <v>3.1595225096300918</v>
      </c>
      <c r="V27" s="159">
        <f>((J27+G27+(LOG(H27)*4/3))*0.597)+((K27+G27+(LOG(H27)*4/3))*0.276)</f>
        <v>2.3307680554465611</v>
      </c>
      <c r="W27" s="159">
        <f>((J27+G27+(LOG(H27)*4/3))*0.866)+((K27+G27+(LOG(H27)*4/3))*0.425)</f>
        <v>3.4804576856603786</v>
      </c>
      <c r="X27" s="159">
        <f>V27</f>
        <v>2.3307680554465611</v>
      </c>
      <c r="Y27" s="159">
        <f>((K27+G27+(LOG(H27)*4/3))*0.516)</f>
        <v>2.0833680602639468</v>
      </c>
      <c r="Z27" s="159">
        <f>(K27+G27+(LOG(H27)*4/3))*1</f>
        <v>4.0375350005115251</v>
      </c>
      <c r="AA27" s="159">
        <f>Y27/2</f>
        <v>1.0416840301319734</v>
      </c>
      <c r="AB27" s="159">
        <f>(L27+G27+(LOG(H27)*4/3))*0.238</f>
        <v>3.578933330121743</v>
      </c>
      <c r="AC27" s="159">
        <f>((K27+G27+(LOG(H27)*4/3))*0.378)</f>
        <v>1.5261882301933565</v>
      </c>
      <c r="AD27" s="159">
        <f>(K27+G27+(LOG(H27)*4/3))*0.723</f>
        <v>2.9191378053698327</v>
      </c>
      <c r="AE27" s="159">
        <f>AC27/2</f>
        <v>0.76309411509667824</v>
      </c>
      <c r="AF27" s="159">
        <f>(L27+G27+(LOG(H27)*4/3))*0.385</f>
        <v>5.789450975196937</v>
      </c>
      <c r="AG27" s="387">
        <f>((K27+G27+(LOG(H27)*4/3))*0.92)</f>
        <v>3.7145322004706034</v>
      </c>
      <c r="AH27" s="159">
        <f>(K27+G27+(LOG(H27)*4/3))*0.414</f>
        <v>1.6715394902117713</v>
      </c>
      <c r="AI27" s="159">
        <f>((L27+G27+(LOG(H27)*4/3))*0.167)</f>
        <v>2.511268345085425</v>
      </c>
      <c r="AJ27" s="387">
        <f>(M27+G27+(LOG(H27)*4/3))*0.588</f>
        <v>4.1380705803007762</v>
      </c>
      <c r="AK27" s="159">
        <f>((K27+G27+(LOG(H27)*4/3))*0.754)</f>
        <v>3.0443013903856899</v>
      </c>
      <c r="AL27" s="159">
        <f>((K27+G27+(LOG(H27)*4/3))*0.708)</f>
        <v>2.8585747803621597</v>
      </c>
      <c r="AM27" s="159">
        <f>((P27+G27+(LOG(H27)*4/3))*0.167)</f>
        <v>0.67426834508542477</v>
      </c>
      <c r="AN27" s="159">
        <f>((Q27+G27+(LOG(H27)*4/3))*0.288)</f>
        <v>1.774810080147319</v>
      </c>
      <c r="AO27" s="159">
        <f>((K27+G27+(LOG(H27)*4/3))*0.27)</f>
        <v>1.0901344501381118</v>
      </c>
      <c r="AP27" s="159">
        <f>((K27+G27+(LOG(H27)*4/3))*0.594)</f>
        <v>2.398295790303846</v>
      </c>
      <c r="AQ27" s="159">
        <f>AO27/2</f>
        <v>0.54506722506905592</v>
      </c>
      <c r="AR27" s="159">
        <f>((L27+G27+(LOG(H27)*4/3))*0.944)</f>
        <v>14.195433040482879</v>
      </c>
      <c r="AS27" s="159">
        <f>((N27+G27+(LOG(H27)*4/3))*0.13)</f>
        <v>2.0848795500664985</v>
      </c>
      <c r="AT27" s="159">
        <f>((O27+G27+(LOG(H27)*4/3))*0.173)+((N27+G27+(LOG(H27)*4/3))*0.12)</f>
        <v>4.179997755149877</v>
      </c>
      <c r="AU27" s="159">
        <f>AS27/2</f>
        <v>1.0424397750332492</v>
      </c>
      <c r="AV27" s="159">
        <f>((K27+G27+(LOG(H27)*4/3))*0.189)</f>
        <v>0.76309411509667824</v>
      </c>
      <c r="AW27" s="159">
        <f>((K27+G27+(LOG(H27)*4/3))*0.4)</f>
        <v>1.6150140002046101</v>
      </c>
      <c r="AX27" s="159">
        <f>AV27/2</f>
        <v>0.38154705754833912</v>
      </c>
      <c r="AY27" s="159">
        <f>((L27+G27+(LOG(H27)*4/3))*1)</f>
        <v>15.037535000511525</v>
      </c>
      <c r="AZ27" s="159">
        <f>((N27+G27+(LOG(H27)*4/3))*0.253)</f>
        <v>4.0574963551294161</v>
      </c>
      <c r="BA27" s="159">
        <f>((O27+G27+(LOG(H27)*4/3))*0.21)+((N27+G27+(LOG(H27)*4/3))*0.341)</f>
        <v>8.2066817852818517</v>
      </c>
      <c r="BB27" s="159">
        <f>AZ27/2</f>
        <v>2.028748177564708</v>
      </c>
      <c r="BC27" s="159">
        <f>((K27+G27+(LOG(H27)*4/3))*0.291)</f>
        <v>1.1749226851488537</v>
      </c>
      <c r="BD27" s="159">
        <f>((K27+G27+(LOG(H27)*4/3))*0.348)</f>
        <v>1.4050621801780105</v>
      </c>
      <c r="BE27" s="159">
        <f>((L27+G27+(LOG(H27)*4/3))*0.881)</f>
        <v>13.248068335450654</v>
      </c>
      <c r="BF27" s="159">
        <f>((M27+G27+(LOG(H27)*4/3))*0.574)+((N27+G27+(LOG(H27)*4/3))*0.315)</f>
        <v>9.0913686154547442</v>
      </c>
      <c r="BG27" s="159">
        <f>((N27+G27+(LOG(H27)*4/3))*0.241)</f>
        <v>3.8650459351232773</v>
      </c>
      <c r="BH27" s="159">
        <f>((K27+G27+(LOG(H27)*4/3))*0.485)</f>
        <v>1.9582044752480896</v>
      </c>
      <c r="BI27" s="159">
        <f>((K27+G27+(LOG(H27)*4/3))*0.264)</f>
        <v>1.0659092401350427</v>
      </c>
      <c r="BJ27" s="159">
        <f>((L27+G27+(LOG(H27)*4/3))*0.381)</f>
        <v>5.7293008351948913</v>
      </c>
      <c r="BK27" s="159">
        <f>((M27+G27+(LOG(H27)*4/3))*0.673)+((N27+G27+(LOG(H27)*4/3))*0.201)</f>
        <v>7.9598055904470737</v>
      </c>
      <c r="BL27" s="159">
        <f>((N27+G27+(LOG(H27)*4/3))*0.052)</f>
        <v>0.83395182002659929</v>
      </c>
      <c r="BM27" s="159">
        <f>((K27+G27+(LOG(H27)*4/3))*0.18)</f>
        <v>0.72675630009207448</v>
      </c>
      <c r="BN27" s="159">
        <f>(K27+G27+(LOG(H27)*4/3))*0.068</f>
        <v>0.27455238003478372</v>
      </c>
      <c r="BO27" s="159">
        <f>((L27+G27+(LOG(H27)*4/3))*0.305)</f>
        <v>4.5864481751560149</v>
      </c>
      <c r="BP27" s="159">
        <f>((M27+G27+(LOG(H27)*4/3))*1)+((N27+G27+(LOG(H27)*4/3))*0.286)</f>
        <v>11.624270010657821</v>
      </c>
      <c r="BQ27" s="159">
        <f>((N27+G27+(LOG(H27)*4/3))*0.135)</f>
        <v>2.1650672250690559</v>
      </c>
      <c r="BR27" s="159">
        <f>((K27+G27+(LOG(H27)*4/3))*0.284)</f>
        <v>1.1466599401452731</v>
      </c>
      <c r="BS27" s="159">
        <f>(K27+G27+(LOG(H27)*4/3))*0.244</f>
        <v>0.98515854012481208</v>
      </c>
      <c r="BT27" s="159">
        <f>((L27+G27+(LOG(H27)*4/3))*0.455)</f>
        <v>6.842078425232744</v>
      </c>
      <c r="BU27" s="159">
        <f>((M27+G27+(LOG(H27)*4/3))*0.864)+((N27+G27+(LOG(H27)*4/3))*0.244)</f>
        <v>9.9935887805667694</v>
      </c>
      <c r="BV27" s="159">
        <f>((N27+G27+(LOG(H27)*4/3))*0.121)</f>
        <v>1.9405417350618945</v>
      </c>
      <c r="BW27" s="159"/>
      <c r="BX27" s="159"/>
      <c r="BY27" s="159"/>
      <c r="BZ27" s="159"/>
      <c r="CA27" s="159"/>
      <c r="CB27" s="159">
        <f>((L27+G27+(LOG(H27)*4/3))*0.406)</f>
        <v>6.1052392102076798</v>
      </c>
      <c r="CC27" s="159">
        <f>IF(E27="TEC",((M27+G27+(LOG(H27)*4/3))*0.15)+((N27+G27+(LOG(H27)*4/3))*0.324)+((O27+G27+(LOG(H27)*4/3))*0.127),(((M27+G27+(LOG(H27)*4/3))*0.144)+((N27+G27+(LOG(H27)*4/3))*0.25)+((O27+G27+(LOG(H27)*4/3))*0.127)))</f>
        <v>6.6785557352665048</v>
      </c>
      <c r="CD27" s="159">
        <f>((N27+G27+(LOG(H27)*4/3))*0.543)+((O27+G27+(LOG(H27)*4/3))*0.583)</f>
        <v>16.309264410575977</v>
      </c>
      <c r="CE27" s="159">
        <f>CC27</f>
        <v>6.6785557352665048</v>
      </c>
      <c r="CF27" s="159">
        <f>((O27+1+(LOG(H27)*4/3))*0.26)+((M27+G27+(LOG(H27)*4/3))*0.221)+((N27+G27+(LOG(H27)*4/3))*0.142)</f>
        <v>7.2223843053186805</v>
      </c>
      <c r="CG27" s="159">
        <f>((O27+G27+(LOG(H27)*4/3))*1)+((N27+G27+(LOG(H27)*4/3))*0.369)</f>
        <v>18.955385415700277</v>
      </c>
      <c r="CH27" s="159">
        <f>CF27</f>
        <v>7.2223843053186805</v>
      </c>
      <c r="CI27" s="159">
        <f>((L27+G27+(LOG(H27)*4/3))*0.25)</f>
        <v>3.7593837501278813</v>
      </c>
    </row>
    <row r="28" spans="1:87" x14ac:dyDescent="0.25">
      <c r="A28" t="s">
        <v>1047</v>
      </c>
      <c r="C28" s="724">
        <v>30</v>
      </c>
      <c r="D28" s="371">
        <v>1</v>
      </c>
      <c r="E28" s="724" t="s">
        <v>595</v>
      </c>
      <c r="F28" s="317">
        <v>43054</v>
      </c>
      <c r="G28" s="532">
        <v>1</v>
      </c>
      <c r="H28" s="533">
        <v>7</v>
      </c>
      <c r="I28" s="371"/>
      <c r="J28" s="163">
        <v>0</v>
      </c>
      <c r="K28" s="163">
        <v>2</v>
      </c>
      <c r="L28" s="163">
        <v>13</v>
      </c>
      <c r="M28" s="163">
        <v>2</v>
      </c>
      <c r="N28" s="163">
        <v>14</v>
      </c>
      <c r="O28" s="163">
        <v>12</v>
      </c>
      <c r="P28" s="163">
        <v>1</v>
      </c>
      <c r="Q28" s="163">
        <f t="shared" si="71"/>
        <v>4.125</v>
      </c>
      <c r="R28" s="163">
        <f t="shared" si="72"/>
        <v>17.570222224575339</v>
      </c>
      <c r="S28" s="163">
        <f t="shared" si="73"/>
        <v>0.63</v>
      </c>
      <c r="T28" s="163">
        <f t="shared" si="74"/>
        <v>0.11000000000000001</v>
      </c>
      <c r="U28" s="163">
        <f t="shared" ca="1" si="75"/>
        <v>2.1813518592446739</v>
      </c>
      <c r="V28" s="159">
        <f t="shared" si="76"/>
        <v>2.4086941185765949</v>
      </c>
      <c r="W28" s="159">
        <f t="shared" si="77"/>
        <v>3.5956954262112069</v>
      </c>
      <c r="X28" s="159">
        <f t="shared" si="78"/>
        <v>2.4086941185765949</v>
      </c>
      <c r="Y28" s="159">
        <f t="shared" si="79"/>
        <v>2.1294274515298084</v>
      </c>
      <c r="Z28" s="159">
        <f t="shared" si="80"/>
        <v>4.1267973866856753</v>
      </c>
      <c r="AA28" s="159">
        <f t="shared" si="81"/>
        <v>1.0647137257649042</v>
      </c>
      <c r="AB28" s="159">
        <f t="shared" si="82"/>
        <v>3.6001777780311905</v>
      </c>
      <c r="AC28" s="159">
        <f t="shared" si="83"/>
        <v>1.5599294121671852</v>
      </c>
      <c r="AD28" s="159">
        <f t="shared" si="84"/>
        <v>2.983674510573743</v>
      </c>
      <c r="AE28" s="159">
        <f t="shared" si="85"/>
        <v>0.77996470608359258</v>
      </c>
      <c r="AF28" s="159">
        <f t="shared" si="86"/>
        <v>5.8238169938739848</v>
      </c>
      <c r="AG28" s="387">
        <f t="shared" si="87"/>
        <v>3.7966535957508216</v>
      </c>
      <c r="AH28" s="159">
        <f t="shared" si="88"/>
        <v>1.7084941180878694</v>
      </c>
      <c r="AI28" s="159">
        <f t="shared" si="89"/>
        <v>2.5261751635765077</v>
      </c>
      <c r="AJ28" s="387">
        <f t="shared" si="90"/>
        <v>2.4265568633711769</v>
      </c>
      <c r="AK28" s="159">
        <f t="shared" si="91"/>
        <v>3.1116052295609991</v>
      </c>
      <c r="AL28" s="159">
        <f t="shared" si="92"/>
        <v>2.9217725497734581</v>
      </c>
      <c r="AM28" s="159">
        <f t="shared" si="93"/>
        <v>0.52217516357650784</v>
      </c>
      <c r="AN28" s="159">
        <f t="shared" si="94"/>
        <v>1.8005176473654743</v>
      </c>
      <c r="AO28" s="159">
        <f t="shared" si="95"/>
        <v>1.1142352944051324</v>
      </c>
      <c r="AP28" s="159">
        <f t="shared" si="96"/>
        <v>2.4513176476912912</v>
      </c>
      <c r="AQ28" s="159">
        <f t="shared" si="97"/>
        <v>0.55711764720256618</v>
      </c>
      <c r="AR28" s="159">
        <f t="shared" si="98"/>
        <v>14.279696733031276</v>
      </c>
      <c r="AS28" s="159">
        <f t="shared" si="99"/>
        <v>2.0964836602691381</v>
      </c>
      <c r="AT28" s="159">
        <f t="shared" si="100"/>
        <v>4.3791516342989034</v>
      </c>
      <c r="AU28" s="159">
        <f t="shared" si="101"/>
        <v>1.0482418301345691</v>
      </c>
      <c r="AV28" s="159">
        <f t="shared" si="102"/>
        <v>0.77996470608359258</v>
      </c>
      <c r="AW28" s="159">
        <f t="shared" si="103"/>
        <v>1.6507189546742702</v>
      </c>
      <c r="AX28" s="159">
        <f t="shared" si="104"/>
        <v>0.38998235304179629</v>
      </c>
      <c r="AY28" s="159">
        <f t="shared" si="105"/>
        <v>15.126797386685675</v>
      </c>
      <c r="AZ28" s="159">
        <f t="shared" si="106"/>
        <v>4.0800797388314765</v>
      </c>
      <c r="BA28" s="159">
        <f t="shared" si="107"/>
        <v>8.465865360063809</v>
      </c>
      <c r="BB28" s="159">
        <f t="shared" si="108"/>
        <v>2.0400398694157382</v>
      </c>
      <c r="BC28" s="159">
        <f t="shared" si="109"/>
        <v>1.2008980395255315</v>
      </c>
      <c r="BD28" s="159">
        <f t="shared" si="110"/>
        <v>1.436125490566615</v>
      </c>
      <c r="BE28" s="159">
        <f t="shared" si="111"/>
        <v>13.326708497670079</v>
      </c>
      <c r="BF28" s="159">
        <f t="shared" si="112"/>
        <v>7.4487228767635658</v>
      </c>
      <c r="BG28" s="159">
        <f t="shared" si="113"/>
        <v>3.8865581701912482</v>
      </c>
      <c r="BH28" s="159">
        <f t="shared" si="114"/>
        <v>2.0014967325425523</v>
      </c>
      <c r="BI28" s="159">
        <f t="shared" si="115"/>
        <v>1.0894745100850183</v>
      </c>
      <c r="BJ28" s="159">
        <f t="shared" si="116"/>
        <v>5.7633098043272426</v>
      </c>
      <c r="BK28" s="159">
        <f t="shared" si="117"/>
        <v>6.0188209159632802</v>
      </c>
      <c r="BL28" s="159">
        <f t="shared" si="118"/>
        <v>0.83859346410765512</v>
      </c>
      <c r="BM28" s="159">
        <f t="shared" si="119"/>
        <v>0.74282352960342157</v>
      </c>
      <c r="BN28" s="159">
        <f t="shared" si="120"/>
        <v>0.28062222229462597</v>
      </c>
      <c r="BO28" s="159">
        <f t="shared" si="121"/>
        <v>4.6136732029391307</v>
      </c>
      <c r="BP28" s="159">
        <f t="shared" si="122"/>
        <v>8.7390614392777799</v>
      </c>
      <c r="BQ28" s="159">
        <f t="shared" si="123"/>
        <v>2.1771176472025666</v>
      </c>
      <c r="BR28" s="159">
        <f t="shared" si="124"/>
        <v>1.1720104578187316</v>
      </c>
      <c r="BS28" s="159">
        <f t="shared" si="125"/>
        <v>1.0069385623513047</v>
      </c>
      <c r="BT28" s="159">
        <f t="shared" si="126"/>
        <v>6.8826928109419825</v>
      </c>
      <c r="BU28" s="159">
        <f t="shared" si="127"/>
        <v>7.5004915044477283</v>
      </c>
      <c r="BV28" s="159">
        <f t="shared" si="128"/>
        <v>1.9513424837889668</v>
      </c>
      <c r="BW28" s="159"/>
      <c r="BX28" s="159"/>
      <c r="BY28" s="159"/>
      <c r="BZ28" s="159"/>
      <c r="CA28" s="159"/>
      <c r="CB28" s="159">
        <f t="shared" si="129"/>
        <v>6.1414797389943843</v>
      </c>
      <c r="CC28" s="159">
        <f t="shared" si="130"/>
        <v>6.4200614384632368</v>
      </c>
      <c r="CD28" s="159">
        <f t="shared" si="131"/>
        <v>16.992773857408071</v>
      </c>
      <c r="CE28" s="159">
        <f t="shared" si="132"/>
        <v>6.4200614384632368</v>
      </c>
      <c r="CF28" s="159">
        <f t="shared" si="133"/>
        <v>6.8749947719051763</v>
      </c>
      <c r="CG28" s="159">
        <f t="shared" si="134"/>
        <v>20.077585622372691</v>
      </c>
      <c r="CH28" s="159">
        <f t="shared" si="135"/>
        <v>6.8749947719051763</v>
      </c>
      <c r="CI28" s="159">
        <f t="shared" si="136"/>
        <v>3.7816993466714188</v>
      </c>
    </row>
    <row r="29" spans="1:87" x14ac:dyDescent="0.25">
      <c r="C29" s="724"/>
      <c r="D29" s="371"/>
      <c r="E29" s="724"/>
      <c r="F29" s="317">
        <v>42857</v>
      </c>
      <c r="G29" s="532"/>
      <c r="H29" s="533"/>
      <c r="I29" s="371"/>
      <c r="J29" s="163"/>
      <c r="K29" s="163"/>
      <c r="L29" s="163"/>
      <c r="M29" s="163"/>
      <c r="N29" s="163"/>
      <c r="O29" s="163"/>
      <c r="P29" s="163"/>
      <c r="Q29" s="163">
        <f t="shared" si="71"/>
        <v>0.375</v>
      </c>
      <c r="R29" s="163" t="e">
        <f t="shared" si="72"/>
        <v>#NUM!</v>
      </c>
      <c r="S29" s="163">
        <f t="shared" si="73"/>
        <v>0</v>
      </c>
      <c r="T29" s="163">
        <f t="shared" si="74"/>
        <v>0</v>
      </c>
      <c r="U29" s="163" t="e">
        <f t="shared" ca="1" si="75"/>
        <v>#NUM!</v>
      </c>
      <c r="V29" s="159" t="e">
        <f t="shared" si="76"/>
        <v>#NUM!</v>
      </c>
      <c r="W29" s="159" t="e">
        <f t="shared" si="77"/>
        <v>#NUM!</v>
      </c>
      <c r="X29" s="159" t="e">
        <f t="shared" si="78"/>
        <v>#NUM!</v>
      </c>
      <c r="Y29" s="159" t="e">
        <f t="shared" si="79"/>
        <v>#NUM!</v>
      </c>
      <c r="Z29" s="159" t="e">
        <f t="shared" si="80"/>
        <v>#NUM!</v>
      </c>
      <c r="AA29" s="159" t="e">
        <f t="shared" si="81"/>
        <v>#NUM!</v>
      </c>
      <c r="AB29" s="159" t="e">
        <f t="shared" si="82"/>
        <v>#NUM!</v>
      </c>
      <c r="AC29" s="159" t="e">
        <f t="shared" si="83"/>
        <v>#NUM!</v>
      </c>
      <c r="AD29" s="159" t="e">
        <f t="shared" si="84"/>
        <v>#NUM!</v>
      </c>
      <c r="AE29" s="159" t="e">
        <f t="shared" si="85"/>
        <v>#NUM!</v>
      </c>
      <c r="AF29" s="159" t="e">
        <f t="shared" si="86"/>
        <v>#NUM!</v>
      </c>
      <c r="AG29" s="387" t="e">
        <f t="shared" si="87"/>
        <v>#NUM!</v>
      </c>
      <c r="AH29" s="159" t="e">
        <f t="shared" si="88"/>
        <v>#NUM!</v>
      </c>
      <c r="AI29" s="159" t="e">
        <f t="shared" si="89"/>
        <v>#NUM!</v>
      </c>
      <c r="AJ29" s="387" t="e">
        <f t="shared" si="90"/>
        <v>#NUM!</v>
      </c>
      <c r="AK29" s="159" t="e">
        <f t="shared" si="91"/>
        <v>#NUM!</v>
      </c>
      <c r="AL29" s="159" t="e">
        <f t="shared" si="92"/>
        <v>#NUM!</v>
      </c>
      <c r="AM29" s="159" t="e">
        <f t="shared" si="93"/>
        <v>#NUM!</v>
      </c>
      <c r="AN29" s="159" t="e">
        <f t="shared" si="94"/>
        <v>#NUM!</v>
      </c>
      <c r="AO29" s="159" t="e">
        <f t="shared" si="95"/>
        <v>#NUM!</v>
      </c>
      <c r="AP29" s="159" t="e">
        <f t="shared" si="96"/>
        <v>#NUM!</v>
      </c>
      <c r="AQ29" s="159" t="e">
        <f t="shared" si="97"/>
        <v>#NUM!</v>
      </c>
      <c r="AR29" s="159" t="e">
        <f t="shared" si="98"/>
        <v>#NUM!</v>
      </c>
      <c r="AS29" s="159" t="e">
        <f t="shared" si="99"/>
        <v>#NUM!</v>
      </c>
      <c r="AT29" s="159" t="e">
        <f t="shared" si="100"/>
        <v>#NUM!</v>
      </c>
      <c r="AU29" s="159" t="e">
        <f t="shared" si="101"/>
        <v>#NUM!</v>
      </c>
      <c r="AV29" s="159" t="e">
        <f t="shared" si="102"/>
        <v>#NUM!</v>
      </c>
      <c r="AW29" s="159" t="e">
        <f t="shared" si="103"/>
        <v>#NUM!</v>
      </c>
      <c r="AX29" s="159" t="e">
        <f t="shared" si="104"/>
        <v>#NUM!</v>
      </c>
      <c r="AY29" s="159" t="e">
        <f t="shared" si="105"/>
        <v>#NUM!</v>
      </c>
      <c r="AZ29" s="159" t="e">
        <f t="shared" si="106"/>
        <v>#NUM!</v>
      </c>
      <c r="BA29" s="159" t="e">
        <f t="shared" si="107"/>
        <v>#NUM!</v>
      </c>
      <c r="BB29" s="159" t="e">
        <f t="shared" si="108"/>
        <v>#NUM!</v>
      </c>
      <c r="BC29" s="159" t="e">
        <f t="shared" si="109"/>
        <v>#NUM!</v>
      </c>
      <c r="BD29" s="159" t="e">
        <f t="shared" si="110"/>
        <v>#NUM!</v>
      </c>
      <c r="BE29" s="159" t="e">
        <f t="shared" si="111"/>
        <v>#NUM!</v>
      </c>
      <c r="BF29" s="159" t="e">
        <f t="shared" si="112"/>
        <v>#NUM!</v>
      </c>
      <c r="BG29" s="159" t="e">
        <f t="shared" si="113"/>
        <v>#NUM!</v>
      </c>
      <c r="BH29" s="159" t="e">
        <f t="shared" si="114"/>
        <v>#NUM!</v>
      </c>
      <c r="BI29" s="159" t="e">
        <f t="shared" si="115"/>
        <v>#NUM!</v>
      </c>
      <c r="BJ29" s="159" t="e">
        <f t="shared" si="116"/>
        <v>#NUM!</v>
      </c>
      <c r="BK29" s="159" t="e">
        <f t="shared" si="117"/>
        <v>#NUM!</v>
      </c>
      <c r="BL29" s="159" t="e">
        <f t="shared" si="118"/>
        <v>#NUM!</v>
      </c>
      <c r="BM29" s="159" t="e">
        <f t="shared" si="119"/>
        <v>#NUM!</v>
      </c>
      <c r="BN29" s="159" t="e">
        <f t="shared" si="120"/>
        <v>#NUM!</v>
      </c>
      <c r="BO29" s="159" t="e">
        <f t="shared" si="121"/>
        <v>#NUM!</v>
      </c>
      <c r="BP29" s="159" t="e">
        <f t="shared" si="122"/>
        <v>#NUM!</v>
      </c>
      <c r="BQ29" s="159" t="e">
        <f t="shared" si="123"/>
        <v>#NUM!</v>
      </c>
      <c r="BR29" s="159" t="e">
        <f t="shared" si="124"/>
        <v>#NUM!</v>
      </c>
      <c r="BS29" s="159" t="e">
        <f t="shared" si="125"/>
        <v>#NUM!</v>
      </c>
      <c r="BT29" s="159" t="e">
        <f t="shared" si="126"/>
        <v>#NUM!</v>
      </c>
      <c r="BU29" s="159" t="e">
        <f t="shared" si="127"/>
        <v>#NUM!</v>
      </c>
      <c r="BV29" s="159" t="e">
        <f t="shared" si="128"/>
        <v>#NUM!</v>
      </c>
      <c r="BW29" s="159"/>
      <c r="BX29" s="159"/>
      <c r="BY29" s="159"/>
      <c r="BZ29" s="159"/>
      <c r="CA29" s="159"/>
      <c r="CB29" s="159" t="e">
        <f t="shared" si="129"/>
        <v>#NUM!</v>
      </c>
      <c r="CC29" s="159" t="e">
        <f t="shared" si="130"/>
        <v>#NUM!</v>
      </c>
      <c r="CD29" s="159" t="e">
        <f t="shared" si="131"/>
        <v>#NUM!</v>
      </c>
      <c r="CE29" s="159" t="e">
        <f t="shared" si="132"/>
        <v>#NUM!</v>
      </c>
      <c r="CF29" s="159" t="e">
        <f t="shared" si="133"/>
        <v>#NUM!</v>
      </c>
      <c r="CG29" s="159" t="e">
        <f t="shared" si="134"/>
        <v>#NUM!</v>
      </c>
      <c r="CH29" s="159" t="e">
        <f t="shared" si="135"/>
        <v>#NUM!</v>
      </c>
      <c r="CI29" s="159" t="e">
        <f t="shared" si="136"/>
        <v>#NUM!</v>
      </c>
    </row>
    <row r="30" spans="1:87" x14ac:dyDescent="0.25">
      <c r="C30" s="724"/>
      <c r="D30" s="371"/>
      <c r="E30" s="724"/>
      <c r="F30" s="317">
        <v>42857</v>
      </c>
      <c r="G30" s="532"/>
      <c r="H30" s="533"/>
      <c r="I30" s="371"/>
      <c r="J30" s="163"/>
      <c r="K30" s="163"/>
      <c r="L30" s="163"/>
      <c r="M30" s="163"/>
      <c r="N30" s="163"/>
      <c r="O30" s="163"/>
      <c r="P30" s="163"/>
      <c r="Q30" s="163">
        <f t="shared" si="71"/>
        <v>0.375</v>
      </c>
      <c r="R30" s="163" t="e">
        <f t="shared" si="72"/>
        <v>#NUM!</v>
      </c>
      <c r="S30" s="163">
        <f t="shared" si="73"/>
        <v>0</v>
      </c>
      <c r="T30" s="163">
        <f t="shared" si="74"/>
        <v>0</v>
      </c>
      <c r="U30" s="163" t="e">
        <f t="shared" ca="1" si="75"/>
        <v>#NUM!</v>
      </c>
      <c r="V30" s="159" t="e">
        <f t="shared" si="76"/>
        <v>#NUM!</v>
      </c>
      <c r="W30" s="159" t="e">
        <f t="shared" si="77"/>
        <v>#NUM!</v>
      </c>
      <c r="X30" s="159" t="e">
        <f t="shared" si="78"/>
        <v>#NUM!</v>
      </c>
      <c r="Y30" s="159" t="e">
        <f t="shared" si="79"/>
        <v>#NUM!</v>
      </c>
      <c r="Z30" s="159" t="e">
        <f t="shared" si="80"/>
        <v>#NUM!</v>
      </c>
      <c r="AA30" s="159" t="e">
        <f t="shared" si="81"/>
        <v>#NUM!</v>
      </c>
      <c r="AB30" s="159" t="e">
        <f t="shared" si="82"/>
        <v>#NUM!</v>
      </c>
      <c r="AC30" s="159" t="e">
        <f t="shared" si="83"/>
        <v>#NUM!</v>
      </c>
      <c r="AD30" s="159" t="e">
        <f t="shared" si="84"/>
        <v>#NUM!</v>
      </c>
      <c r="AE30" s="159" t="e">
        <f t="shared" si="85"/>
        <v>#NUM!</v>
      </c>
      <c r="AF30" s="159" t="e">
        <f t="shared" si="86"/>
        <v>#NUM!</v>
      </c>
      <c r="AG30" s="387" t="e">
        <f t="shared" si="87"/>
        <v>#NUM!</v>
      </c>
      <c r="AH30" s="159" t="e">
        <f t="shared" si="88"/>
        <v>#NUM!</v>
      </c>
      <c r="AI30" s="159" t="e">
        <f t="shared" si="89"/>
        <v>#NUM!</v>
      </c>
      <c r="AJ30" s="387" t="e">
        <f t="shared" si="90"/>
        <v>#NUM!</v>
      </c>
      <c r="AK30" s="159" t="e">
        <f t="shared" si="91"/>
        <v>#NUM!</v>
      </c>
      <c r="AL30" s="159" t="e">
        <f t="shared" si="92"/>
        <v>#NUM!</v>
      </c>
      <c r="AM30" s="159" t="e">
        <f t="shared" si="93"/>
        <v>#NUM!</v>
      </c>
      <c r="AN30" s="159" t="e">
        <f t="shared" si="94"/>
        <v>#NUM!</v>
      </c>
      <c r="AO30" s="159" t="e">
        <f t="shared" si="95"/>
        <v>#NUM!</v>
      </c>
      <c r="AP30" s="159" t="e">
        <f t="shared" si="96"/>
        <v>#NUM!</v>
      </c>
      <c r="AQ30" s="159" t="e">
        <f t="shared" si="97"/>
        <v>#NUM!</v>
      </c>
      <c r="AR30" s="159" t="e">
        <f t="shared" si="98"/>
        <v>#NUM!</v>
      </c>
      <c r="AS30" s="159" t="e">
        <f t="shared" si="99"/>
        <v>#NUM!</v>
      </c>
      <c r="AT30" s="159" t="e">
        <f t="shared" si="100"/>
        <v>#NUM!</v>
      </c>
      <c r="AU30" s="159" t="e">
        <f t="shared" si="101"/>
        <v>#NUM!</v>
      </c>
      <c r="AV30" s="159" t="e">
        <f t="shared" si="102"/>
        <v>#NUM!</v>
      </c>
      <c r="AW30" s="159" t="e">
        <f t="shared" si="103"/>
        <v>#NUM!</v>
      </c>
      <c r="AX30" s="159" t="e">
        <f t="shared" si="104"/>
        <v>#NUM!</v>
      </c>
      <c r="AY30" s="159" t="e">
        <f t="shared" si="105"/>
        <v>#NUM!</v>
      </c>
      <c r="AZ30" s="159" t="e">
        <f t="shared" si="106"/>
        <v>#NUM!</v>
      </c>
      <c r="BA30" s="159" t="e">
        <f t="shared" si="107"/>
        <v>#NUM!</v>
      </c>
      <c r="BB30" s="159" t="e">
        <f t="shared" si="108"/>
        <v>#NUM!</v>
      </c>
      <c r="BC30" s="159" t="e">
        <f t="shared" si="109"/>
        <v>#NUM!</v>
      </c>
      <c r="BD30" s="159" t="e">
        <f t="shared" si="110"/>
        <v>#NUM!</v>
      </c>
      <c r="BE30" s="159" t="e">
        <f t="shared" si="111"/>
        <v>#NUM!</v>
      </c>
      <c r="BF30" s="159" t="e">
        <f t="shared" si="112"/>
        <v>#NUM!</v>
      </c>
      <c r="BG30" s="159" t="e">
        <f t="shared" si="113"/>
        <v>#NUM!</v>
      </c>
      <c r="BH30" s="159" t="e">
        <f t="shared" si="114"/>
        <v>#NUM!</v>
      </c>
      <c r="BI30" s="159" t="e">
        <f t="shared" si="115"/>
        <v>#NUM!</v>
      </c>
      <c r="BJ30" s="159" t="e">
        <f t="shared" si="116"/>
        <v>#NUM!</v>
      </c>
      <c r="BK30" s="159" t="e">
        <f t="shared" si="117"/>
        <v>#NUM!</v>
      </c>
      <c r="BL30" s="159" t="e">
        <f t="shared" si="118"/>
        <v>#NUM!</v>
      </c>
      <c r="BM30" s="159" t="e">
        <f t="shared" si="119"/>
        <v>#NUM!</v>
      </c>
      <c r="BN30" s="159" t="e">
        <f t="shared" si="120"/>
        <v>#NUM!</v>
      </c>
      <c r="BO30" s="159" t="e">
        <f t="shared" si="121"/>
        <v>#NUM!</v>
      </c>
      <c r="BP30" s="159" t="e">
        <f t="shared" si="122"/>
        <v>#NUM!</v>
      </c>
      <c r="BQ30" s="159" t="e">
        <f t="shared" si="123"/>
        <v>#NUM!</v>
      </c>
      <c r="BR30" s="159" t="e">
        <f t="shared" si="124"/>
        <v>#NUM!</v>
      </c>
      <c r="BS30" s="159" t="e">
        <f t="shared" si="125"/>
        <v>#NUM!</v>
      </c>
      <c r="BT30" s="159" t="e">
        <f t="shared" si="126"/>
        <v>#NUM!</v>
      </c>
      <c r="BU30" s="159" t="e">
        <f t="shared" si="127"/>
        <v>#NUM!</v>
      </c>
      <c r="BV30" s="159" t="e">
        <f t="shared" si="128"/>
        <v>#NUM!</v>
      </c>
      <c r="BW30" s="159"/>
      <c r="BX30" s="159"/>
      <c r="BY30" s="159"/>
      <c r="BZ30" s="159"/>
      <c r="CA30" s="159"/>
      <c r="CB30" s="159" t="e">
        <f t="shared" si="129"/>
        <v>#NUM!</v>
      </c>
      <c r="CC30" s="159" t="e">
        <f t="shared" si="130"/>
        <v>#NUM!</v>
      </c>
      <c r="CD30" s="159" t="e">
        <f t="shared" si="131"/>
        <v>#NUM!</v>
      </c>
      <c r="CE30" s="159" t="e">
        <f t="shared" si="132"/>
        <v>#NUM!</v>
      </c>
      <c r="CF30" s="159" t="e">
        <f t="shared" si="133"/>
        <v>#NUM!</v>
      </c>
      <c r="CG30" s="159" t="e">
        <f t="shared" si="134"/>
        <v>#NUM!</v>
      </c>
      <c r="CH30" s="159" t="e">
        <f t="shared" si="135"/>
        <v>#NUM!</v>
      </c>
      <c r="CI30" s="159" t="e">
        <f t="shared" si="136"/>
        <v>#NUM!</v>
      </c>
    </row>
    <row r="31" spans="1:87" x14ac:dyDescent="0.25">
      <c r="F31" s="317">
        <v>42857</v>
      </c>
      <c r="G31" s="532"/>
      <c r="H31" s="533"/>
      <c r="I31" s="371"/>
      <c r="J31" s="163"/>
      <c r="K31" s="163"/>
      <c r="L31" s="163"/>
      <c r="M31" s="163"/>
      <c r="N31" s="163"/>
      <c r="O31" s="163"/>
      <c r="P31" s="163"/>
      <c r="Q31" s="163">
        <f t="shared" ref="Q31:Q37" si="137">((2*(N31+1))+(K31+1))/8</f>
        <v>0.375</v>
      </c>
      <c r="R31" s="163" t="e">
        <f t="shared" ref="R31:R37" si="138">1.66*(O31+(LOG(H31)*4/3)+G31)+0.55*(P31+(LOG(H31)*4/3)+G31)-7.6</f>
        <v>#NUM!</v>
      </c>
      <c r="S31" s="163">
        <f t="shared" ref="S31:S37" si="139">(0.5*O31+ 0.3*P31)/10</f>
        <v>0</v>
      </c>
      <c r="T31" s="163">
        <f t="shared" ref="T31:T37" si="140">(0.4*K31+0.3*P31)/10</f>
        <v>0</v>
      </c>
      <c r="U31" s="163" t="e">
        <f t="shared" ref="U31:U37" ca="1" si="141">IF(TODAY()-F31&gt;335,(P31+1+(LOG(H31)*4/3)),(P31+((TODAY()-F31)^0.5)/(336^0.5)+(LOG(H31)*4/3)))</f>
        <v>#NUM!</v>
      </c>
      <c r="V31" s="159" t="e">
        <f t="shared" ref="V31:V37" si="142">((J31+G31+(LOG(H31)*4/3))*0.597)+((K31+G31+(LOG(H31)*4/3))*0.276)</f>
        <v>#NUM!</v>
      </c>
      <c r="W31" s="159" t="e">
        <f t="shared" ref="W31:W37" si="143">((J31+G31+(LOG(H31)*4/3))*0.866)+((K31+G31+(LOG(H31)*4/3))*0.425)</f>
        <v>#NUM!</v>
      </c>
      <c r="X31" s="159" t="e">
        <f t="shared" ref="X31:X37" si="144">V31</f>
        <v>#NUM!</v>
      </c>
      <c r="Y31" s="159" t="e">
        <f t="shared" ref="Y31:Y37" si="145">((K31+G31+(LOG(H31)*4/3))*0.516)</f>
        <v>#NUM!</v>
      </c>
      <c r="Z31" s="159" t="e">
        <f t="shared" ref="Z31:Z37" si="146">(K31+G31+(LOG(H31)*4/3))*1</f>
        <v>#NUM!</v>
      </c>
      <c r="AA31" s="159" t="e">
        <f t="shared" ref="AA31:AA37" si="147">Y31/2</f>
        <v>#NUM!</v>
      </c>
      <c r="AB31" s="159" t="e">
        <f t="shared" ref="AB31:AB37" si="148">(L31+G31+(LOG(H31)*4/3))*0.238</f>
        <v>#NUM!</v>
      </c>
      <c r="AC31" s="159" t="e">
        <f t="shared" ref="AC31:AC37" si="149">((K31+G31+(LOG(H31)*4/3))*0.378)</f>
        <v>#NUM!</v>
      </c>
      <c r="AD31" s="159" t="e">
        <f t="shared" ref="AD31:AD37" si="150">(K31+G31+(LOG(H31)*4/3))*0.723</f>
        <v>#NUM!</v>
      </c>
      <c r="AE31" s="159" t="e">
        <f t="shared" ref="AE31:AE37" si="151">AC31/2</f>
        <v>#NUM!</v>
      </c>
      <c r="AF31" s="159" t="e">
        <f t="shared" ref="AF31:AF37" si="152">(L31+G31+(LOG(H31)*4/3))*0.385</f>
        <v>#NUM!</v>
      </c>
      <c r="AG31" s="387" t="e">
        <f t="shared" ref="AG31:AG37" si="153">((K31+G31+(LOG(H31)*4/3))*0.92)</f>
        <v>#NUM!</v>
      </c>
      <c r="AH31" s="159" t="e">
        <f t="shared" ref="AH31:AH37" si="154">(K31+G31+(LOG(H31)*4/3))*0.414</f>
        <v>#NUM!</v>
      </c>
      <c r="AI31" s="159" t="e">
        <f t="shared" ref="AI31:AI37" si="155">((L31+G31+(LOG(H31)*4/3))*0.167)</f>
        <v>#NUM!</v>
      </c>
      <c r="AJ31" s="387" t="e">
        <f t="shared" ref="AJ31:AJ37" si="156">(M31+G31+(LOG(H31)*4/3))*0.588</f>
        <v>#NUM!</v>
      </c>
      <c r="AK31" s="159" t="e">
        <f t="shared" ref="AK31:AK37" si="157">((K31+G31+(LOG(H31)*4/3))*0.754)</f>
        <v>#NUM!</v>
      </c>
      <c r="AL31" s="159" t="e">
        <f t="shared" ref="AL31:AL37" si="158">((K31+G31+(LOG(H31)*4/3))*0.708)</f>
        <v>#NUM!</v>
      </c>
      <c r="AM31" s="159" t="e">
        <f t="shared" ref="AM31:AM37" si="159">((P31+G31+(LOG(H31)*4/3))*0.167)</f>
        <v>#NUM!</v>
      </c>
      <c r="AN31" s="159" t="e">
        <f t="shared" ref="AN31:AN37" si="160">((Q31+G31+(LOG(H31)*4/3))*0.288)</f>
        <v>#NUM!</v>
      </c>
      <c r="AO31" s="159" t="e">
        <f t="shared" ref="AO31:AO37" si="161">((K31+G31+(LOG(H31)*4/3))*0.27)</f>
        <v>#NUM!</v>
      </c>
      <c r="AP31" s="159" t="e">
        <f t="shared" ref="AP31:AP37" si="162">((K31+G31+(LOG(H31)*4/3))*0.594)</f>
        <v>#NUM!</v>
      </c>
      <c r="AQ31" s="159" t="e">
        <f t="shared" ref="AQ31:AQ37" si="163">AO31/2</f>
        <v>#NUM!</v>
      </c>
      <c r="AR31" s="159" t="e">
        <f t="shared" ref="AR31:AR37" si="164">((L31+G31+(LOG(H31)*4/3))*0.944)</f>
        <v>#NUM!</v>
      </c>
      <c r="AS31" s="159" t="e">
        <f t="shared" ref="AS31:AS37" si="165">((N31+G31+(LOG(H31)*4/3))*0.13)</f>
        <v>#NUM!</v>
      </c>
      <c r="AT31" s="159" t="e">
        <f t="shared" ref="AT31:AT37" si="166">((O31+G31+(LOG(H31)*4/3))*0.173)+((N31+G31+(LOG(H31)*4/3))*0.12)</f>
        <v>#NUM!</v>
      </c>
      <c r="AU31" s="159" t="e">
        <f t="shared" ref="AU31:AU37" si="167">AS31/2</f>
        <v>#NUM!</v>
      </c>
      <c r="AV31" s="159" t="e">
        <f t="shared" ref="AV31:AV37" si="168">((K31+G31+(LOG(H31)*4/3))*0.189)</f>
        <v>#NUM!</v>
      </c>
      <c r="AW31" s="159" t="e">
        <f t="shared" ref="AW31:AW37" si="169">((K31+G31+(LOG(H31)*4/3))*0.4)</f>
        <v>#NUM!</v>
      </c>
      <c r="AX31" s="159" t="e">
        <f t="shared" ref="AX31:AX37" si="170">AV31/2</f>
        <v>#NUM!</v>
      </c>
      <c r="AY31" s="159" t="e">
        <f t="shared" ref="AY31:AY37" si="171">((L31+G31+(LOG(H31)*4/3))*1)</f>
        <v>#NUM!</v>
      </c>
      <c r="AZ31" s="159" t="e">
        <f t="shared" ref="AZ31:AZ37" si="172">((N31+G31+(LOG(H31)*4/3))*0.253)</f>
        <v>#NUM!</v>
      </c>
      <c r="BA31" s="159" t="e">
        <f t="shared" ref="BA31:BA37" si="173">((O31+G31+(LOG(H31)*4/3))*0.21)+((N31+G31+(LOG(H31)*4/3))*0.341)</f>
        <v>#NUM!</v>
      </c>
      <c r="BB31" s="159" t="e">
        <f t="shared" ref="BB31:BB37" si="174">AZ31/2</f>
        <v>#NUM!</v>
      </c>
      <c r="BC31" s="159" t="e">
        <f t="shared" ref="BC31:BC37" si="175">((K31+G31+(LOG(H31)*4/3))*0.291)</f>
        <v>#NUM!</v>
      </c>
      <c r="BD31" s="159" t="e">
        <f t="shared" ref="BD31:BD37" si="176">((K31+G31+(LOG(H31)*4/3))*0.348)</f>
        <v>#NUM!</v>
      </c>
      <c r="BE31" s="159" t="e">
        <f t="shared" ref="BE31:BE37" si="177">((L31+G31+(LOG(H31)*4/3))*0.881)</f>
        <v>#NUM!</v>
      </c>
      <c r="BF31" s="159" t="e">
        <f t="shared" ref="BF31:BF37" si="178">((M31+G31+(LOG(H31)*4/3))*0.574)+((N31+G31+(LOG(H31)*4/3))*0.315)</f>
        <v>#NUM!</v>
      </c>
      <c r="BG31" s="159" t="e">
        <f t="shared" ref="BG31:BG37" si="179">((N31+G31+(LOG(H31)*4/3))*0.241)</f>
        <v>#NUM!</v>
      </c>
      <c r="BH31" s="159" t="e">
        <f t="shared" ref="BH31:BH37" si="180">((K31+G31+(LOG(H31)*4/3))*0.485)</f>
        <v>#NUM!</v>
      </c>
      <c r="BI31" s="159" t="e">
        <f t="shared" ref="BI31:BI37" si="181">((K31+G31+(LOG(H31)*4/3))*0.264)</f>
        <v>#NUM!</v>
      </c>
      <c r="BJ31" s="159" t="e">
        <f t="shared" ref="BJ31:BJ37" si="182">((L31+G31+(LOG(H31)*4/3))*0.381)</f>
        <v>#NUM!</v>
      </c>
      <c r="BK31" s="159" t="e">
        <f t="shared" ref="BK31:BK37" si="183">((M31+G31+(LOG(H31)*4/3))*0.673)+((N31+G31+(LOG(H31)*4/3))*0.201)</f>
        <v>#NUM!</v>
      </c>
      <c r="BL31" s="159" t="e">
        <f t="shared" ref="BL31:BL37" si="184">((N31+G31+(LOG(H31)*4/3))*0.052)</f>
        <v>#NUM!</v>
      </c>
      <c r="BM31" s="159" t="e">
        <f t="shared" ref="BM31:BM37" si="185">((K31+G31+(LOG(H31)*4/3))*0.18)</f>
        <v>#NUM!</v>
      </c>
      <c r="BN31" s="159" t="e">
        <f t="shared" ref="BN31:BN37" si="186">(K31+G31+(LOG(H31)*4/3))*0.068</f>
        <v>#NUM!</v>
      </c>
      <c r="BO31" s="159" t="e">
        <f t="shared" ref="BO31:BO37" si="187">((L31+G31+(LOG(H31)*4/3))*0.305)</f>
        <v>#NUM!</v>
      </c>
      <c r="BP31" s="159" t="e">
        <f t="shared" ref="BP31:BP37" si="188">((M31+G31+(LOG(H31)*4/3))*1)+((N31+G31+(LOG(H31)*4/3))*0.286)</f>
        <v>#NUM!</v>
      </c>
      <c r="BQ31" s="159" t="e">
        <f t="shared" ref="BQ31:BQ37" si="189">((N31+G31+(LOG(H31)*4/3))*0.135)</f>
        <v>#NUM!</v>
      </c>
      <c r="BR31" s="159" t="e">
        <f t="shared" ref="BR31:BR37" si="190">((K31+G31+(LOG(H31)*4/3))*0.284)</f>
        <v>#NUM!</v>
      </c>
      <c r="BS31" s="159" t="e">
        <f t="shared" ref="BS31:BS37" si="191">(K31+G31+(LOG(H31)*4/3))*0.244</f>
        <v>#NUM!</v>
      </c>
      <c r="BT31" s="159" t="e">
        <f t="shared" ref="BT31:BT37" si="192">((L31+G31+(LOG(H31)*4/3))*0.455)</f>
        <v>#NUM!</v>
      </c>
      <c r="BU31" s="159" t="e">
        <f t="shared" ref="BU31:BU37" si="193">((M31+G31+(LOG(H31)*4/3))*0.864)+((N31+G31+(LOG(H31)*4/3))*0.244)</f>
        <v>#NUM!</v>
      </c>
      <c r="BV31" s="159" t="e">
        <f t="shared" ref="BV31:BV37" si="194">((N31+G31+(LOG(H31)*4/3))*0.121)</f>
        <v>#NUM!</v>
      </c>
      <c r="BW31" s="159"/>
      <c r="BX31" s="159"/>
      <c r="BY31" s="159"/>
      <c r="BZ31" s="159"/>
      <c r="CA31" s="159"/>
      <c r="CB31" s="159" t="e">
        <f t="shared" ref="CB31:CB37" si="195">((L31+G31+(LOG(H31)*4/3))*0.406)</f>
        <v>#NUM!</v>
      </c>
      <c r="CC31" s="159" t="e">
        <f t="shared" ref="CC31:CC37" si="196">IF(E31="TEC",((M31+G31+(LOG(H31)*4/3))*0.15)+((N31+G31+(LOG(H31)*4/3))*0.324)+((O31+G31+(LOG(H31)*4/3))*0.127),(((M31+G31+(LOG(H31)*4/3))*0.144)+((N31+G31+(LOG(H31)*4/3))*0.25)+((O31+G31+(LOG(H31)*4/3))*0.127)))</f>
        <v>#NUM!</v>
      </c>
      <c r="CD31" s="159" t="e">
        <f t="shared" ref="CD31:CD37" si="197">((N31+G31+(LOG(H31)*4/3))*0.543)+((O31+G31+(LOG(H31)*4/3))*0.583)</f>
        <v>#NUM!</v>
      </c>
      <c r="CE31" s="159" t="e">
        <f t="shared" ref="CE31:CE37" si="198">CC31</f>
        <v>#NUM!</v>
      </c>
      <c r="CF31" s="159" t="e">
        <f t="shared" ref="CF31:CF37" si="199">((O31+1+(LOG(H31)*4/3))*0.26)+((M31+G31+(LOG(H31)*4/3))*0.221)+((N31+G31+(LOG(H31)*4/3))*0.142)</f>
        <v>#NUM!</v>
      </c>
      <c r="CG31" s="159" t="e">
        <f t="shared" ref="CG31:CG37" si="200">((O31+G31+(LOG(H31)*4/3))*1)+((N31+G31+(LOG(H31)*4/3))*0.369)</f>
        <v>#NUM!</v>
      </c>
      <c r="CH31" s="159" t="e">
        <f t="shared" ref="CH31:CH37" si="201">CF31</f>
        <v>#NUM!</v>
      </c>
      <c r="CI31" s="159" t="e">
        <f t="shared" ref="CI31:CI37" si="202">((L31+G31+(LOG(H31)*4/3))*0.25)</f>
        <v>#NUM!</v>
      </c>
    </row>
    <row r="32" spans="1:87" x14ac:dyDescent="0.25">
      <c r="F32" s="317">
        <v>42857</v>
      </c>
      <c r="G32" s="532"/>
      <c r="H32" s="533"/>
      <c r="I32" s="371"/>
      <c r="J32" s="163"/>
      <c r="K32" s="163"/>
      <c r="L32" s="163"/>
      <c r="M32" s="163"/>
      <c r="N32" s="163"/>
      <c r="O32" s="163"/>
      <c r="P32" s="163"/>
      <c r="Q32" s="163">
        <f t="shared" si="137"/>
        <v>0.375</v>
      </c>
      <c r="R32" s="163" t="e">
        <f t="shared" si="138"/>
        <v>#NUM!</v>
      </c>
      <c r="S32" s="163">
        <f t="shared" si="139"/>
        <v>0</v>
      </c>
      <c r="T32" s="163">
        <f t="shared" si="140"/>
        <v>0</v>
      </c>
      <c r="U32" s="163" t="e">
        <f t="shared" ca="1" si="141"/>
        <v>#NUM!</v>
      </c>
      <c r="V32" s="159" t="e">
        <f t="shared" si="142"/>
        <v>#NUM!</v>
      </c>
      <c r="W32" s="159" t="e">
        <f t="shared" si="143"/>
        <v>#NUM!</v>
      </c>
      <c r="X32" s="159" t="e">
        <f t="shared" si="144"/>
        <v>#NUM!</v>
      </c>
      <c r="Y32" s="159" t="e">
        <f t="shared" si="145"/>
        <v>#NUM!</v>
      </c>
      <c r="Z32" s="159" t="e">
        <f t="shared" si="146"/>
        <v>#NUM!</v>
      </c>
      <c r="AA32" s="159" t="e">
        <f t="shared" si="147"/>
        <v>#NUM!</v>
      </c>
      <c r="AB32" s="159" t="e">
        <f t="shared" si="148"/>
        <v>#NUM!</v>
      </c>
      <c r="AC32" s="159" t="e">
        <f t="shared" si="149"/>
        <v>#NUM!</v>
      </c>
      <c r="AD32" s="159" t="e">
        <f t="shared" si="150"/>
        <v>#NUM!</v>
      </c>
      <c r="AE32" s="159" t="e">
        <f t="shared" si="151"/>
        <v>#NUM!</v>
      </c>
      <c r="AF32" s="159" t="e">
        <f t="shared" si="152"/>
        <v>#NUM!</v>
      </c>
      <c r="AG32" s="387" t="e">
        <f t="shared" si="153"/>
        <v>#NUM!</v>
      </c>
      <c r="AH32" s="159" t="e">
        <f t="shared" si="154"/>
        <v>#NUM!</v>
      </c>
      <c r="AI32" s="159" t="e">
        <f t="shared" si="155"/>
        <v>#NUM!</v>
      </c>
      <c r="AJ32" s="387" t="e">
        <f t="shared" si="156"/>
        <v>#NUM!</v>
      </c>
      <c r="AK32" s="159" t="e">
        <f t="shared" si="157"/>
        <v>#NUM!</v>
      </c>
      <c r="AL32" s="159" t="e">
        <f t="shared" si="158"/>
        <v>#NUM!</v>
      </c>
      <c r="AM32" s="159" t="e">
        <f t="shared" si="159"/>
        <v>#NUM!</v>
      </c>
      <c r="AN32" s="159" t="e">
        <f t="shared" si="160"/>
        <v>#NUM!</v>
      </c>
      <c r="AO32" s="159" t="e">
        <f t="shared" si="161"/>
        <v>#NUM!</v>
      </c>
      <c r="AP32" s="159" t="e">
        <f t="shared" si="162"/>
        <v>#NUM!</v>
      </c>
      <c r="AQ32" s="159" t="e">
        <f t="shared" si="163"/>
        <v>#NUM!</v>
      </c>
      <c r="AR32" s="159" t="e">
        <f t="shared" si="164"/>
        <v>#NUM!</v>
      </c>
      <c r="AS32" s="159" t="e">
        <f t="shared" si="165"/>
        <v>#NUM!</v>
      </c>
      <c r="AT32" s="159" t="e">
        <f t="shared" si="166"/>
        <v>#NUM!</v>
      </c>
      <c r="AU32" s="159" t="e">
        <f t="shared" si="167"/>
        <v>#NUM!</v>
      </c>
      <c r="AV32" s="159" t="e">
        <f t="shared" si="168"/>
        <v>#NUM!</v>
      </c>
      <c r="AW32" s="159" t="e">
        <f t="shared" si="169"/>
        <v>#NUM!</v>
      </c>
      <c r="AX32" s="159" t="e">
        <f t="shared" si="170"/>
        <v>#NUM!</v>
      </c>
      <c r="AY32" s="159" t="e">
        <f t="shared" si="171"/>
        <v>#NUM!</v>
      </c>
      <c r="AZ32" s="159" t="e">
        <f t="shared" si="172"/>
        <v>#NUM!</v>
      </c>
      <c r="BA32" s="159" t="e">
        <f t="shared" si="173"/>
        <v>#NUM!</v>
      </c>
      <c r="BB32" s="159" t="e">
        <f t="shared" si="174"/>
        <v>#NUM!</v>
      </c>
      <c r="BC32" s="159" t="e">
        <f t="shared" si="175"/>
        <v>#NUM!</v>
      </c>
      <c r="BD32" s="159" t="e">
        <f t="shared" si="176"/>
        <v>#NUM!</v>
      </c>
      <c r="BE32" s="159" t="e">
        <f t="shared" si="177"/>
        <v>#NUM!</v>
      </c>
      <c r="BF32" s="159" t="e">
        <f t="shared" si="178"/>
        <v>#NUM!</v>
      </c>
      <c r="BG32" s="159" t="e">
        <f t="shared" si="179"/>
        <v>#NUM!</v>
      </c>
      <c r="BH32" s="159" t="e">
        <f t="shared" si="180"/>
        <v>#NUM!</v>
      </c>
      <c r="BI32" s="159" t="e">
        <f t="shared" si="181"/>
        <v>#NUM!</v>
      </c>
      <c r="BJ32" s="159" t="e">
        <f t="shared" si="182"/>
        <v>#NUM!</v>
      </c>
      <c r="BK32" s="159" t="e">
        <f t="shared" si="183"/>
        <v>#NUM!</v>
      </c>
      <c r="BL32" s="159" t="e">
        <f t="shared" si="184"/>
        <v>#NUM!</v>
      </c>
      <c r="BM32" s="159" t="e">
        <f t="shared" si="185"/>
        <v>#NUM!</v>
      </c>
      <c r="BN32" s="159" t="e">
        <f t="shared" si="186"/>
        <v>#NUM!</v>
      </c>
      <c r="BO32" s="159" t="e">
        <f t="shared" si="187"/>
        <v>#NUM!</v>
      </c>
      <c r="BP32" s="159" t="e">
        <f t="shared" si="188"/>
        <v>#NUM!</v>
      </c>
      <c r="BQ32" s="159" t="e">
        <f t="shared" si="189"/>
        <v>#NUM!</v>
      </c>
      <c r="BR32" s="159" t="e">
        <f t="shared" si="190"/>
        <v>#NUM!</v>
      </c>
      <c r="BS32" s="159" t="e">
        <f t="shared" si="191"/>
        <v>#NUM!</v>
      </c>
      <c r="BT32" s="159" t="e">
        <f t="shared" si="192"/>
        <v>#NUM!</v>
      </c>
      <c r="BU32" s="159" t="e">
        <f t="shared" si="193"/>
        <v>#NUM!</v>
      </c>
      <c r="BV32" s="159" t="e">
        <f t="shared" si="194"/>
        <v>#NUM!</v>
      </c>
      <c r="BW32" s="159"/>
      <c r="BX32" s="159"/>
      <c r="BY32" s="159"/>
      <c r="BZ32" s="159"/>
      <c r="CA32" s="159"/>
      <c r="CB32" s="159" t="e">
        <f t="shared" si="195"/>
        <v>#NUM!</v>
      </c>
      <c r="CC32" s="159" t="e">
        <f t="shared" si="196"/>
        <v>#NUM!</v>
      </c>
      <c r="CD32" s="159" t="e">
        <f t="shared" si="197"/>
        <v>#NUM!</v>
      </c>
      <c r="CE32" s="159" t="e">
        <f t="shared" si="198"/>
        <v>#NUM!</v>
      </c>
      <c r="CF32" s="159" t="e">
        <f t="shared" si="199"/>
        <v>#NUM!</v>
      </c>
      <c r="CG32" s="159" t="e">
        <f t="shared" si="200"/>
        <v>#NUM!</v>
      </c>
      <c r="CH32" s="159" t="e">
        <f t="shared" si="201"/>
        <v>#NUM!</v>
      </c>
      <c r="CI32" s="159" t="e">
        <f t="shared" si="202"/>
        <v>#NUM!</v>
      </c>
    </row>
    <row r="33" spans="6:87" x14ac:dyDescent="0.25">
      <c r="F33" s="317">
        <v>42857</v>
      </c>
      <c r="G33" s="532"/>
      <c r="H33" s="533"/>
      <c r="I33" s="371"/>
      <c r="J33" s="163"/>
      <c r="K33" s="163"/>
      <c r="L33" s="163"/>
      <c r="M33" s="163"/>
      <c r="N33" s="163"/>
      <c r="O33" s="163"/>
      <c r="P33" s="163"/>
      <c r="Q33" s="163">
        <f t="shared" si="137"/>
        <v>0.375</v>
      </c>
      <c r="R33" s="163" t="e">
        <f t="shared" si="138"/>
        <v>#NUM!</v>
      </c>
      <c r="S33" s="163">
        <f t="shared" si="139"/>
        <v>0</v>
      </c>
      <c r="T33" s="163">
        <f t="shared" si="140"/>
        <v>0</v>
      </c>
      <c r="U33" s="163" t="e">
        <f t="shared" ca="1" si="141"/>
        <v>#NUM!</v>
      </c>
      <c r="V33" s="159" t="e">
        <f t="shared" si="142"/>
        <v>#NUM!</v>
      </c>
      <c r="W33" s="159" t="e">
        <f t="shared" si="143"/>
        <v>#NUM!</v>
      </c>
      <c r="X33" s="159" t="e">
        <f t="shared" si="144"/>
        <v>#NUM!</v>
      </c>
      <c r="Y33" s="159" t="e">
        <f t="shared" si="145"/>
        <v>#NUM!</v>
      </c>
      <c r="Z33" s="159" t="e">
        <f t="shared" si="146"/>
        <v>#NUM!</v>
      </c>
      <c r="AA33" s="159" t="e">
        <f t="shared" si="147"/>
        <v>#NUM!</v>
      </c>
      <c r="AB33" s="159" t="e">
        <f t="shared" si="148"/>
        <v>#NUM!</v>
      </c>
      <c r="AC33" s="159" t="e">
        <f t="shared" si="149"/>
        <v>#NUM!</v>
      </c>
      <c r="AD33" s="159" t="e">
        <f t="shared" si="150"/>
        <v>#NUM!</v>
      </c>
      <c r="AE33" s="159" t="e">
        <f t="shared" si="151"/>
        <v>#NUM!</v>
      </c>
      <c r="AF33" s="159" t="e">
        <f t="shared" si="152"/>
        <v>#NUM!</v>
      </c>
      <c r="AG33" s="387" t="e">
        <f t="shared" si="153"/>
        <v>#NUM!</v>
      </c>
      <c r="AH33" s="159" t="e">
        <f t="shared" si="154"/>
        <v>#NUM!</v>
      </c>
      <c r="AI33" s="159" t="e">
        <f t="shared" si="155"/>
        <v>#NUM!</v>
      </c>
      <c r="AJ33" s="387" t="e">
        <f t="shared" si="156"/>
        <v>#NUM!</v>
      </c>
      <c r="AK33" s="159" t="e">
        <f t="shared" si="157"/>
        <v>#NUM!</v>
      </c>
      <c r="AL33" s="159" t="e">
        <f t="shared" si="158"/>
        <v>#NUM!</v>
      </c>
      <c r="AM33" s="159" t="e">
        <f t="shared" si="159"/>
        <v>#NUM!</v>
      </c>
      <c r="AN33" s="159" t="e">
        <f t="shared" si="160"/>
        <v>#NUM!</v>
      </c>
      <c r="AO33" s="159" t="e">
        <f t="shared" si="161"/>
        <v>#NUM!</v>
      </c>
      <c r="AP33" s="159" t="e">
        <f t="shared" si="162"/>
        <v>#NUM!</v>
      </c>
      <c r="AQ33" s="159" t="e">
        <f t="shared" si="163"/>
        <v>#NUM!</v>
      </c>
      <c r="AR33" s="159" t="e">
        <f t="shared" si="164"/>
        <v>#NUM!</v>
      </c>
      <c r="AS33" s="159" t="e">
        <f t="shared" si="165"/>
        <v>#NUM!</v>
      </c>
      <c r="AT33" s="159" t="e">
        <f t="shared" si="166"/>
        <v>#NUM!</v>
      </c>
      <c r="AU33" s="159" t="e">
        <f t="shared" si="167"/>
        <v>#NUM!</v>
      </c>
      <c r="AV33" s="159" t="e">
        <f t="shared" si="168"/>
        <v>#NUM!</v>
      </c>
      <c r="AW33" s="159" t="e">
        <f t="shared" si="169"/>
        <v>#NUM!</v>
      </c>
      <c r="AX33" s="159" t="e">
        <f t="shared" si="170"/>
        <v>#NUM!</v>
      </c>
      <c r="AY33" s="159" t="e">
        <f t="shared" si="171"/>
        <v>#NUM!</v>
      </c>
      <c r="AZ33" s="159" t="e">
        <f t="shared" si="172"/>
        <v>#NUM!</v>
      </c>
      <c r="BA33" s="159" t="e">
        <f t="shared" si="173"/>
        <v>#NUM!</v>
      </c>
      <c r="BB33" s="159" t="e">
        <f t="shared" si="174"/>
        <v>#NUM!</v>
      </c>
      <c r="BC33" s="159" t="e">
        <f t="shared" si="175"/>
        <v>#NUM!</v>
      </c>
      <c r="BD33" s="159" t="e">
        <f t="shared" si="176"/>
        <v>#NUM!</v>
      </c>
      <c r="BE33" s="159" t="e">
        <f t="shared" si="177"/>
        <v>#NUM!</v>
      </c>
      <c r="BF33" s="159" t="e">
        <f t="shared" si="178"/>
        <v>#NUM!</v>
      </c>
      <c r="BG33" s="159" t="e">
        <f t="shared" si="179"/>
        <v>#NUM!</v>
      </c>
      <c r="BH33" s="159" t="e">
        <f t="shared" si="180"/>
        <v>#NUM!</v>
      </c>
      <c r="BI33" s="159" t="e">
        <f t="shared" si="181"/>
        <v>#NUM!</v>
      </c>
      <c r="BJ33" s="159" t="e">
        <f t="shared" si="182"/>
        <v>#NUM!</v>
      </c>
      <c r="BK33" s="159" t="e">
        <f t="shared" si="183"/>
        <v>#NUM!</v>
      </c>
      <c r="BL33" s="159" t="e">
        <f t="shared" si="184"/>
        <v>#NUM!</v>
      </c>
      <c r="BM33" s="159" t="e">
        <f t="shared" si="185"/>
        <v>#NUM!</v>
      </c>
      <c r="BN33" s="159" t="e">
        <f t="shared" si="186"/>
        <v>#NUM!</v>
      </c>
      <c r="BO33" s="159" t="e">
        <f t="shared" si="187"/>
        <v>#NUM!</v>
      </c>
      <c r="BP33" s="159" t="e">
        <f t="shared" si="188"/>
        <v>#NUM!</v>
      </c>
      <c r="BQ33" s="159" t="e">
        <f t="shared" si="189"/>
        <v>#NUM!</v>
      </c>
      <c r="BR33" s="159" t="e">
        <f t="shared" si="190"/>
        <v>#NUM!</v>
      </c>
      <c r="BS33" s="159" t="e">
        <f t="shared" si="191"/>
        <v>#NUM!</v>
      </c>
      <c r="BT33" s="159" t="e">
        <f t="shared" si="192"/>
        <v>#NUM!</v>
      </c>
      <c r="BU33" s="159" t="e">
        <f t="shared" si="193"/>
        <v>#NUM!</v>
      </c>
      <c r="BV33" s="159" t="e">
        <f t="shared" si="194"/>
        <v>#NUM!</v>
      </c>
      <c r="BW33" s="159"/>
      <c r="BX33" s="159"/>
      <c r="BY33" s="159"/>
      <c r="BZ33" s="159"/>
      <c r="CA33" s="159"/>
      <c r="CB33" s="159" t="e">
        <f t="shared" si="195"/>
        <v>#NUM!</v>
      </c>
      <c r="CC33" s="159" t="e">
        <f t="shared" si="196"/>
        <v>#NUM!</v>
      </c>
      <c r="CD33" s="159" t="e">
        <f t="shared" si="197"/>
        <v>#NUM!</v>
      </c>
      <c r="CE33" s="159" t="e">
        <f t="shared" si="198"/>
        <v>#NUM!</v>
      </c>
      <c r="CF33" s="159" t="e">
        <f t="shared" si="199"/>
        <v>#NUM!</v>
      </c>
      <c r="CG33" s="159" t="e">
        <f t="shared" si="200"/>
        <v>#NUM!</v>
      </c>
      <c r="CH33" s="159" t="e">
        <f t="shared" si="201"/>
        <v>#NUM!</v>
      </c>
      <c r="CI33" s="159" t="e">
        <f t="shared" si="202"/>
        <v>#NUM!</v>
      </c>
    </row>
    <row r="34" spans="6:87" x14ac:dyDescent="0.25">
      <c r="F34" s="317">
        <v>42857</v>
      </c>
      <c r="G34" s="532"/>
      <c r="H34" s="533"/>
      <c r="I34" s="371"/>
      <c r="J34" s="163"/>
      <c r="K34" s="163"/>
      <c r="L34" s="163"/>
      <c r="M34" s="163"/>
      <c r="N34" s="163"/>
      <c r="O34" s="163"/>
      <c r="P34" s="163"/>
      <c r="Q34" s="163">
        <f t="shared" si="137"/>
        <v>0.375</v>
      </c>
      <c r="R34" s="163" t="e">
        <f t="shared" si="138"/>
        <v>#NUM!</v>
      </c>
      <c r="S34" s="163">
        <f t="shared" si="139"/>
        <v>0</v>
      </c>
      <c r="T34" s="163">
        <f t="shared" si="140"/>
        <v>0</v>
      </c>
      <c r="U34" s="163" t="e">
        <f t="shared" ca="1" si="141"/>
        <v>#NUM!</v>
      </c>
      <c r="V34" s="159" t="e">
        <f t="shared" si="142"/>
        <v>#NUM!</v>
      </c>
      <c r="W34" s="159" t="e">
        <f t="shared" si="143"/>
        <v>#NUM!</v>
      </c>
      <c r="X34" s="159" t="e">
        <f t="shared" si="144"/>
        <v>#NUM!</v>
      </c>
      <c r="Y34" s="159" t="e">
        <f t="shared" si="145"/>
        <v>#NUM!</v>
      </c>
      <c r="Z34" s="159" t="e">
        <f t="shared" si="146"/>
        <v>#NUM!</v>
      </c>
      <c r="AA34" s="159" t="e">
        <f t="shared" si="147"/>
        <v>#NUM!</v>
      </c>
      <c r="AB34" s="159" t="e">
        <f t="shared" si="148"/>
        <v>#NUM!</v>
      </c>
      <c r="AC34" s="159" t="e">
        <f t="shared" si="149"/>
        <v>#NUM!</v>
      </c>
      <c r="AD34" s="159" t="e">
        <f t="shared" si="150"/>
        <v>#NUM!</v>
      </c>
      <c r="AE34" s="159" t="e">
        <f t="shared" si="151"/>
        <v>#NUM!</v>
      </c>
      <c r="AF34" s="159" t="e">
        <f t="shared" si="152"/>
        <v>#NUM!</v>
      </c>
      <c r="AG34" s="387" t="e">
        <f t="shared" si="153"/>
        <v>#NUM!</v>
      </c>
      <c r="AH34" s="159" t="e">
        <f t="shared" si="154"/>
        <v>#NUM!</v>
      </c>
      <c r="AI34" s="159" t="e">
        <f t="shared" si="155"/>
        <v>#NUM!</v>
      </c>
      <c r="AJ34" s="387" t="e">
        <f t="shared" si="156"/>
        <v>#NUM!</v>
      </c>
      <c r="AK34" s="159" t="e">
        <f t="shared" si="157"/>
        <v>#NUM!</v>
      </c>
      <c r="AL34" s="159" t="e">
        <f t="shared" si="158"/>
        <v>#NUM!</v>
      </c>
      <c r="AM34" s="159" t="e">
        <f t="shared" si="159"/>
        <v>#NUM!</v>
      </c>
      <c r="AN34" s="159" t="e">
        <f t="shared" si="160"/>
        <v>#NUM!</v>
      </c>
      <c r="AO34" s="159" t="e">
        <f t="shared" si="161"/>
        <v>#NUM!</v>
      </c>
      <c r="AP34" s="159" t="e">
        <f t="shared" si="162"/>
        <v>#NUM!</v>
      </c>
      <c r="AQ34" s="159" t="e">
        <f t="shared" si="163"/>
        <v>#NUM!</v>
      </c>
      <c r="AR34" s="159" t="e">
        <f t="shared" si="164"/>
        <v>#NUM!</v>
      </c>
      <c r="AS34" s="159" t="e">
        <f t="shared" si="165"/>
        <v>#NUM!</v>
      </c>
      <c r="AT34" s="159" t="e">
        <f t="shared" si="166"/>
        <v>#NUM!</v>
      </c>
      <c r="AU34" s="159" t="e">
        <f t="shared" si="167"/>
        <v>#NUM!</v>
      </c>
      <c r="AV34" s="159" t="e">
        <f t="shared" si="168"/>
        <v>#NUM!</v>
      </c>
      <c r="AW34" s="159" t="e">
        <f t="shared" si="169"/>
        <v>#NUM!</v>
      </c>
      <c r="AX34" s="159" t="e">
        <f t="shared" si="170"/>
        <v>#NUM!</v>
      </c>
      <c r="AY34" s="159" t="e">
        <f t="shared" si="171"/>
        <v>#NUM!</v>
      </c>
      <c r="AZ34" s="159" t="e">
        <f t="shared" si="172"/>
        <v>#NUM!</v>
      </c>
      <c r="BA34" s="159" t="e">
        <f t="shared" si="173"/>
        <v>#NUM!</v>
      </c>
      <c r="BB34" s="159" t="e">
        <f t="shared" si="174"/>
        <v>#NUM!</v>
      </c>
      <c r="BC34" s="159" t="e">
        <f t="shared" si="175"/>
        <v>#NUM!</v>
      </c>
      <c r="BD34" s="159" t="e">
        <f t="shared" si="176"/>
        <v>#NUM!</v>
      </c>
      <c r="BE34" s="159" t="e">
        <f t="shared" si="177"/>
        <v>#NUM!</v>
      </c>
      <c r="BF34" s="159" t="e">
        <f t="shared" si="178"/>
        <v>#NUM!</v>
      </c>
      <c r="BG34" s="159" t="e">
        <f t="shared" si="179"/>
        <v>#NUM!</v>
      </c>
      <c r="BH34" s="159" t="e">
        <f t="shared" si="180"/>
        <v>#NUM!</v>
      </c>
      <c r="BI34" s="159" t="e">
        <f t="shared" si="181"/>
        <v>#NUM!</v>
      </c>
      <c r="BJ34" s="159" t="e">
        <f t="shared" si="182"/>
        <v>#NUM!</v>
      </c>
      <c r="BK34" s="159" t="e">
        <f t="shared" si="183"/>
        <v>#NUM!</v>
      </c>
      <c r="BL34" s="159" t="e">
        <f t="shared" si="184"/>
        <v>#NUM!</v>
      </c>
      <c r="BM34" s="159" t="e">
        <f t="shared" si="185"/>
        <v>#NUM!</v>
      </c>
      <c r="BN34" s="159" t="e">
        <f t="shared" si="186"/>
        <v>#NUM!</v>
      </c>
      <c r="BO34" s="159" t="e">
        <f t="shared" si="187"/>
        <v>#NUM!</v>
      </c>
      <c r="BP34" s="159" t="e">
        <f t="shared" si="188"/>
        <v>#NUM!</v>
      </c>
      <c r="BQ34" s="159" t="e">
        <f t="shared" si="189"/>
        <v>#NUM!</v>
      </c>
      <c r="BR34" s="159" t="e">
        <f t="shared" si="190"/>
        <v>#NUM!</v>
      </c>
      <c r="BS34" s="159" t="e">
        <f t="shared" si="191"/>
        <v>#NUM!</v>
      </c>
      <c r="BT34" s="159" t="e">
        <f t="shared" si="192"/>
        <v>#NUM!</v>
      </c>
      <c r="BU34" s="159" t="e">
        <f t="shared" si="193"/>
        <v>#NUM!</v>
      </c>
      <c r="BV34" s="159" t="e">
        <f t="shared" si="194"/>
        <v>#NUM!</v>
      </c>
      <c r="BW34" s="159"/>
      <c r="BX34" s="159"/>
      <c r="BY34" s="159"/>
      <c r="BZ34" s="159"/>
      <c r="CA34" s="159"/>
      <c r="CB34" s="159" t="e">
        <f t="shared" si="195"/>
        <v>#NUM!</v>
      </c>
      <c r="CC34" s="159" t="e">
        <f t="shared" si="196"/>
        <v>#NUM!</v>
      </c>
      <c r="CD34" s="159" t="e">
        <f t="shared" si="197"/>
        <v>#NUM!</v>
      </c>
      <c r="CE34" s="159" t="e">
        <f t="shared" si="198"/>
        <v>#NUM!</v>
      </c>
      <c r="CF34" s="159" t="e">
        <f t="shared" si="199"/>
        <v>#NUM!</v>
      </c>
      <c r="CG34" s="159" t="e">
        <f t="shared" si="200"/>
        <v>#NUM!</v>
      </c>
      <c r="CH34" s="159" t="e">
        <f t="shared" si="201"/>
        <v>#NUM!</v>
      </c>
      <c r="CI34" s="159" t="e">
        <f t="shared" si="202"/>
        <v>#NUM!</v>
      </c>
    </row>
    <row r="35" spans="6:87" x14ac:dyDescent="0.25">
      <c r="F35" s="317">
        <v>42857</v>
      </c>
      <c r="G35" s="532"/>
      <c r="H35" s="533"/>
      <c r="I35" s="371"/>
      <c r="J35" s="163"/>
      <c r="K35" s="163"/>
      <c r="L35" s="163"/>
      <c r="M35" s="163"/>
      <c r="N35" s="163"/>
      <c r="O35" s="163"/>
      <c r="P35" s="163"/>
      <c r="Q35" s="163">
        <f t="shared" si="137"/>
        <v>0.375</v>
      </c>
      <c r="R35" s="163" t="e">
        <f t="shared" si="138"/>
        <v>#NUM!</v>
      </c>
      <c r="S35" s="163">
        <f t="shared" si="139"/>
        <v>0</v>
      </c>
      <c r="T35" s="163">
        <f t="shared" si="140"/>
        <v>0</v>
      </c>
      <c r="U35" s="163" t="e">
        <f t="shared" ca="1" si="141"/>
        <v>#NUM!</v>
      </c>
      <c r="V35" s="159" t="e">
        <f t="shared" si="142"/>
        <v>#NUM!</v>
      </c>
      <c r="W35" s="159" t="e">
        <f t="shared" si="143"/>
        <v>#NUM!</v>
      </c>
      <c r="X35" s="159" t="e">
        <f t="shared" si="144"/>
        <v>#NUM!</v>
      </c>
      <c r="Y35" s="159" t="e">
        <f t="shared" si="145"/>
        <v>#NUM!</v>
      </c>
      <c r="Z35" s="159" t="e">
        <f t="shared" si="146"/>
        <v>#NUM!</v>
      </c>
      <c r="AA35" s="159" t="e">
        <f t="shared" si="147"/>
        <v>#NUM!</v>
      </c>
      <c r="AB35" s="159" t="e">
        <f t="shared" si="148"/>
        <v>#NUM!</v>
      </c>
      <c r="AC35" s="159" t="e">
        <f t="shared" si="149"/>
        <v>#NUM!</v>
      </c>
      <c r="AD35" s="159" t="e">
        <f t="shared" si="150"/>
        <v>#NUM!</v>
      </c>
      <c r="AE35" s="159" t="e">
        <f t="shared" si="151"/>
        <v>#NUM!</v>
      </c>
      <c r="AF35" s="159" t="e">
        <f t="shared" si="152"/>
        <v>#NUM!</v>
      </c>
      <c r="AG35" s="387" t="e">
        <f t="shared" si="153"/>
        <v>#NUM!</v>
      </c>
      <c r="AH35" s="159" t="e">
        <f t="shared" si="154"/>
        <v>#NUM!</v>
      </c>
      <c r="AI35" s="159" t="e">
        <f t="shared" si="155"/>
        <v>#NUM!</v>
      </c>
      <c r="AJ35" s="387" t="e">
        <f t="shared" si="156"/>
        <v>#NUM!</v>
      </c>
      <c r="AK35" s="159" t="e">
        <f t="shared" si="157"/>
        <v>#NUM!</v>
      </c>
      <c r="AL35" s="159" t="e">
        <f t="shared" si="158"/>
        <v>#NUM!</v>
      </c>
      <c r="AM35" s="159" t="e">
        <f t="shared" si="159"/>
        <v>#NUM!</v>
      </c>
      <c r="AN35" s="159" t="e">
        <f t="shared" si="160"/>
        <v>#NUM!</v>
      </c>
      <c r="AO35" s="159" t="e">
        <f t="shared" si="161"/>
        <v>#NUM!</v>
      </c>
      <c r="AP35" s="159" t="e">
        <f t="shared" si="162"/>
        <v>#NUM!</v>
      </c>
      <c r="AQ35" s="159" t="e">
        <f t="shared" si="163"/>
        <v>#NUM!</v>
      </c>
      <c r="AR35" s="159" t="e">
        <f t="shared" si="164"/>
        <v>#NUM!</v>
      </c>
      <c r="AS35" s="159" t="e">
        <f t="shared" si="165"/>
        <v>#NUM!</v>
      </c>
      <c r="AT35" s="159" t="e">
        <f t="shared" si="166"/>
        <v>#NUM!</v>
      </c>
      <c r="AU35" s="159" t="e">
        <f t="shared" si="167"/>
        <v>#NUM!</v>
      </c>
      <c r="AV35" s="159" t="e">
        <f t="shared" si="168"/>
        <v>#NUM!</v>
      </c>
      <c r="AW35" s="159" t="e">
        <f t="shared" si="169"/>
        <v>#NUM!</v>
      </c>
      <c r="AX35" s="159" t="e">
        <f t="shared" si="170"/>
        <v>#NUM!</v>
      </c>
      <c r="AY35" s="159" t="e">
        <f t="shared" si="171"/>
        <v>#NUM!</v>
      </c>
      <c r="AZ35" s="159" t="e">
        <f t="shared" si="172"/>
        <v>#NUM!</v>
      </c>
      <c r="BA35" s="159" t="e">
        <f t="shared" si="173"/>
        <v>#NUM!</v>
      </c>
      <c r="BB35" s="159" t="e">
        <f t="shared" si="174"/>
        <v>#NUM!</v>
      </c>
      <c r="BC35" s="159" t="e">
        <f t="shared" si="175"/>
        <v>#NUM!</v>
      </c>
      <c r="BD35" s="159" t="e">
        <f t="shared" si="176"/>
        <v>#NUM!</v>
      </c>
      <c r="BE35" s="159" t="e">
        <f t="shared" si="177"/>
        <v>#NUM!</v>
      </c>
      <c r="BF35" s="159" t="e">
        <f t="shared" si="178"/>
        <v>#NUM!</v>
      </c>
      <c r="BG35" s="159" t="e">
        <f t="shared" si="179"/>
        <v>#NUM!</v>
      </c>
      <c r="BH35" s="159" t="e">
        <f t="shared" si="180"/>
        <v>#NUM!</v>
      </c>
      <c r="BI35" s="159" t="e">
        <f t="shared" si="181"/>
        <v>#NUM!</v>
      </c>
      <c r="BJ35" s="159" t="e">
        <f t="shared" si="182"/>
        <v>#NUM!</v>
      </c>
      <c r="BK35" s="159" t="e">
        <f t="shared" si="183"/>
        <v>#NUM!</v>
      </c>
      <c r="BL35" s="159" t="e">
        <f t="shared" si="184"/>
        <v>#NUM!</v>
      </c>
      <c r="BM35" s="159" t="e">
        <f t="shared" si="185"/>
        <v>#NUM!</v>
      </c>
      <c r="BN35" s="159" t="e">
        <f t="shared" si="186"/>
        <v>#NUM!</v>
      </c>
      <c r="BO35" s="159" t="e">
        <f t="shared" si="187"/>
        <v>#NUM!</v>
      </c>
      <c r="BP35" s="159" t="e">
        <f t="shared" si="188"/>
        <v>#NUM!</v>
      </c>
      <c r="BQ35" s="159" t="e">
        <f t="shared" si="189"/>
        <v>#NUM!</v>
      </c>
      <c r="BR35" s="159" t="e">
        <f t="shared" si="190"/>
        <v>#NUM!</v>
      </c>
      <c r="BS35" s="159" t="e">
        <f t="shared" si="191"/>
        <v>#NUM!</v>
      </c>
      <c r="BT35" s="159" t="e">
        <f t="shared" si="192"/>
        <v>#NUM!</v>
      </c>
      <c r="BU35" s="159" t="e">
        <f t="shared" si="193"/>
        <v>#NUM!</v>
      </c>
      <c r="BV35" s="159" t="e">
        <f t="shared" si="194"/>
        <v>#NUM!</v>
      </c>
      <c r="BW35" s="159"/>
      <c r="BX35" s="159"/>
      <c r="BY35" s="159"/>
      <c r="BZ35" s="159"/>
      <c r="CA35" s="159"/>
      <c r="CB35" s="159" t="e">
        <f t="shared" si="195"/>
        <v>#NUM!</v>
      </c>
      <c r="CC35" s="159" t="e">
        <f t="shared" si="196"/>
        <v>#NUM!</v>
      </c>
      <c r="CD35" s="159" t="e">
        <f t="shared" si="197"/>
        <v>#NUM!</v>
      </c>
      <c r="CE35" s="159" t="e">
        <f t="shared" si="198"/>
        <v>#NUM!</v>
      </c>
      <c r="CF35" s="159" t="e">
        <f t="shared" si="199"/>
        <v>#NUM!</v>
      </c>
      <c r="CG35" s="159" t="e">
        <f t="shared" si="200"/>
        <v>#NUM!</v>
      </c>
      <c r="CH35" s="159" t="e">
        <f t="shared" si="201"/>
        <v>#NUM!</v>
      </c>
      <c r="CI35" s="159" t="e">
        <f t="shared" si="202"/>
        <v>#NUM!</v>
      </c>
    </row>
    <row r="36" spans="6:87" x14ac:dyDescent="0.25">
      <c r="F36" s="317">
        <v>42857</v>
      </c>
      <c r="G36" s="532"/>
      <c r="H36" s="533"/>
      <c r="I36" s="371"/>
      <c r="J36" s="163"/>
      <c r="K36" s="163"/>
      <c r="L36" s="163"/>
      <c r="M36" s="163"/>
      <c r="N36" s="163"/>
      <c r="O36" s="163"/>
      <c r="P36" s="163"/>
      <c r="Q36" s="163">
        <f t="shared" si="137"/>
        <v>0.375</v>
      </c>
      <c r="R36" s="163" t="e">
        <f t="shared" si="138"/>
        <v>#NUM!</v>
      </c>
      <c r="S36" s="163">
        <f t="shared" si="139"/>
        <v>0</v>
      </c>
      <c r="T36" s="163">
        <f t="shared" si="140"/>
        <v>0</v>
      </c>
      <c r="U36" s="163" t="e">
        <f t="shared" ca="1" si="141"/>
        <v>#NUM!</v>
      </c>
      <c r="V36" s="159" t="e">
        <f t="shared" si="142"/>
        <v>#NUM!</v>
      </c>
      <c r="W36" s="159" t="e">
        <f t="shared" si="143"/>
        <v>#NUM!</v>
      </c>
      <c r="X36" s="159" t="e">
        <f t="shared" si="144"/>
        <v>#NUM!</v>
      </c>
      <c r="Y36" s="159" t="e">
        <f t="shared" si="145"/>
        <v>#NUM!</v>
      </c>
      <c r="Z36" s="159" t="e">
        <f t="shared" si="146"/>
        <v>#NUM!</v>
      </c>
      <c r="AA36" s="159" t="e">
        <f t="shared" si="147"/>
        <v>#NUM!</v>
      </c>
      <c r="AB36" s="159" t="e">
        <f t="shared" si="148"/>
        <v>#NUM!</v>
      </c>
      <c r="AC36" s="159" t="e">
        <f t="shared" si="149"/>
        <v>#NUM!</v>
      </c>
      <c r="AD36" s="159" t="e">
        <f t="shared" si="150"/>
        <v>#NUM!</v>
      </c>
      <c r="AE36" s="159" t="e">
        <f t="shared" si="151"/>
        <v>#NUM!</v>
      </c>
      <c r="AF36" s="159" t="e">
        <f t="shared" si="152"/>
        <v>#NUM!</v>
      </c>
      <c r="AG36" s="387" t="e">
        <f t="shared" si="153"/>
        <v>#NUM!</v>
      </c>
      <c r="AH36" s="159" t="e">
        <f t="shared" si="154"/>
        <v>#NUM!</v>
      </c>
      <c r="AI36" s="159" t="e">
        <f t="shared" si="155"/>
        <v>#NUM!</v>
      </c>
      <c r="AJ36" s="387" t="e">
        <f t="shared" si="156"/>
        <v>#NUM!</v>
      </c>
      <c r="AK36" s="159" t="e">
        <f t="shared" si="157"/>
        <v>#NUM!</v>
      </c>
      <c r="AL36" s="159" t="e">
        <f t="shared" si="158"/>
        <v>#NUM!</v>
      </c>
      <c r="AM36" s="159" t="e">
        <f t="shared" si="159"/>
        <v>#NUM!</v>
      </c>
      <c r="AN36" s="159" t="e">
        <f t="shared" si="160"/>
        <v>#NUM!</v>
      </c>
      <c r="AO36" s="159" t="e">
        <f t="shared" si="161"/>
        <v>#NUM!</v>
      </c>
      <c r="AP36" s="159" t="e">
        <f t="shared" si="162"/>
        <v>#NUM!</v>
      </c>
      <c r="AQ36" s="159" t="e">
        <f t="shared" si="163"/>
        <v>#NUM!</v>
      </c>
      <c r="AR36" s="159" t="e">
        <f t="shared" si="164"/>
        <v>#NUM!</v>
      </c>
      <c r="AS36" s="159" t="e">
        <f t="shared" si="165"/>
        <v>#NUM!</v>
      </c>
      <c r="AT36" s="159" t="e">
        <f t="shared" si="166"/>
        <v>#NUM!</v>
      </c>
      <c r="AU36" s="159" t="e">
        <f t="shared" si="167"/>
        <v>#NUM!</v>
      </c>
      <c r="AV36" s="159" t="e">
        <f t="shared" si="168"/>
        <v>#NUM!</v>
      </c>
      <c r="AW36" s="159" t="e">
        <f t="shared" si="169"/>
        <v>#NUM!</v>
      </c>
      <c r="AX36" s="159" t="e">
        <f t="shared" si="170"/>
        <v>#NUM!</v>
      </c>
      <c r="AY36" s="159" t="e">
        <f t="shared" si="171"/>
        <v>#NUM!</v>
      </c>
      <c r="AZ36" s="159" t="e">
        <f t="shared" si="172"/>
        <v>#NUM!</v>
      </c>
      <c r="BA36" s="159" t="e">
        <f t="shared" si="173"/>
        <v>#NUM!</v>
      </c>
      <c r="BB36" s="159" t="e">
        <f t="shared" si="174"/>
        <v>#NUM!</v>
      </c>
      <c r="BC36" s="159" t="e">
        <f t="shared" si="175"/>
        <v>#NUM!</v>
      </c>
      <c r="BD36" s="159" t="e">
        <f t="shared" si="176"/>
        <v>#NUM!</v>
      </c>
      <c r="BE36" s="159" t="e">
        <f t="shared" si="177"/>
        <v>#NUM!</v>
      </c>
      <c r="BF36" s="159" t="e">
        <f t="shared" si="178"/>
        <v>#NUM!</v>
      </c>
      <c r="BG36" s="159" t="e">
        <f t="shared" si="179"/>
        <v>#NUM!</v>
      </c>
      <c r="BH36" s="159" t="e">
        <f t="shared" si="180"/>
        <v>#NUM!</v>
      </c>
      <c r="BI36" s="159" t="e">
        <f t="shared" si="181"/>
        <v>#NUM!</v>
      </c>
      <c r="BJ36" s="159" t="e">
        <f t="shared" si="182"/>
        <v>#NUM!</v>
      </c>
      <c r="BK36" s="159" t="e">
        <f t="shared" si="183"/>
        <v>#NUM!</v>
      </c>
      <c r="BL36" s="159" t="e">
        <f t="shared" si="184"/>
        <v>#NUM!</v>
      </c>
      <c r="BM36" s="159" t="e">
        <f t="shared" si="185"/>
        <v>#NUM!</v>
      </c>
      <c r="BN36" s="159" t="e">
        <f t="shared" si="186"/>
        <v>#NUM!</v>
      </c>
      <c r="BO36" s="159" t="e">
        <f t="shared" si="187"/>
        <v>#NUM!</v>
      </c>
      <c r="BP36" s="159" t="e">
        <f t="shared" si="188"/>
        <v>#NUM!</v>
      </c>
      <c r="BQ36" s="159" t="e">
        <f t="shared" si="189"/>
        <v>#NUM!</v>
      </c>
      <c r="BR36" s="159" t="e">
        <f t="shared" si="190"/>
        <v>#NUM!</v>
      </c>
      <c r="BS36" s="159" t="e">
        <f t="shared" si="191"/>
        <v>#NUM!</v>
      </c>
      <c r="BT36" s="159" t="e">
        <f t="shared" si="192"/>
        <v>#NUM!</v>
      </c>
      <c r="BU36" s="159" t="e">
        <f t="shared" si="193"/>
        <v>#NUM!</v>
      </c>
      <c r="BV36" s="159" t="e">
        <f t="shared" si="194"/>
        <v>#NUM!</v>
      </c>
      <c r="BW36" s="159"/>
      <c r="BX36" s="159"/>
      <c r="BY36" s="159"/>
      <c r="BZ36" s="159"/>
      <c r="CA36" s="159"/>
      <c r="CB36" s="159" t="e">
        <f t="shared" si="195"/>
        <v>#NUM!</v>
      </c>
      <c r="CC36" s="159" t="e">
        <f t="shared" si="196"/>
        <v>#NUM!</v>
      </c>
      <c r="CD36" s="159" t="e">
        <f t="shared" si="197"/>
        <v>#NUM!</v>
      </c>
      <c r="CE36" s="159" t="e">
        <f t="shared" si="198"/>
        <v>#NUM!</v>
      </c>
      <c r="CF36" s="159" t="e">
        <f t="shared" si="199"/>
        <v>#NUM!</v>
      </c>
      <c r="CG36" s="159" t="e">
        <f t="shared" si="200"/>
        <v>#NUM!</v>
      </c>
      <c r="CH36" s="159" t="e">
        <f t="shared" si="201"/>
        <v>#NUM!</v>
      </c>
      <c r="CI36" s="159" t="e">
        <f t="shared" si="202"/>
        <v>#NUM!</v>
      </c>
    </row>
    <row r="37" spans="6:87" x14ac:dyDescent="0.25">
      <c r="F37" s="317">
        <v>42857</v>
      </c>
      <c r="G37" s="532"/>
      <c r="H37" s="533"/>
      <c r="I37" s="371"/>
      <c r="J37" s="163"/>
      <c r="K37" s="163"/>
      <c r="L37" s="163"/>
      <c r="M37" s="163"/>
      <c r="N37" s="163"/>
      <c r="O37" s="163"/>
      <c r="P37" s="163"/>
      <c r="Q37" s="163">
        <f t="shared" si="137"/>
        <v>0.375</v>
      </c>
      <c r="R37" s="163" t="e">
        <f t="shared" si="138"/>
        <v>#NUM!</v>
      </c>
      <c r="S37" s="163">
        <f t="shared" si="139"/>
        <v>0</v>
      </c>
      <c r="T37" s="163">
        <f t="shared" si="140"/>
        <v>0</v>
      </c>
      <c r="U37" s="163" t="e">
        <f t="shared" ca="1" si="141"/>
        <v>#NUM!</v>
      </c>
      <c r="V37" s="159" t="e">
        <f t="shared" si="142"/>
        <v>#NUM!</v>
      </c>
      <c r="W37" s="159" t="e">
        <f t="shared" si="143"/>
        <v>#NUM!</v>
      </c>
      <c r="X37" s="159" t="e">
        <f t="shared" si="144"/>
        <v>#NUM!</v>
      </c>
      <c r="Y37" s="159" t="e">
        <f t="shared" si="145"/>
        <v>#NUM!</v>
      </c>
      <c r="Z37" s="159" t="e">
        <f t="shared" si="146"/>
        <v>#NUM!</v>
      </c>
      <c r="AA37" s="159" t="e">
        <f t="shared" si="147"/>
        <v>#NUM!</v>
      </c>
      <c r="AB37" s="159" t="e">
        <f t="shared" si="148"/>
        <v>#NUM!</v>
      </c>
      <c r="AC37" s="159" t="e">
        <f t="shared" si="149"/>
        <v>#NUM!</v>
      </c>
      <c r="AD37" s="159" t="e">
        <f t="shared" si="150"/>
        <v>#NUM!</v>
      </c>
      <c r="AE37" s="159" t="e">
        <f t="shared" si="151"/>
        <v>#NUM!</v>
      </c>
      <c r="AF37" s="159" t="e">
        <f t="shared" si="152"/>
        <v>#NUM!</v>
      </c>
      <c r="AG37" s="387" t="e">
        <f t="shared" si="153"/>
        <v>#NUM!</v>
      </c>
      <c r="AH37" s="159" t="e">
        <f t="shared" si="154"/>
        <v>#NUM!</v>
      </c>
      <c r="AI37" s="159" t="e">
        <f t="shared" si="155"/>
        <v>#NUM!</v>
      </c>
      <c r="AJ37" s="387" t="e">
        <f t="shared" si="156"/>
        <v>#NUM!</v>
      </c>
      <c r="AK37" s="159" t="e">
        <f t="shared" si="157"/>
        <v>#NUM!</v>
      </c>
      <c r="AL37" s="159" t="e">
        <f t="shared" si="158"/>
        <v>#NUM!</v>
      </c>
      <c r="AM37" s="159" t="e">
        <f t="shared" si="159"/>
        <v>#NUM!</v>
      </c>
      <c r="AN37" s="159" t="e">
        <f t="shared" si="160"/>
        <v>#NUM!</v>
      </c>
      <c r="AO37" s="159" t="e">
        <f t="shared" si="161"/>
        <v>#NUM!</v>
      </c>
      <c r="AP37" s="159" t="e">
        <f t="shared" si="162"/>
        <v>#NUM!</v>
      </c>
      <c r="AQ37" s="159" t="e">
        <f t="shared" si="163"/>
        <v>#NUM!</v>
      </c>
      <c r="AR37" s="159" t="e">
        <f t="shared" si="164"/>
        <v>#NUM!</v>
      </c>
      <c r="AS37" s="159" t="e">
        <f t="shared" si="165"/>
        <v>#NUM!</v>
      </c>
      <c r="AT37" s="159" t="e">
        <f t="shared" si="166"/>
        <v>#NUM!</v>
      </c>
      <c r="AU37" s="159" t="e">
        <f t="shared" si="167"/>
        <v>#NUM!</v>
      </c>
      <c r="AV37" s="159" t="e">
        <f t="shared" si="168"/>
        <v>#NUM!</v>
      </c>
      <c r="AW37" s="159" t="e">
        <f t="shared" si="169"/>
        <v>#NUM!</v>
      </c>
      <c r="AX37" s="159" t="e">
        <f t="shared" si="170"/>
        <v>#NUM!</v>
      </c>
      <c r="AY37" s="159" t="e">
        <f t="shared" si="171"/>
        <v>#NUM!</v>
      </c>
      <c r="AZ37" s="159" t="e">
        <f t="shared" si="172"/>
        <v>#NUM!</v>
      </c>
      <c r="BA37" s="159" t="e">
        <f t="shared" si="173"/>
        <v>#NUM!</v>
      </c>
      <c r="BB37" s="159" t="e">
        <f t="shared" si="174"/>
        <v>#NUM!</v>
      </c>
      <c r="BC37" s="159" t="e">
        <f t="shared" si="175"/>
        <v>#NUM!</v>
      </c>
      <c r="BD37" s="159" t="e">
        <f t="shared" si="176"/>
        <v>#NUM!</v>
      </c>
      <c r="BE37" s="159" t="e">
        <f t="shared" si="177"/>
        <v>#NUM!</v>
      </c>
      <c r="BF37" s="159" t="e">
        <f t="shared" si="178"/>
        <v>#NUM!</v>
      </c>
      <c r="BG37" s="159" t="e">
        <f t="shared" si="179"/>
        <v>#NUM!</v>
      </c>
      <c r="BH37" s="159" t="e">
        <f t="shared" si="180"/>
        <v>#NUM!</v>
      </c>
      <c r="BI37" s="159" t="e">
        <f t="shared" si="181"/>
        <v>#NUM!</v>
      </c>
      <c r="BJ37" s="159" t="e">
        <f t="shared" si="182"/>
        <v>#NUM!</v>
      </c>
      <c r="BK37" s="159" t="e">
        <f t="shared" si="183"/>
        <v>#NUM!</v>
      </c>
      <c r="BL37" s="159" t="e">
        <f t="shared" si="184"/>
        <v>#NUM!</v>
      </c>
      <c r="BM37" s="159" t="e">
        <f t="shared" si="185"/>
        <v>#NUM!</v>
      </c>
      <c r="BN37" s="159" t="e">
        <f t="shared" si="186"/>
        <v>#NUM!</v>
      </c>
      <c r="BO37" s="159" t="e">
        <f t="shared" si="187"/>
        <v>#NUM!</v>
      </c>
      <c r="BP37" s="159" t="e">
        <f t="shared" si="188"/>
        <v>#NUM!</v>
      </c>
      <c r="BQ37" s="159" t="e">
        <f t="shared" si="189"/>
        <v>#NUM!</v>
      </c>
      <c r="BR37" s="159" t="e">
        <f t="shared" si="190"/>
        <v>#NUM!</v>
      </c>
      <c r="BS37" s="159" t="e">
        <f t="shared" si="191"/>
        <v>#NUM!</v>
      </c>
      <c r="BT37" s="159" t="e">
        <f t="shared" si="192"/>
        <v>#NUM!</v>
      </c>
      <c r="BU37" s="159" t="e">
        <f t="shared" si="193"/>
        <v>#NUM!</v>
      </c>
      <c r="BV37" s="159" t="e">
        <f t="shared" si="194"/>
        <v>#NUM!</v>
      </c>
      <c r="BW37" s="159"/>
      <c r="BX37" s="159"/>
      <c r="BY37" s="159"/>
      <c r="BZ37" s="159"/>
      <c r="CA37" s="159"/>
      <c r="CB37" s="159" t="e">
        <f t="shared" si="195"/>
        <v>#NUM!</v>
      </c>
      <c r="CC37" s="159" t="e">
        <f t="shared" si="196"/>
        <v>#NUM!</v>
      </c>
      <c r="CD37" s="159" t="e">
        <f t="shared" si="197"/>
        <v>#NUM!</v>
      </c>
      <c r="CE37" s="159" t="e">
        <f t="shared" si="198"/>
        <v>#NUM!</v>
      </c>
      <c r="CF37" s="159" t="e">
        <f t="shared" si="199"/>
        <v>#NUM!</v>
      </c>
      <c r="CG37" s="159" t="e">
        <f t="shared" si="200"/>
        <v>#NUM!</v>
      </c>
      <c r="CH37" s="159" t="e">
        <f t="shared" si="201"/>
        <v>#NUM!</v>
      </c>
      <c r="CI37" s="159" t="e">
        <f t="shared" si="202"/>
        <v>#NUM!</v>
      </c>
    </row>
  </sheetData>
  <conditionalFormatting sqref="U3:U37">
    <cfRule type="cellIs" dxfId="322" priority="101" operator="greaterThan">
      <formula>15</formula>
    </cfRule>
  </conditionalFormatting>
  <conditionalFormatting sqref="Q3:Q37">
    <cfRule type="cellIs" dxfId="321" priority="100" operator="greaterThan">
      <formula>3.2</formula>
    </cfRule>
  </conditionalFormatting>
  <conditionalFormatting sqref="S3:T37">
    <cfRule type="cellIs" dxfId="320" priority="99" operator="greaterThan">
      <formula>0.6</formula>
    </cfRule>
  </conditionalFormatting>
  <conditionalFormatting sqref="AG22:AH22 V22:AA22 AA3:AF9 BK3:BQ22 AA10:AA21 V3:Y21 AH3:AH21 BW3:CI22 AB10:AF22 BR16:BV21 AS3:AX37 AN3:AQ37 AZ3:BC37 BF3:BI37 BV23:CI37 BK23:BT37 AA23:AF37 V23:Y37 AH23:AH37 AJ3:AL37">
    <cfRule type="cellIs" dxfId="319" priority="98" operator="greaterThan">
      <formula>12.5</formula>
    </cfRule>
  </conditionalFormatting>
  <conditionalFormatting sqref="BJ22 BE22 AR22">
    <cfRule type="cellIs" dxfId="318" priority="97" operator="greaterThan">
      <formula>12.5</formula>
    </cfRule>
  </conditionalFormatting>
  <conditionalFormatting sqref="H3:I4 H5:H21 H23:H37">
    <cfRule type="cellIs" dxfId="317" priority="95" operator="greaterThan">
      <formula>7</formula>
    </cfRule>
  </conditionalFormatting>
  <conditionalFormatting sqref="AY22">
    <cfRule type="cellIs" dxfId="316" priority="87" operator="greaterThan">
      <formula>12.5</formula>
    </cfRule>
  </conditionalFormatting>
  <conditionalFormatting sqref="Z3:Z21 AR3:AR21 AY3:AY21 BJ3:BJ21 BE3:BE21 AG16:AG21 Z23:Z37 AR23:AR37 AY23:AY37 BJ23:BJ37 BE23:BE37">
    <cfRule type="cellIs" dxfId="315" priority="83" operator="greaterThan">
      <formula>12</formula>
    </cfRule>
  </conditionalFormatting>
  <conditionalFormatting sqref="AG3:AG4">
    <cfRule type="cellIs" dxfId="314" priority="82" operator="greaterThan">
      <formula>12</formula>
    </cfRule>
  </conditionalFormatting>
  <conditionalFormatting sqref="BR22:BS22 BR3:BV4 BR5:BT15 BV5:BV15">
    <cfRule type="cellIs" dxfId="313" priority="78" operator="greaterThan">
      <formula>12.5</formula>
    </cfRule>
  </conditionalFormatting>
  <conditionalFormatting sqref="BT22">
    <cfRule type="cellIs" dxfId="312" priority="77" operator="greaterThan">
      <formula>12.5</formula>
    </cfRule>
  </conditionalFormatting>
  <conditionalFormatting sqref="BU22:BV22">
    <cfRule type="cellIs" dxfId="311" priority="76" operator="greaterThan">
      <formula>12.5</formula>
    </cfRule>
  </conditionalFormatting>
  <conditionalFormatting sqref="AG5:AG15 AG23:AG37">
    <cfRule type="cellIs" dxfId="310" priority="49" operator="lessThan">
      <formula>13</formula>
    </cfRule>
    <cfRule type="cellIs" dxfId="309" priority="50" operator="greaterThan">
      <formula>13.5</formula>
    </cfRule>
  </conditionalFormatting>
  <conditionalFormatting sqref="BU5:BU15 BU23:BU37">
    <cfRule type="cellIs" dxfId="308" priority="47" operator="lessThan">
      <formula>13</formula>
    </cfRule>
    <cfRule type="cellIs" dxfId="307" priority="48" operator="greaterThan">
      <formula>16</formula>
    </cfRule>
  </conditionalFormatting>
  <conditionalFormatting sqref="AG23:AG37">
    <cfRule type="cellIs" dxfId="306" priority="32" operator="greaterThan">
      <formula>13.42</formula>
    </cfRule>
  </conditionalFormatting>
  <conditionalFormatting sqref="AJ23:AJ37">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1">
    <cfRule type="colorScale" priority="2088">
      <colorScale>
        <cfvo type="min"/>
        <cfvo type="max"/>
        <color rgb="FFFCFCFF"/>
        <color rgb="FFF8696B"/>
      </colorScale>
    </cfRule>
  </conditionalFormatting>
  <conditionalFormatting sqref="J23:P37">
    <cfRule type="colorScale" priority="2544">
      <colorScale>
        <cfvo type="min"/>
        <cfvo type="max"/>
        <color rgb="FFFCFCFF"/>
        <color rgb="FFF8696B"/>
      </colorScale>
    </cfRule>
  </conditionalFormatting>
  <conditionalFormatting sqref="R5:R37">
    <cfRule type="colorScale" priority="2546">
      <colorScale>
        <cfvo type="min"/>
        <cfvo type="max"/>
        <color rgb="FFFFEF9C"/>
        <color rgb="FF63BE7B"/>
      </colorScale>
    </cfRule>
  </conditionalFormatting>
  <conditionalFormatting sqref="I5:I37">
    <cfRule type="dataBar" priority="2548">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F20" sqref="AF20"/>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6"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7" customWidth="1"/>
    <col min="18" max="18" width="5" style="487" customWidth="1"/>
    <col min="19" max="24" width="6.7109375" style="456" customWidth="1"/>
    <col min="25" max="25" width="6.7109375" style="563" customWidth="1"/>
    <col min="26" max="26" width="6.7109375" style="456" customWidth="1"/>
    <col min="27" max="27" width="4.42578125" style="456" bestFit="1" customWidth="1"/>
    <col min="28" max="31" width="6.140625" style="456" bestFit="1" customWidth="1"/>
    <col min="32" max="32" width="5.5703125" style="456" bestFit="1" customWidth="1"/>
    <col min="33" max="33" width="5" style="456" bestFit="1" customWidth="1"/>
    <col min="34" max="34" width="6.140625" style="456"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35"/>
      <c r="T1" s="735"/>
      <c r="U1" s="735"/>
      <c r="V1" s="179"/>
      <c r="W1" s="735" t="s">
        <v>623</v>
      </c>
      <c r="X1" s="735"/>
      <c r="Z1" s="448">
        <f>S2+T2+U2+V2+W2+X2+Z2</f>
        <v>1</v>
      </c>
      <c r="AQ1" s="735" t="s">
        <v>739</v>
      </c>
      <c r="AR1" s="735"/>
      <c r="AS1" s="735"/>
      <c r="AT1" s="735"/>
      <c r="AU1" s="735"/>
      <c r="AV1" s="735"/>
      <c r="AW1" s="735"/>
      <c r="AX1" s="735"/>
      <c r="AY1" s="735"/>
      <c r="AZ1" s="735"/>
      <c r="BA1" s="735"/>
      <c r="BB1" s="735"/>
      <c r="BC1" s="735"/>
      <c r="BS1" s="473" t="s">
        <v>741</v>
      </c>
      <c r="BT1" s="473" t="s">
        <v>178</v>
      </c>
      <c r="BU1" s="473" t="s">
        <v>742</v>
      </c>
      <c r="BV1" s="474" t="s">
        <v>743</v>
      </c>
      <c r="BW1" s="472" t="s">
        <v>744</v>
      </c>
      <c r="BX1" s="472" t="s">
        <v>745</v>
      </c>
    </row>
    <row r="2" spans="1:76" s="267" customFormat="1" ht="18.75" x14ac:dyDescent="0.3">
      <c r="C2" s="268"/>
      <c r="D2" s="455">
        <f ca="1">TODAY()</f>
        <v>43055</v>
      </c>
      <c r="E2" s="725">
        <v>41471</v>
      </c>
      <c r="F2" s="725"/>
      <c r="G2" s="725"/>
      <c r="H2" s="269"/>
      <c r="I2" s="269"/>
      <c r="J2" s="337"/>
      <c r="K2" s="269"/>
      <c r="L2" s="269"/>
      <c r="M2" s="269"/>
      <c r="N2" s="269"/>
      <c r="O2" s="269"/>
      <c r="P2" s="269"/>
      <c r="Q2" s="442"/>
      <c r="R2" s="310"/>
      <c r="S2" s="449">
        <v>0</v>
      </c>
      <c r="T2" s="489">
        <v>0</v>
      </c>
      <c r="U2" s="489">
        <v>0</v>
      </c>
      <c r="V2" s="449">
        <v>0</v>
      </c>
      <c r="W2" s="447">
        <v>0</v>
      </c>
      <c r="X2" s="447">
        <v>0</v>
      </c>
      <c r="Y2" s="447">
        <v>0</v>
      </c>
      <c r="Z2" s="447">
        <v>1</v>
      </c>
      <c r="AA2" s="310">
        <v>0</v>
      </c>
      <c r="AB2" s="310"/>
      <c r="AC2" s="310"/>
      <c r="AD2" s="310"/>
      <c r="AE2" s="310"/>
      <c r="AF2" s="310"/>
      <c r="AG2" s="310"/>
      <c r="AH2" s="310"/>
      <c r="AS2" s="470">
        <f>SUM(AS4:AS14)*$BV$3</f>
        <v>0</v>
      </c>
      <c r="AT2" s="470">
        <f>SUM(AT4:AT14)*$BV$3</f>
        <v>0</v>
      </c>
      <c r="AU2" s="470">
        <f>SUM(AU4:AU14)*$BV$2</f>
        <v>0</v>
      </c>
      <c r="AV2" s="470">
        <f>SUM(AV4:AV14)*$BV$4</f>
        <v>0</v>
      </c>
      <c r="AW2" s="470">
        <f>SUM(AW4:AW14)*$BV$5</f>
        <v>0</v>
      </c>
      <c r="AX2" s="470">
        <f>SUM(AX4:AX14)*$BV$5</f>
        <v>0</v>
      </c>
      <c r="AY2" s="470">
        <f>SUM(AY4:AY14)*$BV$6</f>
        <v>0</v>
      </c>
      <c r="AZ2" s="471">
        <f>SUM(AZ4:AZ14)</f>
        <v>0.2099999999999998</v>
      </c>
      <c r="BA2" s="471">
        <f>SUM(BA4:BA14)</f>
        <v>0.2149999999999998</v>
      </c>
      <c r="BB2" s="471">
        <f t="shared" ref="BB2:BC2" si="0">SUM(BB4:BB14)</f>
        <v>12.688749999999999</v>
      </c>
      <c r="BC2" s="471">
        <f t="shared" si="0"/>
        <v>0</v>
      </c>
      <c r="BG2" s="470">
        <f>SUM(BG4:BG14)*$BV$3</f>
        <v>0</v>
      </c>
      <c r="BH2" s="470">
        <f>SUM(BH4:BH14)*$BV$3</f>
        <v>0</v>
      </c>
      <c r="BI2" s="470">
        <f>SUM(BI4:BI14)*$BV$2</f>
        <v>0</v>
      </c>
      <c r="BJ2" s="470">
        <f>SUM(BJ4:BJ14)*$BV$4</f>
        <v>0</v>
      </c>
      <c r="BK2" s="470">
        <f>SUM(BK4:BK14)*$BV$5</f>
        <v>0</v>
      </c>
      <c r="BL2" s="470">
        <f>SUM(BL4:BL14)*$BV$5</f>
        <v>0</v>
      </c>
      <c r="BM2" s="470">
        <f>SUM(BM4:BM14)*$BV$6</f>
        <v>0</v>
      </c>
      <c r="BN2" s="471">
        <f>SUM(BN4:BN14)</f>
        <v>0.21799999999999986</v>
      </c>
      <c r="BO2" s="471">
        <f>SUM(BO4:BO14)</f>
        <v>0.22299999999999989</v>
      </c>
      <c r="BP2" s="471">
        <f t="shared" ref="BP2:BQ2" si="1">SUM(BP4:BP14)</f>
        <v>17.016944444444448</v>
      </c>
      <c r="BQ2" s="471">
        <f t="shared" si="1"/>
        <v>0</v>
      </c>
      <c r="BS2" s="275" t="s">
        <v>746</v>
      </c>
      <c r="BT2" s="475">
        <v>1</v>
      </c>
      <c r="BU2" s="476">
        <v>0.624</v>
      </c>
      <c r="BV2" s="477">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4" t="s">
        <v>183</v>
      </c>
      <c r="R3" s="444" t="s">
        <v>63</v>
      </c>
      <c r="S3" s="443" t="s">
        <v>337</v>
      </c>
      <c r="T3" s="443" t="s">
        <v>188</v>
      </c>
      <c r="U3" s="443" t="s">
        <v>189</v>
      </c>
      <c r="V3" s="443" t="s">
        <v>190</v>
      </c>
      <c r="W3" s="443" t="s">
        <v>191</v>
      </c>
      <c r="X3" s="443" t="s">
        <v>192</v>
      </c>
      <c r="Y3" s="443" t="s">
        <v>866</v>
      </c>
      <c r="Z3" s="443" t="s">
        <v>185</v>
      </c>
      <c r="AA3" s="443" t="s">
        <v>176</v>
      </c>
      <c r="AB3" s="443" t="s">
        <v>337</v>
      </c>
      <c r="AC3" s="443" t="s">
        <v>188</v>
      </c>
      <c r="AD3" s="443" t="s">
        <v>189</v>
      </c>
      <c r="AE3" s="443" t="s">
        <v>190</v>
      </c>
      <c r="AF3" s="443" t="s">
        <v>191</v>
      </c>
      <c r="AG3" s="443" t="s">
        <v>192</v>
      </c>
      <c r="AH3" s="443" t="s">
        <v>185</v>
      </c>
      <c r="AI3" s="443" t="s">
        <v>337</v>
      </c>
      <c r="AJ3" s="443" t="s">
        <v>188</v>
      </c>
      <c r="AK3" s="443" t="s">
        <v>189</v>
      </c>
      <c r="AL3" s="443" t="s">
        <v>190</v>
      </c>
      <c r="AM3" s="443" t="s">
        <v>191</v>
      </c>
      <c r="AN3" s="443" t="s">
        <v>192</v>
      </c>
      <c r="AO3" s="443" t="s">
        <v>185</v>
      </c>
      <c r="AQ3" s="737" t="s">
        <v>862</v>
      </c>
      <c r="AR3" s="738"/>
      <c r="AS3" s="361" t="s">
        <v>541</v>
      </c>
      <c r="AT3" s="361" t="s">
        <v>542</v>
      </c>
      <c r="AU3" s="361" t="s">
        <v>582</v>
      </c>
      <c r="AV3" s="361" t="s">
        <v>543</v>
      </c>
      <c r="AW3" s="361" t="s">
        <v>544</v>
      </c>
      <c r="AX3" s="361" t="s">
        <v>545</v>
      </c>
      <c r="AY3" s="361" t="s">
        <v>546</v>
      </c>
      <c r="AZ3" s="361" t="s">
        <v>879</v>
      </c>
      <c r="BA3" s="361" t="s">
        <v>880</v>
      </c>
      <c r="BB3" s="361" t="s">
        <v>700</v>
      </c>
      <c r="BC3" s="361" t="s">
        <v>740</v>
      </c>
      <c r="BE3" s="737" t="s">
        <v>864</v>
      </c>
      <c r="BF3" s="738"/>
      <c r="BG3" s="361" t="s">
        <v>541</v>
      </c>
      <c r="BH3" s="361" t="s">
        <v>542</v>
      </c>
      <c r="BI3" s="361" t="s">
        <v>582</v>
      </c>
      <c r="BJ3" s="361" t="s">
        <v>543</v>
      </c>
      <c r="BK3" s="361" t="s">
        <v>544</v>
      </c>
      <c r="BL3" s="361" t="s">
        <v>545</v>
      </c>
      <c r="BM3" s="361" t="s">
        <v>546</v>
      </c>
      <c r="BN3" s="361" t="s">
        <v>879</v>
      </c>
      <c r="BO3" s="361" t="s">
        <v>880</v>
      </c>
      <c r="BP3" s="361" t="s">
        <v>700</v>
      </c>
      <c r="BQ3" s="361" t="s">
        <v>740</v>
      </c>
      <c r="BS3" s="275" t="s">
        <v>747</v>
      </c>
      <c r="BT3" s="475">
        <v>1</v>
      </c>
      <c r="BU3" s="476">
        <v>1.002</v>
      </c>
      <c r="BV3" s="477">
        <v>0.34</v>
      </c>
      <c r="BW3" s="363">
        <f t="shared" ref="BW3:BW6" si="2">BV3*10</f>
        <v>3.4000000000000004</v>
      </c>
      <c r="BX3" s="363">
        <f t="shared" ref="BX3:BX6" si="3">BV3*15</f>
        <v>5.1000000000000005</v>
      </c>
    </row>
    <row r="4" spans="1:76" s="284" customFormat="1" ht="18.75" x14ac:dyDescent="0.3">
      <c r="A4" s="416" t="s">
        <v>443</v>
      </c>
      <c r="B4" s="416" t="s">
        <v>1</v>
      </c>
      <c r="C4" s="286">
        <f ca="1">((33*112)-(E4*112)-(F4))/112</f>
        <v>3.2053571428571428</v>
      </c>
      <c r="D4" s="321" t="str">
        <f>PLANTILLA!D5</f>
        <v>D. Gehmacher</v>
      </c>
      <c r="E4" s="419">
        <f>PLANTILLA!E5</f>
        <v>29</v>
      </c>
      <c r="F4" s="427">
        <f ca="1">PLANTILLA!F5</f>
        <v>89</v>
      </c>
      <c r="G4" s="420"/>
      <c r="H4" s="435">
        <v>7</v>
      </c>
      <c r="I4" s="335">
        <f>PLANTILLA!I5</f>
        <v>18</v>
      </c>
      <c r="J4" s="521">
        <f>PLANTILLA!V5</f>
        <v>16.666666666666668</v>
      </c>
      <c r="K4" s="521">
        <f>PLANTILLA!W5</f>
        <v>11.650909090909092</v>
      </c>
      <c r="L4" s="521">
        <f>PLANTILLA!X5</f>
        <v>2.0199999999999996</v>
      </c>
      <c r="M4" s="521">
        <f>PLANTILLA!Y5</f>
        <v>2.1199999999999992</v>
      </c>
      <c r="N4" s="521">
        <f>PLANTILLA!Z5</f>
        <v>1.0300000000000002</v>
      </c>
      <c r="O4" s="521">
        <f>PLANTILLA!AA5</f>
        <v>0.14055555555555557</v>
      </c>
      <c r="P4" s="521">
        <f>PLANTILLA!AB5</f>
        <v>17.849999999999998</v>
      </c>
      <c r="Q4" s="445">
        <f t="shared" ref="Q4:Q23" si="4">E4</f>
        <v>29</v>
      </c>
      <c r="R4" s="446">
        <f t="shared" ref="R4:R23" ca="1" si="5">F4+7</f>
        <v>96</v>
      </c>
      <c r="S4" s="193"/>
      <c r="T4" s="193"/>
      <c r="U4" s="193"/>
      <c r="V4" s="193"/>
      <c r="W4" s="193"/>
      <c r="X4" s="193"/>
      <c r="Y4" s="193"/>
      <c r="Z4" s="193"/>
      <c r="AA4" s="323">
        <f t="shared" ref="AA4:AA23" si="6">I4+$AA$2</f>
        <v>18</v>
      </c>
      <c r="AB4" s="541">
        <f>J4+(S4*S$2/15)</f>
        <v>16.666666666666668</v>
      </c>
      <c r="AC4" s="541">
        <f>K4+(T$2/11)</f>
        <v>11.650909090909092</v>
      </c>
      <c r="AD4" s="541">
        <f>L4+(U$2/18)</f>
        <v>2.0199999999999996</v>
      </c>
      <c r="AE4" s="541">
        <f>M4+(V$2/12)</f>
        <v>2.1199999999999992</v>
      </c>
      <c r="AF4" s="541">
        <f>N4+(W$2/11)</f>
        <v>1.0300000000000002</v>
      </c>
      <c r="AG4" s="541">
        <f>O4+(X$2/12)+(Y$2/5)</f>
        <v>0.14055555555555557</v>
      </c>
      <c r="AH4" s="541">
        <f>P4+(Z$2/2)+(Y$2/10)</f>
        <v>18.349999999999998</v>
      </c>
      <c r="AI4" s="458">
        <f t="shared" ref="AI4:AO4" si="7">AB4-J4</f>
        <v>0</v>
      </c>
      <c r="AJ4" s="458">
        <f t="shared" si="7"/>
        <v>0</v>
      </c>
      <c r="AK4" s="458">
        <f t="shared" si="7"/>
        <v>0</v>
      </c>
      <c r="AL4" s="458">
        <f t="shared" si="7"/>
        <v>0</v>
      </c>
      <c r="AM4" s="458">
        <f t="shared" si="7"/>
        <v>0</v>
      </c>
      <c r="AN4" s="458">
        <f t="shared" si="7"/>
        <v>0</v>
      </c>
      <c r="AO4" s="458">
        <f t="shared" si="7"/>
        <v>0.5</v>
      </c>
      <c r="AQ4" s="459" t="s">
        <v>1</v>
      </c>
      <c r="AR4" s="331" t="str">
        <f>D4</f>
        <v>D. Gehmacher</v>
      </c>
      <c r="AS4" s="464">
        <f>(AI4*0.597)+(AJ4*0.276)</f>
        <v>0</v>
      </c>
      <c r="AT4" s="464">
        <f>AS4</f>
        <v>0</v>
      </c>
      <c r="AU4" s="464">
        <f>(AI4*0.866)+(AJ4*0.425)</f>
        <v>0</v>
      </c>
      <c r="AV4" s="464">
        <v>0</v>
      </c>
      <c r="AW4" s="464">
        <v>0</v>
      </c>
      <c r="AX4" s="464">
        <v>0</v>
      </c>
      <c r="AY4" s="464">
        <v>0</v>
      </c>
      <c r="AZ4" s="590">
        <v>0</v>
      </c>
      <c r="BA4" s="590">
        <f>0.08*AI4+0.1*AO4</f>
        <v>0.05</v>
      </c>
      <c r="BB4" s="467">
        <v>0</v>
      </c>
      <c r="BC4" s="467">
        <v>0</v>
      </c>
      <c r="BE4" s="459" t="s">
        <v>1</v>
      </c>
      <c r="BF4" s="331" t="str">
        <f>D4</f>
        <v>D. Gehmacher</v>
      </c>
      <c r="BG4" s="464">
        <f t="shared" ref="BG4:BM4" si="8">AS4</f>
        <v>0</v>
      </c>
      <c r="BH4" s="464">
        <f t="shared" si="8"/>
        <v>0</v>
      </c>
      <c r="BI4" s="464">
        <f t="shared" si="8"/>
        <v>0</v>
      </c>
      <c r="BJ4" s="464">
        <f t="shared" si="8"/>
        <v>0</v>
      </c>
      <c r="BK4" s="464">
        <f t="shared" si="8"/>
        <v>0</v>
      </c>
      <c r="BL4" s="464">
        <f t="shared" si="8"/>
        <v>0</v>
      </c>
      <c r="BM4" s="464">
        <f t="shared" si="8"/>
        <v>0</v>
      </c>
      <c r="BN4" s="590">
        <f t="shared" ref="BN4" si="9">AZ4</f>
        <v>0</v>
      </c>
      <c r="BO4" s="590">
        <f t="shared" ref="BO4:BQ4" si="10">BA4</f>
        <v>0.05</v>
      </c>
      <c r="BP4" s="467">
        <f t="shared" si="10"/>
        <v>0</v>
      </c>
      <c r="BQ4" s="467">
        <f t="shared" si="10"/>
        <v>0</v>
      </c>
      <c r="BS4" s="275" t="s">
        <v>748</v>
      </c>
      <c r="BT4" s="475">
        <v>1</v>
      </c>
      <c r="BU4" s="476">
        <v>0.46800000000000003</v>
      </c>
      <c r="BV4" s="477">
        <v>0.125</v>
      </c>
      <c r="BW4" s="363">
        <f t="shared" si="2"/>
        <v>1.25</v>
      </c>
      <c r="BX4" s="363">
        <f t="shared" si="3"/>
        <v>1.875</v>
      </c>
    </row>
    <row r="5" spans="1:76" s="272" customFormat="1" ht="18.75" x14ac:dyDescent="0.3">
      <c r="A5" s="416" t="s">
        <v>577</v>
      </c>
      <c r="B5" s="416" t="s">
        <v>1</v>
      </c>
      <c r="C5" s="417">
        <f t="shared" ref="C5:C23" ca="1" si="11">((33*112)-(E5*112)-(F5))/112</f>
        <v>-0.875</v>
      </c>
      <c r="D5" s="418" t="s">
        <v>307</v>
      </c>
      <c r="E5" s="419">
        <f>PLANTILLA!E6</f>
        <v>33</v>
      </c>
      <c r="F5" s="419">
        <f ca="1">PLANTILLA!F6</f>
        <v>98</v>
      </c>
      <c r="G5" s="420" t="s">
        <v>595</v>
      </c>
      <c r="H5" s="401">
        <v>4</v>
      </c>
      <c r="I5" s="335">
        <f>PLANTILLA!I6</f>
        <v>7.8</v>
      </c>
      <c r="J5" s="521">
        <f>PLANTILLA!V6</f>
        <v>10.3</v>
      </c>
      <c r="K5" s="521">
        <f>PLANTILLA!W6</f>
        <v>10.794999999999998</v>
      </c>
      <c r="L5" s="521">
        <f>PLANTILLA!X6</f>
        <v>4.6100000000000012</v>
      </c>
      <c r="M5" s="521">
        <f>PLANTILLA!Y6</f>
        <v>4.99</v>
      </c>
      <c r="N5" s="521">
        <f>PLANTILLA!Z6</f>
        <v>6.5444444444444434</v>
      </c>
      <c r="O5" s="521">
        <f>PLANTILLA!AA6</f>
        <v>3.99</v>
      </c>
      <c r="P5" s="521">
        <f>PLANTILLA!AB6</f>
        <v>15.778888888888888</v>
      </c>
      <c r="Q5" s="445">
        <f t="shared" si="4"/>
        <v>33</v>
      </c>
      <c r="R5" s="446">
        <f t="shared" ca="1" si="5"/>
        <v>105</v>
      </c>
      <c r="S5" s="193"/>
      <c r="T5" s="193"/>
      <c r="U5" s="193"/>
      <c r="V5" s="193"/>
      <c r="W5" s="193"/>
      <c r="X5" s="193"/>
      <c r="Y5" s="193"/>
      <c r="Z5" s="193"/>
      <c r="AA5" s="323">
        <f t="shared" si="6"/>
        <v>7.8</v>
      </c>
      <c r="AB5" s="541">
        <f>J5+(S5*S$2/6)</f>
        <v>10.3</v>
      </c>
      <c r="AC5" s="541">
        <f>K5+(T$2/45)</f>
        <v>10.794999999999998</v>
      </c>
      <c r="AD5" s="541">
        <f>L5+(U$2/34)</f>
        <v>4.6100000000000012</v>
      </c>
      <c r="AE5" s="541">
        <f>M5+(V$2/22)</f>
        <v>4.99</v>
      </c>
      <c r="AF5" s="541">
        <f>N5+(W$2/28)</f>
        <v>6.5444444444444434</v>
      </c>
      <c r="AG5" s="541">
        <f>O5+(X$2/24)+(Y$2/7)</f>
        <v>3.99</v>
      </c>
      <c r="AH5" s="541">
        <f>P5+(Z$2/2.5)+(Y$2/10)</f>
        <v>16.178888888888888</v>
      </c>
      <c r="AI5" s="458">
        <f t="shared" ref="AI5:AI23" si="12">AB5-J5</f>
        <v>0</v>
      </c>
      <c r="AJ5" s="458">
        <f t="shared" ref="AJ5:AJ23" si="13">AC5-K5</f>
        <v>0</v>
      </c>
      <c r="AK5" s="458">
        <f t="shared" ref="AK5:AK23" si="14">AD5-L5</f>
        <v>0</v>
      </c>
      <c r="AL5" s="458">
        <f t="shared" ref="AL5:AL23" si="15">AE5-M5</f>
        <v>0</v>
      </c>
      <c r="AM5" s="458">
        <f t="shared" ref="AM5:AM23" si="16">AF5-N5</f>
        <v>0</v>
      </c>
      <c r="AN5" s="458">
        <f t="shared" ref="AN5:AN23" si="17">AG5-O5</f>
        <v>0</v>
      </c>
      <c r="AO5" s="458">
        <f t="shared" ref="AO5:AO23" si="18">AH5-P5</f>
        <v>0.40000000000000036</v>
      </c>
      <c r="AQ5" s="460" t="s">
        <v>704</v>
      </c>
      <c r="AR5" s="332" t="str">
        <f>D20</f>
        <v>B. Pinczehelyi</v>
      </c>
      <c r="AS5" s="465">
        <f>(AJ20*0.919)</f>
        <v>0</v>
      </c>
      <c r="AT5" s="465">
        <v>0</v>
      </c>
      <c r="AU5" s="465">
        <f>AJ20*0.414</f>
        <v>0</v>
      </c>
      <c r="AV5" s="465">
        <f>AK20*0.167</f>
        <v>0</v>
      </c>
      <c r="AW5" s="465">
        <f>AL20*0.588</f>
        <v>0</v>
      </c>
      <c r="AX5" s="465">
        <v>0</v>
      </c>
      <c r="AY5" s="465">
        <v>0</v>
      </c>
      <c r="AZ5" s="468">
        <f>(0.5*AN20+0.3*AO20)/10</f>
        <v>0.03</v>
      </c>
      <c r="BA5" s="468">
        <f>(0.4*AJ20+0.3*AO20)/10</f>
        <v>0.03</v>
      </c>
      <c r="BB5" s="468">
        <f>((AC20+1)+(AF20+1)*2)/8</f>
        <v>4.4874999999999998</v>
      </c>
      <c r="BC5" s="468">
        <f>((AJ20)+(AM20)*2)/8</f>
        <v>0</v>
      </c>
      <c r="BE5" s="460" t="s">
        <v>704</v>
      </c>
      <c r="BF5" s="332" t="str">
        <f>AR19</f>
        <v>B. Pinczehelyi</v>
      </c>
      <c r="BG5" s="466">
        <f>AS19</f>
        <v>0</v>
      </c>
      <c r="BH5" s="466">
        <f t="shared" ref="BH5:BQ5" si="19">AT19</f>
        <v>0</v>
      </c>
      <c r="BI5" s="466">
        <f t="shared" si="19"/>
        <v>0</v>
      </c>
      <c r="BJ5" s="466">
        <f t="shared" si="19"/>
        <v>0</v>
      </c>
      <c r="BK5" s="466">
        <f t="shared" si="19"/>
        <v>0</v>
      </c>
      <c r="BL5" s="466">
        <f t="shared" si="19"/>
        <v>0</v>
      </c>
      <c r="BM5" s="466">
        <f t="shared" si="19"/>
        <v>0</v>
      </c>
      <c r="BN5" s="469">
        <f t="shared" si="19"/>
        <v>0.03</v>
      </c>
      <c r="BO5" s="469">
        <f t="shared" si="19"/>
        <v>0.03</v>
      </c>
      <c r="BP5" s="469">
        <f t="shared" si="19"/>
        <v>4.4874999999999998</v>
      </c>
      <c r="BQ5" s="469">
        <f t="shared" si="19"/>
        <v>0</v>
      </c>
      <c r="BS5" s="275" t="s">
        <v>749</v>
      </c>
      <c r="BT5" s="475">
        <v>1</v>
      </c>
      <c r="BU5" s="476">
        <v>0.877</v>
      </c>
      <c r="BV5" s="477">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21" t="e">
        <f>PLANTILLA!#REF!</f>
        <v>#REF!</v>
      </c>
      <c r="K6" s="521" t="e">
        <f>PLANTILLA!#REF!</f>
        <v>#REF!</v>
      </c>
      <c r="L6" s="521" t="e">
        <f>PLANTILLA!#REF!</f>
        <v>#REF!</v>
      </c>
      <c r="M6" s="521" t="e">
        <f>PLANTILLA!#REF!</f>
        <v>#REF!</v>
      </c>
      <c r="N6" s="521" t="e">
        <f>PLANTILLA!#REF!</f>
        <v>#REF!</v>
      </c>
      <c r="O6" s="521" t="e">
        <f>PLANTILLA!#REF!</f>
        <v>#REF!</v>
      </c>
      <c r="P6" s="521" t="e">
        <f>PLANTILLA!#REF!</f>
        <v>#REF!</v>
      </c>
      <c r="Q6" s="445" t="e">
        <f t="shared" si="4"/>
        <v>#REF!</v>
      </c>
      <c r="R6" s="446" t="e">
        <f t="shared" si="5"/>
        <v>#REF!</v>
      </c>
      <c r="S6" s="193"/>
      <c r="T6" s="193"/>
      <c r="U6" s="193"/>
      <c r="V6" s="193"/>
      <c r="W6" s="193"/>
      <c r="X6" s="193"/>
      <c r="Y6" s="193"/>
      <c r="Z6" s="193"/>
      <c r="AA6" s="323" t="e">
        <f t="shared" si="6"/>
        <v>#REF!</v>
      </c>
      <c r="AB6" s="541" t="e">
        <f t="shared" ref="AB6:AB23" si="20">J6+(S6*S$2/5)</f>
        <v>#REF!</v>
      </c>
      <c r="AC6" s="541" t="e">
        <f>K6+(T$2/53)</f>
        <v>#REF!</v>
      </c>
      <c r="AD6" s="541" t="e">
        <f>L6+(U$2/32)</f>
        <v>#REF!</v>
      </c>
      <c r="AE6" s="541" t="e">
        <f>M6+(V$2/17)</f>
        <v>#REF!</v>
      </c>
      <c r="AF6" s="541" t="e">
        <f>N6+(W$2/23)</f>
        <v>#REF!</v>
      </c>
      <c r="AG6" s="541" t="e">
        <f>O6+(X$2/17)+(Y$2/5)</f>
        <v>#REF!</v>
      </c>
      <c r="AH6" s="541" t="e">
        <f>P6+(Z$2/2)+(Y$2/10)</f>
        <v>#REF!</v>
      </c>
      <c r="AI6" s="458" t="e">
        <f t="shared" si="12"/>
        <v>#REF!</v>
      </c>
      <c r="AJ6" s="458" t="e">
        <f t="shared" si="13"/>
        <v>#REF!</v>
      </c>
      <c r="AK6" s="458" t="e">
        <f t="shared" si="14"/>
        <v>#REF!</v>
      </c>
      <c r="AL6" s="458" t="e">
        <f t="shared" si="15"/>
        <v>#REF!</v>
      </c>
      <c r="AM6" s="458" t="e">
        <f t="shared" si="16"/>
        <v>#REF!</v>
      </c>
      <c r="AN6" s="458" t="e">
        <f t="shared" si="17"/>
        <v>#REF!</v>
      </c>
      <c r="AO6" s="458" t="e">
        <f t="shared" si="18"/>
        <v>#REF!</v>
      </c>
      <c r="AQ6" s="461" t="s">
        <v>737</v>
      </c>
      <c r="AR6" s="332" t="str">
        <f>D16</f>
        <v>E. Gross</v>
      </c>
      <c r="AS6" s="466">
        <f>AJ16*0.378</f>
        <v>0</v>
      </c>
      <c r="AT6" s="466">
        <f>AS6</f>
        <v>0</v>
      </c>
      <c r="AU6" s="466">
        <f>AJ16*1</f>
        <v>0</v>
      </c>
      <c r="AV6" s="466">
        <f>AK16*0.236</f>
        <v>0</v>
      </c>
      <c r="AW6" s="466">
        <v>0</v>
      </c>
      <c r="AX6" s="466">
        <v>0</v>
      </c>
      <c r="AY6" s="466">
        <v>0</v>
      </c>
      <c r="AZ6" s="469">
        <f>(0.5*AN16+0.3*AO16)/10</f>
        <v>1.1999999999999957E-2</v>
      </c>
      <c r="BA6" s="469">
        <f>(0.4*AJ16+0.3*AO16)/10</f>
        <v>1.1999999999999957E-2</v>
      </c>
      <c r="BB6" s="468">
        <f>((AC16+1)+(AF16+1)*2)/8</f>
        <v>3.9362499999999994</v>
      </c>
      <c r="BC6" s="468">
        <f>((AJ16)+(AM16)*2)/8</f>
        <v>0</v>
      </c>
      <c r="BE6" s="461" t="s">
        <v>789</v>
      </c>
      <c r="BF6" s="285" t="str">
        <f>BF20</f>
        <v>D. Toh</v>
      </c>
      <c r="BG6" s="466">
        <f>BG20</f>
        <v>0</v>
      </c>
      <c r="BH6" s="466">
        <f t="shared" ref="BH6:BM6" si="21">BH20</f>
        <v>0</v>
      </c>
      <c r="BI6" s="466">
        <f t="shared" si="21"/>
        <v>0</v>
      </c>
      <c r="BJ6" s="466">
        <f t="shared" si="21"/>
        <v>0</v>
      </c>
      <c r="BK6" s="466">
        <f t="shared" si="21"/>
        <v>0</v>
      </c>
      <c r="BL6" s="466">
        <f t="shared" si="21"/>
        <v>0</v>
      </c>
      <c r="BM6" s="466">
        <f t="shared" si="21"/>
        <v>0</v>
      </c>
      <c r="BN6" s="469">
        <f>(0.5*AN7+0.3*AO7)/10</f>
        <v>1.2000000000000011E-2</v>
      </c>
      <c r="BO6" s="469">
        <f>(0.4*AJ7+0.3*AO7)/10</f>
        <v>1.2000000000000011E-2</v>
      </c>
      <c r="BP6" s="468">
        <f>((AC7+1)+(AF7+1)*2)/8</f>
        <v>3.6806944444444447</v>
      </c>
      <c r="BQ6" s="468">
        <f>((AJ7)+(AM7)*2)/8</f>
        <v>0</v>
      </c>
      <c r="BS6" s="275" t="s">
        <v>750</v>
      </c>
      <c r="BT6" s="475">
        <v>1</v>
      </c>
      <c r="BU6" s="476">
        <v>0.59299999999999997</v>
      </c>
      <c r="BV6" s="477">
        <v>0.19</v>
      </c>
      <c r="BW6" s="363">
        <f t="shared" si="2"/>
        <v>1.9</v>
      </c>
      <c r="BX6" s="363">
        <f t="shared" si="3"/>
        <v>2.85</v>
      </c>
    </row>
    <row r="7" spans="1:76" s="288" customFormat="1" x14ac:dyDescent="0.25">
      <c r="A7" s="332" t="s">
        <v>717</v>
      </c>
      <c r="B7" s="285" t="s">
        <v>2</v>
      </c>
      <c r="C7" s="286">
        <f t="shared" ca="1" si="11"/>
        <v>1.6964285714285714</v>
      </c>
      <c r="D7" s="321" t="s">
        <v>315</v>
      </c>
      <c r="E7" s="419">
        <f>PLANTILLA!E8</f>
        <v>31</v>
      </c>
      <c r="F7" s="419">
        <f ca="1">PLANTILLA!F8</f>
        <v>34</v>
      </c>
      <c r="G7" s="420" t="s">
        <v>595</v>
      </c>
      <c r="H7" s="426">
        <v>5</v>
      </c>
      <c r="I7" s="335">
        <f>PLANTILLA!I8</f>
        <v>7.5</v>
      </c>
      <c r="J7" s="521">
        <f>PLANTILLA!V8</f>
        <v>0</v>
      </c>
      <c r="K7" s="521">
        <f>PLANTILLA!W8</f>
        <v>11</v>
      </c>
      <c r="L7" s="521">
        <f>PLANTILLA!X8</f>
        <v>6.1594444444444418</v>
      </c>
      <c r="M7" s="521">
        <f>PLANTILLA!Y8</f>
        <v>5.98</v>
      </c>
      <c r="N7" s="521">
        <f>PLANTILLA!Z8</f>
        <v>7.7227777777777789</v>
      </c>
      <c r="O7" s="521">
        <f>PLANTILLA!AA8</f>
        <v>4.383333333333332</v>
      </c>
      <c r="P7" s="521">
        <f>PLANTILLA!AB8</f>
        <v>15.349999999999998</v>
      </c>
      <c r="Q7" s="445">
        <f t="shared" si="4"/>
        <v>31</v>
      </c>
      <c r="R7" s="446">
        <f t="shared" ca="1" si="5"/>
        <v>41</v>
      </c>
      <c r="S7" s="193"/>
      <c r="T7" s="193"/>
      <c r="U7" s="193"/>
      <c r="V7" s="193"/>
      <c r="W7" s="193"/>
      <c r="X7" s="193"/>
      <c r="Y7" s="193"/>
      <c r="Z7" s="193"/>
      <c r="AA7" s="323">
        <f t="shared" si="6"/>
        <v>7.5</v>
      </c>
      <c r="AB7" s="541">
        <f t="shared" si="20"/>
        <v>0</v>
      </c>
      <c r="AC7" s="541">
        <f>K7+(T$2/11)</f>
        <v>11</v>
      </c>
      <c r="AD7" s="541">
        <f>L7+(U$2/6.5)</f>
        <v>6.1594444444444418</v>
      </c>
      <c r="AE7" s="541">
        <f>M7+(V$2/62)</f>
        <v>5.98</v>
      </c>
      <c r="AF7" s="541">
        <f>N7+(W$2/7)</f>
        <v>7.7227777777777789</v>
      </c>
      <c r="AG7" s="541">
        <f>O7+(X$2/21)+(Y$2/7)</f>
        <v>4.383333333333332</v>
      </c>
      <c r="AH7" s="541">
        <f>P7+(Z$2/2.5)+(Y$2/10)</f>
        <v>15.749999999999998</v>
      </c>
      <c r="AI7" s="458">
        <f t="shared" si="12"/>
        <v>0</v>
      </c>
      <c r="AJ7" s="458">
        <f t="shared" si="13"/>
        <v>0</v>
      </c>
      <c r="AK7" s="458">
        <f t="shared" si="14"/>
        <v>0</v>
      </c>
      <c r="AL7" s="458">
        <f t="shared" si="15"/>
        <v>0</v>
      </c>
      <c r="AM7" s="458">
        <f t="shared" si="16"/>
        <v>0</v>
      </c>
      <c r="AN7" s="458">
        <f t="shared" si="17"/>
        <v>0</v>
      </c>
      <c r="AO7" s="458">
        <f t="shared" si="18"/>
        <v>0.40000000000000036</v>
      </c>
      <c r="AQ7" s="461" t="s">
        <v>704</v>
      </c>
      <c r="AR7" s="332" t="str">
        <f>D8</f>
        <v>E. Toney</v>
      </c>
      <c r="AS7" s="466">
        <v>0</v>
      </c>
      <c r="AT7" s="466">
        <f>AJ8*0.919</f>
        <v>0</v>
      </c>
      <c r="AU7" s="466">
        <f>AJ8*0.414</f>
        <v>0</v>
      </c>
      <c r="AV7" s="466">
        <f>AK8*0.167</f>
        <v>0</v>
      </c>
      <c r="AW7" s="466">
        <v>0</v>
      </c>
      <c r="AX7" s="466">
        <f>AL8*0.588</f>
        <v>0</v>
      </c>
      <c r="AY7" s="466">
        <v>0</v>
      </c>
      <c r="AZ7" s="469">
        <f>(0.5*AN8+0.3*AO8)/10</f>
        <v>1.1999999999999957E-2</v>
      </c>
      <c r="BA7" s="469">
        <f>(0.4*AJ8+0.3*AO8)/10</f>
        <v>1.1999999999999957E-2</v>
      </c>
      <c r="BB7" s="468">
        <f>((AC8+1)+(AF8+1)*2)/8</f>
        <v>4.2650000000000006</v>
      </c>
      <c r="BC7" s="468">
        <f>((AJ8)+(AM8)*2)/8</f>
        <v>0</v>
      </c>
      <c r="BE7" s="461" t="s">
        <v>704</v>
      </c>
      <c r="BF7" s="285" t="str">
        <f>BF23</f>
        <v>E.Romweber</v>
      </c>
      <c r="BG7" s="466">
        <f>BG23</f>
        <v>0</v>
      </c>
      <c r="BH7" s="466">
        <f t="shared" ref="BH7:BM7" si="22">BH23</f>
        <v>0</v>
      </c>
      <c r="BI7" s="466">
        <f t="shared" si="22"/>
        <v>0</v>
      </c>
      <c r="BJ7" s="466">
        <f t="shared" si="22"/>
        <v>0</v>
      </c>
      <c r="BK7" s="466">
        <f t="shared" si="22"/>
        <v>0</v>
      </c>
      <c r="BL7" s="466">
        <f t="shared" si="22"/>
        <v>0</v>
      </c>
      <c r="BM7" s="466">
        <f t="shared" si="22"/>
        <v>0</v>
      </c>
      <c r="BN7" s="469">
        <f>BN23</f>
        <v>1.1999999999999957E-2</v>
      </c>
      <c r="BO7" s="469">
        <f t="shared" ref="BO7:BQ7" si="23">BO23</f>
        <v>1.1999999999999957E-2</v>
      </c>
      <c r="BP7" s="469">
        <f t="shared" si="23"/>
        <v>4.5837500000000002</v>
      </c>
      <c r="BQ7" s="469">
        <f t="shared" si="23"/>
        <v>0</v>
      </c>
    </row>
    <row r="8" spans="1:76" s="289" customFormat="1" x14ac:dyDescent="0.25">
      <c r="A8" s="416" t="s">
        <v>447</v>
      </c>
      <c r="B8" s="416" t="s">
        <v>2</v>
      </c>
      <c r="C8" s="417">
        <f t="shared" ca="1" si="11"/>
        <v>2.1071428571428572</v>
      </c>
      <c r="D8" s="418" t="s">
        <v>309</v>
      </c>
      <c r="E8" s="419">
        <f>PLANTILLA!E9</f>
        <v>30</v>
      </c>
      <c r="F8" s="419">
        <f ca="1">PLANTILLA!F9</f>
        <v>100</v>
      </c>
      <c r="G8" s="420"/>
      <c r="H8" s="426">
        <v>5</v>
      </c>
      <c r="I8" s="335">
        <f>PLANTILLA!I9</f>
        <v>12.1</v>
      </c>
      <c r="J8" s="521">
        <f>PLANTILLA!V9</f>
        <v>0</v>
      </c>
      <c r="K8" s="521">
        <f>PLANTILLA!W9</f>
        <v>12.060000000000004</v>
      </c>
      <c r="L8" s="521">
        <f>PLANTILLA!X9</f>
        <v>13.020999999999999</v>
      </c>
      <c r="M8" s="521">
        <f>PLANTILLA!Y9</f>
        <v>9.7100000000000062</v>
      </c>
      <c r="N8" s="521">
        <f>PLANTILLA!Z9</f>
        <v>9.5299999999999994</v>
      </c>
      <c r="O8" s="521">
        <f>PLANTILLA!AA9</f>
        <v>3.6816666666666658</v>
      </c>
      <c r="P8" s="521">
        <f>PLANTILLA!AB9</f>
        <v>16.627777777777773</v>
      </c>
      <c r="Q8" s="445">
        <f t="shared" si="4"/>
        <v>30</v>
      </c>
      <c r="R8" s="446">
        <f t="shared" ca="1" si="5"/>
        <v>107</v>
      </c>
      <c r="S8" s="193"/>
      <c r="T8" s="193"/>
      <c r="U8" s="193"/>
      <c r="V8" s="193"/>
      <c r="W8" s="193"/>
      <c r="X8" s="193"/>
      <c r="Y8" s="193"/>
      <c r="Z8" s="193"/>
      <c r="AA8" s="323">
        <f t="shared" si="6"/>
        <v>12.1</v>
      </c>
      <c r="AB8" s="541">
        <f t="shared" si="20"/>
        <v>0</v>
      </c>
      <c r="AC8" s="541">
        <f>K8+(T$2/11)</f>
        <v>12.060000000000004</v>
      </c>
      <c r="AD8" s="541">
        <f>L8+(U$2/29)</f>
        <v>13.020999999999999</v>
      </c>
      <c r="AE8" s="541">
        <f>M8+(V$2/13)</f>
        <v>9.7100000000000062</v>
      </c>
      <c r="AF8" s="541">
        <f>N8+(W$2/8)</f>
        <v>9.5299999999999994</v>
      </c>
      <c r="AG8" s="541">
        <f>O8+(X$2/19)+(Y$2/6)</f>
        <v>3.6816666666666658</v>
      </c>
      <c r="AH8" s="541">
        <f>P8+(Z$2/2.5)+(Y$2/10)</f>
        <v>17.027777777777771</v>
      </c>
      <c r="AI8" s="458">
        <f t="shared" si="12"/>
        <v>0</v>
      </c>
      <c r="AJ8" s="458">
        <f t="shared" si="13"/>
        <v>0</v>
      </c>
      <c r="AK8" s="458">
        <f t="shared" si="14"/>
        <v>0</v>
      </c>
      <c r="AL8" s="458">
        <f t="shared" si="15"/>
        <v>0</v>
      </c>
      <c r="AM8" s="458">
        <f t="shared" si="16"/>
        <v>0</v>
      </c>
      <c r="AN8" s="458">
        <f t="shared" si="17"/>
        <v>0</v>
      </c>
      <c r="AO8" s="458">
        <f t="shared" si="18"/>
        <v>0.39999999999999858</v>
      </c>
      <c r="AQ8" s="564" t="s">
        <v>790</v>
      </c>
      <c r="AR8" s="331" t="str">
        <f>D11</f>
        <v>E.Romweber</v>
      </c>
      <c r="AS8" s="464">
        <f>AJ11*0.349</f>
        <v>0</v>
      </c>
      <c r="AT8" s="464">
        <v>0</v>
      </c>
      <c r="AU8" s="464">
        <f>AJ11*0.201</f>
        <v>0</v>
      </c>
      <c r="AV8" s="464">
        <f>AK11*0.455</f>
        <v>0</v>
      </c>
      <c r="AW8" s="464">
        <f>(AL11*0.864)+(AM11*0.244)</f>
        <v>0</v>
      </c>
      <c r="AX8" s="464">
        <v>0</v>
      </c>
      <c r="AY8" s="464">
        <f>(AM11*0.121)</f>
        <v>0</v>
      </c>
      <c r="AZ8" s="469">
        <f>(0.5*AN11+0.3*AO11)/10</f>
        <v>1.1999999999999957E-2</v>
      </c>
      <c r="BA8" s="469">
        <f>(0.4*AJ11+0.3*AO11)/10</f>
        <v>1.1999999999999957E-2</v>
      </c>
      <c r="BB8" s="467">
        <v>0</v>
      </c>
      <c r="BC8" s="467">
        <v>0</v>
      </c>
      <c r="BE8" s="564" t="s">
        <v>791</v>
      </c>
      <c r="BF8" s="331" t="str">
        <f>D12</f>
        <v>K. Helms</v>
      </c>
      <c r="BG8" s="466">
        <f>BG24</f>
        <v>0</v>
      </c>
      <c r="BH8" s="466">
        <f t="shared" ref="BH8:BQ8" si="24">BH24</f>
        <v>0</v>
      </c>
      <c r="BI8" s="466">
        <f t="shared" si="24"/>
        <v>0</v>
      </c>
      <c r="BJ8" s="466">
        <f t="shared" si="24"/>
        <v>0</v>
      </c>
      <c r="BK8" s="466">
        <f t="shared" si="24"/>
        <v>0</v>
      </c>
      <c r="BL8" s="466">
        <f t="shared" si="24"/>
        <v>0</v>
      </c>
      <c r="BM8" s="466">
        <f t="shared" si="24"/>
        <v>0</v>
      </c>
      <c r="BN8" s="469">
        <f t="shared" si="24"/>
        <v>1.1999999999999957E-2</v>
      </c>
      <c r="BO8" s="469">
        <f t="shared" si="24"/>
        <v>1.1999999999999957E-2</v>
      </c>
      <c r="BP8" s="469">
        <f t="shared" si="24"/>
        <v>0</v>
      </c>
      <c r="BQ8" s="469">
        <f t="shared" si="24"/>
        <v>0</v>
      </c>
    </row>
    <row r="9" spans="1:76" s="288" customFormat="1" x14ac:dyDescent="0.25">
      <c r="A9" s="416" t="s">
        <v>451</v>
      </c>
      <c r="B9" s="285" t="s">
        <v>2</v>
      </c>
      <c r="C9" s="286">
        <f t="shared" ca="1" si="11"/>
        <v>2.2410714285714284</v>
      </c>
      <c r="D9" s="321" t="s">
        <v>313</v>
      </c>
      <c r="E9" s="419">
        <f>PLANTILLA!E10</f>
        <v>30</v>
      </c>
      <c r="F9" s="419">
        <f ca="1">PLANTILLA!F10</f>
        <v>85</v>
      </c>
      <c r="G9" s="420"/>
      <c r="H9" s="401">
        <v>4</v>
      </c>
      <c r="I9" s="335">
        <f>PLANTILLA!I10</f>
        <v>9.1999999999999993</v>
      </c>
      <c r="J9" s="521">
        <f>PLANTILLA!V10</f>
        <v>0</v>
      </c>
      <c r="K9" s="521">
        <f>PLANTILLA!W10</f>
        <v>11.649999999999997</v>
      </c>
      <c r="L9" s="521">
        <f>PLANTILLA!X10</f>
        <v>6.6275000000000022</v>
      </c>
      <c r="M9" s="521">
        <f>PLANTILLA!Y10</f>
        <v>7.2200000000000015</v>
      </c>
      <c r="N9" s="521">
        <f>PLANTILLA!Z10</f>
        <v>9.0199999999999978</v>
      </c>
      <c r="O9" s="521">
        <f>PLANTILLA!AA10</f>
        <v>4.6199999999999966</v>
      </c>
      <c r="P9" s="521">
        <f>PLANTILLA!AB10</f>
        <v>15.6</v>
      </c>
      <c r="Q9" s="445">
        <f t="shared" si="4"/>
        <v>30</v>
      </c>
      <c r="R9" s="446">
        <f t="shared" ca="1" si="5"/>
        <v>92</v>
      </c>
      <c r="S9" s="193"/>
      <c r="T9" s="193"/>
      <c r="U9" s="193"/>
      <c r="V9" s="193"/>
      <c r="W9" s="193"/>
      <c r="X9" s="193"/>
      <c r="Y9" s="193"/>
      <c r="Z9" s="193"/>
      <c r="AA9" s="323">
        <f t="shared" si="6"/>
        <v>9.1999999999999993</v>
      </c>
      <c r="AB9" s="541">
        <f t="shared" si="20"/>
        <v>0</v>
      </c>
      <c r="AC9" s="541">
        <f>K9+(T$2/10)</f>
        <v>11.649999999999997</v>
      </c>
      <c r="AD9" s="541">
        <f>L9+(U$2/31)</f>
        <v>6.6275000000000022</v>
      </c>
      <c r="AE9" s="541">
        <f>M9+(V$2/6)</f>
        <v>7.2200000000000015</v>
      </c>
      <c r="AF9" s="541">
        <f>N9+(W$2/7)</f>
        <v>9.0199999999999978</v>
      </c>
      <c r="AG9" s="541">
        <f>O9+(X$2/21)+(Y$2/7)</f>
        <v>4.6199999999999966</v>
      </c>
      <c r="AH9" s="541">
        <f>P9+(Z$2/2)+(Y$2/10)</f>
        <v>16.100000000000001</v>
      </c>
      <c r="AI9" s="458">
        <f t="shared" si="12"/>
        <v>0</v>
      </c>
      <c r="AJ9" s="458">
        <f t="shared" si="13"/>
        <v>0</v>
      </c>
      <c r="AK9" s="458">
        <f t="shared" si="14"/>
        <v>0</v>
      </c>
      <c r="AL9" s="458">
        <f t="shared" si="15"/>
        <v>0</v>
      </c>
      <c r="AM9" s="458">
        <f t="shared" si="16"/>
        <v>0</v>
      </c>
      <c r="AN9" s="458">
        <f t="shared" si="17"/>
        <v>0</v>
      </c>
      <c r="AO9" s="458">
        <f t="shared" si="18"/>
        <v>0.50000000000000178</v>
      </c>
      <c r="AQ9" s="461" t="s">
        <v>596</v>
      </c>
      <c r="AR9" s="285" t="str">
        <f>D14</f>
        <v>S. Buscleman</v>
      </c>
      <c r="AS9" s="466">
        <f>AJ14*0.291</f>
        <v>0</v>
      </c>
      <c r="AT9" s="466">
        <v>0</v>
      </c>
      <c r="AU9" s="466">
        <f>AJ14*0.348</f>
        <v>0</v>
      </c>
      <c r="AV9" s="466">
        <f>AK14*0.881</f>
        <v>0</v>
      </c>
      <c r="AW9" s="466">
        <f>(AL14*0.574)+(AM14*0.315)</f>
        <v>0</v>
      </c>
      <c r="AX9" s="466">
        <v>0</v>
      </c>
      <c r="AY9" s="466">
        <f>AM14*0.241</f>
        <v>0</v>
      </c>
      <c r="AZ9" s="469">
        <f>(0.5*AN14+0.3*AO14)/10</f>
        <v>0.03</v>
      </c>
      <c r="BA9" s="469">
        <f>(0.4*AJ14+0.3*AO14)/10</f>
        <v>0.03</v>
      </c>
      <c r="BB9" s="469">
        <v>0</v>
      </c>
      <c r="BC9" s="469">
        <v>0</v>
      </c>
      <c r="BE9" s="461" t="s">
        <v>596</v>
      </c>
      <c r="BF9" s="285" t="str">
        <f>D14</f>
        <v>S. Buscleman</v>
      </c>
      <c r="BG9" s="466">
        <f t="shared" ref="BG9:BM9" si="25">AS9</f>
        <v>0</v>
      </c>
      <c r="BH9" s="466">
        <f t="shared" si="25"/>
        <v>0</v>
      </c>
      <c r="BI9" s="466">
        <f t="shared" si="25"/>
        <v>0</v>
      </c>
      <c r="BJ9" s="466">
        <f t="shared" si="25"/>
        <v>0</v>
      </c>
      <c r="BK9" s="466">
        <f t="shared" si="25"/>
        <v>0</v>
      </c>
      <c r="BL9" s="466">
        <f t="shared" si="25"/>
        <v>0</v>
      </c>
      <c r="BM9" s="466">
        <f t="shared" si="25"/>
        <v>0</v>
      </c>
      <c r="BN9" s="469">
        <f t="shared" ref="BN9" si="26">AZ9</f>
        <v>0.03</v>
      </c>
      <c r="BO9" s="469">
        <f>BA9</f>
        <v>0.03</v>
      </c>
      <c r="BP9" s="469">
        <f>BB9</f>
        <v>0</v>
      </c>
      <c r="BQ9" s="469">
        <f>BC9</f>
        <v>0</v>
      </c>
    </row>
    <row r="10" spans="1:76" s="4" customFormat="1" x14ac:dyDescent="0.25">
      <c r="A10" s="331" t="s">
        <v>703</v>
      </c>
      <c r="B10" s="285" t="s">
        <v>2</v>
      </c>
      <c r="C10" s="286">
        <f t="shared" ca="1" si="11"/>
        <v>6.0357142857142856</v>
      </c>
      <c r="D10" s="321" t="s">
        <v>702</v>
      </c>
      <c r="E10" s="419">
        <f>PLANTILLA!E11</f>
        <v>26</v>
      </c>
      <c r="F10" s="419">
        <f ca="1">PLANTILLA!F11</f>
        <v>108</v>
      </c>
      <c r="G10" s="420"/>
      <c r="H10" s="426">
        <v>5</v>
      </c>
      <c r="I10" s="335">
        <f>PLANTILLA!I11</f>
        <v>4.9000000000000004</v>
      </c>
      <c r="J10" s="521">
        <f>PLANTILLA!V11</f>
        <v>0</v>
      </c>
      <c r="K10" s="521">
        <f>PLANTILLA!W11</f>
        <v>9.5796666666666663</v>
      </c>
      <c r="L10" s="521">
        <f>PLANTILLA!X11</f>
        <v>7.7107222222222234</v>
      </c>
      <c r="M10" s="521">
        <f>PLANTILLA!Y11</f>
        <v>6.129999999999999</v>
      </c>
      <c r="N10" s="521">
        <f>PLANTILLA!Z11</f>
        <v>8.8633333333333315</v>
      </c>
      <c r="O10" s="521">
        <f>PLANTILLA!AA11</f>
        <v>3.2566666666666673</v>
      </c>
      <c r="P10" s="521">
        <f>PLANTILLA!AB11</f>
        <v>13.238888888888889</v>
      </c>
      <c r="Q10" s="445">
        <f t="shared" si="4"/>
        <v>26</v>
      </c>
      <c r="R10" s="446">
        <f t="shared" ca="1" si="5"/>
        <v>115</v>
      </c>
      <c r="S10" s="193"/>
      <c r="T10" s="193"/>
      <c r="U10" s="193"/>
      <c r="V10" s="193"/>
      <c r="W10" s="193"/>
      <c r="X10" s="193"/>
      <c r="Y10" s="193"/>
      <c r="Z10" s="193"/>
      <c r="AA10" s="323">
        <f t="shared" si="6"/>
        <v>4.9000000000000004</v>
      </c>
      <c r="AB10" s="541">
        <f t="shared" si="20"/>
        <v>0</v>
      </c>
      <c r="AC10" s="541">
        <f>K10+(T$2/25)</f>
        <v>9.5796666666666663</v>
      </c>
      <c r="AD10" s="541">
        <f>L10+(U$2/37)</f>
        <v>7.7107222222222234</v>
      </c>
      <c r="AE10" s="541">
        <f>M10+(V$2/20)</f>
        <v>6.129999999999999</v>
      </c>
      <c r="AF10" s="541">
        <f>N10+(W$2/8)</f>
        <v>8.8633333333333315</v>
      </c>
      <c r="AG10" s="541">
        <f>O10+(X$2/18)+(Y$2/5)</f>
        <v>3.2566666666666673</v>
      </c>
      <c r="AH10" s="541">
        <f>P10+(Z$2/1.2)+(Y$2/10)</f>
        <v>14.072222222222223</v>
      </c>
      <c r="AI10" s="458">
        <f t="shared" si="12"/>
        <v>0</v>
      </c>
      <c r="AJ10" s="458">
        <f t="shared" si="13"/>
        <v>0</v>
      </c>
      <c r="AK10" s="458">
        <f t="shared" si="14"/>
        <v>0</v>
      </c>
      <c r="AL10" s="458">
        <f t="shared" si="15"/>
        <v>0</v>
      </c>
      <c r="AM10" s="458">
        <f t="shared" si="16"/>
        <v>0</v>
      </c>
      <c r="AN10" s="458">
        <f t="shared" si="17"/>
        <v>0</v>
      </c>
      <c r="AO10" s="458">
        <f t="shared" si="18"/>
        <v>0.83333333333333393</v>
      </c>
      <c r="AQ10" s="461" t="s">
        <v>792</v>
      </c>
      <c r="AR10" s="285" t="str">
        <f>D17</f>
        <v>L. Bauman</v>
      </c>
      <c r="AS10" s="466">
        <f>AJ17*0.057</f>
        <v>0</v>
      </c>
      <c r="AT10" s="466">
        <f>AS10</f>
        <v>0</v>
      </c>
      <c r="AU10" s="466">
        <f>AJ17*0.162</f>
        <v>0</v>
      </c>
      <c r="AV10" s="466">
        <f>AK17*0.944</f>
        <v>0</v>
      </c>
      <c r="AW10" s="466">
        <f>AM17*0.188</f>
        <v>0</v>
      </c>
      <c r="AX10" s="466">
        <f>AW10</f>
        <v>0</v>
      </c>
      <c r="AY10" s="466">
        <f>AM17*0.507+AN17*0.31</f>
        <v>0</v>
      </c>
      <c r="AZ10" s="469">
        <f>(0.5*AN17+0.3*AO17)/10</f>
        <v>1.1999999999999957E-2</v>
      </c>
      <c r="BA10" s="469">
        <f>(0.4*AJ17+0.3*AO17)/10</f>
        <v>1.1999999999999957E-2</v>
      </c>
      <c r="BB10" s="469">
        <v>0</v>
      </c>
      <c r="BC10" s="469">
        <v>0</v>
      </c>
      <c r="BE10" s="461" t="s">
        <v>789</v>
      </c>
      <c r="BF10" s="285" t="str">
        <f>BF22</f>
        <v>B. Bartolache</v>
      </c>
      <c r="BG10" s="466">
        <f>BG22</f>
        <v>0</v>
      </c>
      <c r="BH10" s="466">
        <f t="shared" ref="BH10:BM10" si="27">BH22</f>
        <v>0</v>
      </c>
      <c r="BI10" s="466">
        <f t="shared" si="27"/>
        <v>0</v>
      </c>
      <c r="BJ10" s="466">
        <f t="shared" si="27"/>
        <v>0</v>
      </c>
      <c r="BK10" s="466">
        <f t="shared" si="27"/>
        <v>0</v>
      </c>
      <c r="BL10" s="466">
        <f t="shared" si="27"/>
        <v>0</v>
      </c>
      <c r="BM10" s="466">
        <f t="shared" si="27"/>
        <v>0</v>
      </c>
      <c r="BN10" s="469">
        <f>AZ7</f>
        <v>1.1999999999999957E-2</v>
      </c>
      <c r="BO10" s="469">
        <f>BA7</f>
        <v>1.1999999999999957E-2</v>
      </c>
      <c r="BP10" s="469">
        <f t="shared" ref="BP10:BQ10" si="28">BP22</f>
        <v>4.2650000000000006</v>
      </c>
      <c r="BQ10" s="469">
        <f t="shared" si="28"/>
        <v>0</v>
      </c>
    </row>
    <row r="11" spans="1:76" x14ac:dyDescent="0.25">
      <c r="A11" s="416" t="s">
        <v>445</v>
      </c>
      <c r="B11" s="416" t="s">
        <v>66</v>
      </c>
      <c r="C11" s="417">
        <f t="shared" ca="1" si="11"/>
        <v>2.4464285714285716</v>
      </c>
      <c r="D11" s="418" t="s">
        <v>310</v>
      </c>
      <c r="E11" s="419">
        <f>PLANTILLA!E12</f>
        <v>30</v>
      </c>
      <c r="F11" s="419">
        <f ca="1">PLANTILLA!F12</f>
        <v>62</v>
      </c>
      <c r="G11" s="420" t="s">
        <v>311</v>
      </c>
      <c r="H11" s="401">
        <v>1</v>
      </c>
      <c r="I11" s="335">
        <f>PLANTILLA!I12</f>
        <v>12.2</v>
      </c>
      <c r="J11" s="521">
        <f>PLANTILLA!V12</f>
        <v>0</v>
      </c>
      <c r="K11" s="521">
        <f>PLANTILLA!W12</f>
        <v>11.99</v>
      </c>
      <c r="L11" s="521">
        <f>PLANTILLA!X12</f>
        <v>12.399111111111115</v>
      </c>
      <c r="M11" s="521">
        <f>PLANTILLA!Y12</f>
        <v>13.05</v>
      </c>
      <c r="N11" s="521">
        <f>PLANTILLA!Z12</f>
        <v>10.84</v>
      </c>
      <c r="O11" s="521">
        <f>PLANTILLA!AA12</f>
        <v>7.7700000000000005</v>
      </c>
      <c r="P11" s="521">
        <f>PLANTILLA!AB12</f>
        <v>17.13</v>
      </c>
      <c r="Q11" s="445">
        <f t="shared" si="4"/>
        <v>30</v>
      </c>
      <c r="R11" s="446">
        <f t="shared" ca="1" si="5"/>
        <v>69</v>
      </c>
      <c r="S11" s="193"/>
      <c r="T11" s="193"/>
      <c r="U11" s="193"/>
      <c r="V11" s="193"/>
      <c r="W11" s="193"/>
      <c r="X11" s="193"/>
      <c r="Y11" s="193"/>
      <c r="Z11" s="193"/>
      <c r="AA11" s="323">
        <f t="shared" si="6"/>
        <v>12.2</v>
      </c>
      <c r="AB11" s="541">
        <f t="shared" si="20"/>
        <v>0</v>
      </c>
      <c r="AC11" s="541">
        <f>K11+(T$2/10)</f>
        <v>11.99</v>
      </c>
      <c r="AD11" s="541">
        <f>L11+(U$2/18)</f>
        <v>12.399111111111115</v>
      </c>
      <c r="AE11" s="541">
        <f>M11+(V$2/15)</f>
        <v>13.05</v>
      </c>
      <c r="AF11" s="541">
        <f>N11+(W$2/8)</f>
        <v>10.84</v>
      </c>
      <c r="AG11" s="541">
        <f>O11+(X$2/5)+(Y$2/4)/2</f>
        <v>7.7700000000000005</v>
      </c>
      <c r="AH11" s="541">
        <f>P11+(Z$2/2.5)+(Y$2/10)</f>
        <v>17.529999999999998</v>
      </c>
      <c r="AI11" s="458">
        <f t="shared" si="12"/>
        <v>0</v>
      </c>
      <c r="AJ11" s="458">
        <f t="shared" si="13"/>
        <v>0</v>
      </c>
      <c r="AK11" s="458">
        <f t="shared" si="14"/>
        <v>0</v>
      </c>
      <c r="AL11" s="458">
        <f t="shared" si="15"/>
        <v>0</v>
      </c>
      <c r="AM11" s="458">
        <f t="shared" si="16"/>
        <v>0</v>
      </c>
      <c r="AN11" s="458">
        <f t="shared" si="17"/>
        <v>0</v>
      </c>
      <c r="AO11" s="458">
        <f t="shared" si="18"/>
        <v>0.39999999999999858</v>
      </c>
      <c r="AQ11" s="461" t="s">
        <v>596</v>
      </c>
      <c r="AR11" s="285" t="str">
        <f>D15</f>
        <v>C. Rojas</v>
      </c>
      <c r="AS11" s="466">
        <v>0</v>
      </c>
      <c r="AT11" s="466">
        <f>AJ15*0.291</f>
        <v>0</v>
      </c>
      <c r="AU11" s="466">
        <f>AJ15*0.348</f>
        <v>0</v>
      </c>
      <c r="AV11" s="466">
        <f>AK15*0.881</f>
        <v>0</v>
      </c>
      <c r="AW11" s="466">
        <v>0</v>
      </c>
      <c r="AX11" s="466">
        <f>(AL15*0.574)+(AM15*0.314)</f>
        <v>0</v>
      </c>
      <c r="AY11" s="466">
        <f>AM15*0.241</f>
        <v>0</v>
      </c>
      <c r="AZ11" s="469">
        <f>(0.5*AN15+0.3*AO15)/10</f>
        <v>1.4999999999999999E-2</v>
      </c>
      <c r="BA11" s="469">
        <f>(0.4*AJ15+0.3*AO15)/10</f>
        <v>1.4999999999999999E-2</v>
      </c>
      <c r="BB11" s="469">
        <v>0</v>
      </c>
      <c r="BC11" s="469">
        <v>0</v>
      </c>
      <c r="BE11" s="461" t="s">
        <v>596</v>
      </c>
      <c r="BF11" s="285" t="str">
        <f>D15</f>
        <v>C. Rojas</v>
      </c>
      <c r="BG11" s="466">
        <f>BG26</f>
        <v>0</v>
      </c>
      <c r="BH11" s="466">
        <f t="shared" ref="BH11:BM11" si="29">BH26</f>
        <v>0</v>
      </c>
      <c r="BI11" s="466">
        <f t="shared" si="29"/>
        <v>0</v>
      </c>
      <c r="BJ11" s="466">
        <f t="shared" si="29"/>
        <v>0</v>
      </c>
      <c r="BK11" s="466">
        <f t="shared" si="29"/>
        <v>0</v>
      </c>
      <c r="BL11" s="466">
        <f t="shared" si="29"/>
        <v>0</v>
      </c>
      <c r="BM11" s="466">
        <f t="shared" si="29"/>
        <v>0</v>
      </c>
      <c r="BN11" s="469">
        <f>BN26</f>
        <v>1.4999999999999999E-2</v>
      </c>
      <c r="BO11" s="469">
        <f t="shared" ref="BO11:BQ11" si="30">BO26</f>
        <v>1.4999999999999999E-2</v>
      </c>
      <c r="BP11" s="469">
        <f t="shared" si="30"/>
        <v>0</v>
      </c>
      <c r="BQ11" s="469">
        <f t="shared" si="30"/>
        <v>0</v>
      </c>
    </row>
    <row r="12" spans="1:76" s="288" customFormat="1" x14ac:dyDescent="0.25">
      <c r="A12" s="416" t="s">
        <v>452</v>
      </c>
      <c r="B12" s="416" t="s">
        <v>66</v>
      </c>
      <c r="C12" s="417">
        <f t="shared" ca="1" si="11"/>
        <v>2.9196428571428572</v>
      </c>
      <c r="D12" s="418" t="s">
        <v>338</v>
      </c>
      <c r="E12" s="419">
        <f>PLANTILLA!E13</f>
        <v>30</v>
      </c>
      <c r="F12" s="419">
        <f ca="1">PLANTILLA!F13</f>
        <v>9</v>
      </c>
      <c r="G12" s="420" t="s">
        <v>308</v>
      </c>
      <c r="H12" s="401">
        <v>3</v>
      </c>
      <c r="I12" s="335">
        <f>PLANTILLA!I13</f>
        <v>10.199999999999999</v>
      </c>
      <c r="J12" s="521">
        <f>PLANTILLA!V13</f>
        <v>0</v>
      </c>
      <c r="K12" s="521">
        <f>PLANTILLA!W13</f>
        <v>7.11</v>
      </c>
      <c r="L12" s="521">
        <f>PLANTILLA!X13</f>
        <v>10.250000000000004</v>
      </c>
      <c r="M12" s="521">
        <f>PLANTILLA!Y13</f>
        <v>13.305</v>
      </c>
      <c r="N12" s="521">
        <f>PLANTILLA!Z13</f>
        <v>10.289999999999997</v>
      </c>
      <c r="O12" s="521">
        <f>PLANTILLA!AA13</f>
        <v>5.4050000000000002</v>
      </c>
      <c r="P12" s="521">
        <f>PLANTILLA!AB13</f>
        <v>17.300000000000004</v>
      </c>
      <c r="Q12" s="445">
        <f t="shared" si="4"/>
        <v>30</v>
      </c>
      <c r="R12" s="446">
        <f t="shared" ca="1" si="5"/>
        <v>16</v>
      </c>
      <c r="S12" s="193"/>
      <c r="T12" s="193"/>
      <c r="U12" s="193"/>
      <c r="V12" s="193"/>
      <c r="W12" s="193"/>
      <c r="X12" s="193"/>
      <c r="Y12" s="193"/>
      <c r="Z12" s="193"/>
      <c r="AA12" s="323">
        <f t="shared" si="6"/>
        <v>10.199999999999999</v>
      </c>
      <c r="AB12" s="541">
        <f t="shared" si="20"/>
        <v>0</v>
      </c>
      <c r="AC12" s="541">
        <f>K12+(T$2/7)</f>
        <v>7.11</v>
      </c>
      <c r="AD12" s="541">
        <f>L12+(U$2/7)</f>
        <v>10.250000000000004</v>
      </c>
      <c r="AE12" s="541">
        <f>M12+(V$2/8)</f>
        <v>13.305</v>
      </c>
      <c r="AF12" s="541">
        <f>N12+(W$2/8)</f>
        <v>10.289999999999997</v>
      </c>
      <c r="AG12" s="541">
        <f>O12+(X$2/4)+(Y$2/6)</f>
        <v>5.4050000000000002</v>
      </c>
      <c r="AH12" s="541">
        <f>P12+(Z$2/2.5)+(Y$2/10)</f>
        <v>17.700000000000003</v>
      </c>
      <c r="AI12" s="458">
        <f t="shared" si="12"/>
        <v>0</v>
      </c>
      <c r="AJ12" s="458">
        <f t="shared" si="13"/>
        <v>0</v>
      </c>
      <c r="AK12" s="458">
        <f t="shared" si="14"/>
        <v>0</v>
      </c>
      <c r="AL12" s="458">
        <f t="shared" si="15"/>
        <v>0</v>
      </c>
      <c r="AM12" s="458">
        <f t="shared" si="16"/>
        <v>0</v>
      </c>
      <c r="AN12" s="458">
        <f t="shared" si="17"/>
        <v>0</v>
      </c>
      <c r="AO12" s="458">
        <f t="shared" si="18"/>
        <v>0.39999999999999858</v>
      </c>
      <c r="AQ12" s="565" t="s">
        <v>791</v>
      </c>
      <c r="AR12" s="285" t="str">
        <f>D12</f>
        <v>K. Helms</v>
      </c>
      <c r="AS12" s="466">
        <v>0</v>
      </c>
      <c r="AT12" s="466">
        <f>AJ12*0.18</f>
        <v>0</v>
      </c>
      <c r="AU12" s="466">
        <f>AJ12*0.068</f>
        <v>0</v>
      </c>
      <c r="AV12" s="466">
        <f>AK12*0.305</f>
        <v>0</v>
      </c>
      <c r="AW12" s="466">
        <v>0</v>
      </c>
      <c r="AX12" s="466">
        <f>(AL12*1)+(AM12*0.286)</f>
        <v>0</v>
      </c>
      <c r="AY12" s="466">
        <f>AM12*0.135</f>
        <v>0</v>
      </c>
      <c r="AZ12" s="469">
        <f>(0.5*AN12+0.3*AO12)/10</f>
        <v>1.1999999999999957E-2</v>
      </c>
      <c r="BA12" s="469">
        <f>(0.4*AJ12+0.3*AO12)/10</f>
        <v>1.1999999999999957E-2</v>
      </c>
      <c r="BB12" s="469">
        <v>0</v>
      </c>
      <c r="BC12" s="469">
        <v>0</v>
      </c>
      <c r="BE12" s="565" t="s">
        <v>791</v>
      </c>
      <c r="BF12" s="285" t="str">
        <f>BF27</f>
        <v>S. Zobbe</v>
      </c>
      <c r="BG12" s="466">
        <f>BG27</f>
        <v>0</v>
      </c>
      <c r="BH12" s="466">
        <f t="shared" ref="BH12:BM12" si="31">BH27</f>
        <v>0</v>
      </c>
      <c r="BI12" s="466">
        <f t="shared" si="31"/>
        <v>0</v>
      </c>
      <c r="BJ12" s="466">
        <f t="shared" si="31"/>
        <v>0</v>
      </c>
      <c r="BK12" s="466">
        <f t="shared" si="31"/>
        <v>0</v>
      </c>
      <c r="BL12" s="466">
        <f t="shared" si="31"/>
        <v>0</v>
      </c>
      <c r="BM12" s="466">
        <f t="shared" si="31"/>
        <v>0</v>
      </c>
      <c r="BN12" s="469">
        <f>BN27</f>
        <v>1.4999999999999999E-2</v>
      </c>
      <c r="BO12" s="469">
        <f t="shared" ref="BO12:BQ12" si="32">BO27</f>
        <v>1.4999999999999999E-2</v>
      </c>
      <c r="BP12" s="469">
        <f t="shared" si="32"/>
        <v>0</v>
      </c>
      <c r="BQ12" s="469">
        <f t="shared" si="32"/>
        <v>0</v>
      </c>
    </row>
    <row r="13" spans="1:76" s="289" customFormat="1" x14ac:dyDescent="0.25">
      <c r="A13" s="416" t="s">
        <v>599</v>
      </c>
      <c r="B13" s="416" t="s">
        <v>66</v>
      </c>
      <c r="C13" s="417">
        <f t="shared" ca="1" si="11"/>
        <v>5.7857142857142856</v>
      </c>
      <c r="D13" s="418" t="s">
        <v>600</v>
      </c>
      <c r="E13" s="419">
        <f>PLANTILLA!E14</f>
        <v>27</v>
      </c>
      <c r="F13" s="419">
        <f ca="1">PLANTILLA!F14</f>
        <v>24</v>
      </c>
      <c r="G13" s="420" t="s">
        <v>595</v>
      </c>
      <c r="H13" s="401">
        <v>3</v>
      </c>
      <c r="I13" s="335">
        <f>PLANTILLA!I14</f>
        <v>8.6</v>
      </c>
      <c r="J13" s="521">
        <f>PLANTILLA!V14</f>
        <v>0</v>
      </c>
      <c r="K13" s="521">
        <f>PLANTILLA!W14</f>
        <v>8.1199999999999992</v>
      </c>
      <c r="L13" s="521">
        <f>PLANTILLA!X14</f>
        <v>11.958412698412697</v>
      </c>
      <c r="M13" s="521">
        <f>PLANTILLA!Y14</f>
        <v>12.13</v>
      </c>
      <c r="N13" s="521">
        <f>PLANTILLA!Z14</f>
        <v>10.24</v>
      </c>
      <c r="O13" s="521">
        <f>PLANTILLA!AA14</f>
        <v>7.4766666666666666</v>
      </c>
      <c r="P13" s="521">
        <f>PLANTILLA!AB14</f>
        <v>15.270000000000001</v>
      </c>
      <c r="Q13" s="445">
        <f t="shared" si="4"/>
        <v>27</v>
      </c>
      <c r="R13" s="446">
        <f t="shared" ca="1" si="5"/>
        <v>31</v>
      </c>
      <c r="S13" s="193"/>
      <c r="T13" s="193"/>
      <c r="U13" s="193"/>
      <c r="V13" s="193"/>
      <c r="W13" s="193"/>
      <c r="X13" s="193"/>
      <c r="Y13" s="193"/>
      <c r="Z13" s="193"/>
      <c r="AA13" s="323">
        <f t="shared" si="6"/>
        <v>8.6</v>
      </c>
      <c r="AB13" s="541">
        <f t="shared" si="20"/>
        <v>0</v>
      </c>
      <c r="AC13" s="541">
        <f>K13+(T$2/6.5)</f>
        <v>8.1199999999999992</v>
      </c>
      <c r="AD13" s="541">
        <f>L13+(U$2/8)</f>
        <v>11.958412698412697</v>
      </c>
      <c r="AE13" s="541">
        <f>M13+(V$2/6)</f>
        <v>12.13</v>
      </c>
      <c r="AF13" s="541">
        <f>N13+(W$2/8)</f>
        <v>10.24</v>
      </c>
      <c r="AG13" s="541">
        <f>O13+(X$2/4.5)+(Y$2/3.5)/2</f>
        <v>7.4766666666666666</v>
      </c>
      <c r="AH13" s="541">
        <f>P13+(Z$2/2)+(Y$2/10)</f>
        <v>15.770000000000001</v>
      </c>
      <c r="AI13" s="458">
        <f t="shared" si="12"/>
        <v>0</v>
      </c>
      <c r="AJ13" s="458">
        <f t="shared" si="13"/>
        <v>0</v>
      </c>
      <c r="AK13" s="458">
        <f t="shared" si="14"/>
        <v>0</v>
      </c>
      <c r="AL13" s="458">
        <f t="shared" si="15"/>
        <v>0</v>
      </c>
      <c r="AM13" s="458">
        <f t="shared" si="16"/>
        <v>0</v>
      </c>
      <c r="AN13" s="458">
        <f t="shared" si="17"/>
        <v>0</v>
      </c>
      <c r="AO13" s="458">
        <f t="shared" si="18"/>
        <v>0.5</v>
      </c>
      <c r="AQ13" s="564" t="s">
        <v>67</v>
      </c>
      <c r="AR13" s="331" t="str">
        <f>D21</f>
        <v>J. Limon</v>
      </c>
      <c r="AS13" s="464">
        <v>0</v>
      </c>
      <c r="AT13" s="464">
        <v>0</v>
      </c>
      <c r="AU13" s="464">
        <v>0</v>
      </c>
      <c r="AV13" s="464">
        <f>AK21*0.25</f>
        <v>0</v>
      </c>
      <c r="AW13" s="464">
        <f>(AM21*0.142)+(AL21*0.221)+(AN21*0.26)</f>
        <v>0</v>
      </c>
      <c r="AX13" s="464">
        <f>AW13</f>
        <v>0</v>
      </c>
      <c r="AY13" s="464">
        <f>(AM21*0.369)+(AN21*1)</f>
        <v>0</v>
      </c>
      <c r="AZ13" s="589">
        <f>((0.5*AN21+0.3*AO21)/10)+0.09*AO21</f>
        <v>0.06</v>
      </c>
      <c r="BA13" s="589">
        <f>(0.4*AJ21+0.3*AO21)/10</f>
        <v>1.4999999999999999E-2</v>
      </c>
      <c r="BB13" s="467">
        <v>0</v>
      </c>
      <c r="BC13" s="467">
        <v>0</v>
      </c>
      <c r="BE13" s="564" t="s">
        <v>788</v>
      </c>
      <c r="BF13" s="331" t="str">
        <f>D21</f>
        <v>J. Limon</v>
      </c>
      <c r="BG13" s="464">
        <v>0</v>
      </c>
      <c r="BH13" s="464">
        <v>0</v>
      </c>
      <c r="BI13" s="464">
        <v>0</v>
      </c>
      <c r="BJ13" s="464">
        <f>AK21*0.25</f>
        <v>0</v>
      </c>
      <c r="BK13" s="464">
        <f>(AM21*0.209)+(AL21*0.607)+(AN21*0.524)</f>
        <v>0</v>
      </c>
      <c r="BL13" s="464">
        <v>0</v>
      </c>
      <c r="BM13" s="464">
        <f>(AM21*0.261)+(AN21*0.607)</f>
        <v>0</v>
      </c>
      <c r="BN13" s="590">
        <f>AZ13</f>
        <v>0.06</v>
      </c>
      <c r="BO13" s="590">
        <f>BA13</f>
        <v>1.4999999999999999E-2</v>
      </c>
      <c r="BP13" s="467">
        <v>0</v>
      </c>
      <c r="BQ13" s="467">
        <v>0</v>
      </c>
    </row>
    <row r="14" spans="1:76" s="288" customFormat="1" x14ac:dyDescent="0.25">
      <c r="A14" s="416" t="s">
        <v>448</v>
      </c>
      <c r="B14" s="285" t="s">
        <v>65</v>
      </c>
      <c r="C14" s="286">
        <f t="shared" ca="1" si="11"/>
        <v>3.8125</v>
      </c>
      <c r="D14" s="321" t="s">
        <v>455</v>
      </c>
      <c r="E14" s="419">
        <f>PLANTILLA!E15</f>
        <v>29</v>
      </c>
      <c r="F14" s="419">
        <f ca="1">PLANTILLA!F15</f>
        <v>21</v>
      </c>
      <c r="G14" s="420" t="s">
        <v>308</v>
      </c>
      <c r="H14" s="401">
        <v>4</v>
      </c>
      <c r="I14" s="335">
        <f>PLANTILLA!I15</f>
        <v>10.4</v>
      </c>
      <c r="J14" s="521">
        <f>PLANTILLA!V15</f>
        <v>0</v>
      </c>
      <c r="K14" s="521">
        <f>PLANTILLA!W15</f>
        <v>9.0936666666666657</v>
      </c>
      <c r="L14" s="521">
        <f>PLANTILLA!X15</f>
        <v>13.499999999999998</v>
      </c>
      <c r="M14" s="521">
        <f>PLANTILLA!Y15</f>
        <v>12.725000000000001</v>
      </c>
      <c r="N14" s="521">
        <f>PLANTILLA!Z15</f>
        <v>9.6033333333333353</v>
      </c>
      <c r="O14" s="521">
        <f>PLANTILLA!AA15</f>
        <v>5.0296666666666656</v>
      </c>
      <c r="P14" s="521">
        <f>PLANTILLA!AB15</f>
        <v>15.2</v>
      </c>
      <c r="Q14" s="445">
        <f t="shared" si="4"/>
        <v>29</v>
      </c>
      <c r="R14" s="446">
        <f t="shared" ca="1" si="5"/>
        <v>28</v>
      </c>
      <c r="S14" s="193"/>
      <c r="T14" s="193"/>
      <c r="U14" s="193"/>
      <c r="V14" s="193"/>
      <c r="W14" s="193"/>
      <c r="X14" s="193"/>
      <c r="Y14" s="193"/>
      <c r="Z14" s="193"/>
      <c r="AA14" s="323">
        <f t="shared" si="6"/>
        <v>10.4</v>
      </c>
      <c r="AB14" s="541">
        <f t="shared" si="20"/>
        <v>0</v>
      </c>
      <c r="AC14" s="541">
        <f>K14+(T$2/50)</f>
        <v>9.0936666666666657</v>
      </c>
      <c r="AD14" s="541">
        <f>L14+(U$2/10)</f>
        <v>13.499999999999998</v>
      </c>
      <c r="AE14" s="541">
        <f>M14+(V$2/15)</f>
        <v>12.725000000000001</v>
      </c>
      <c r="AF14" s="541">
        <f>N14+(W$2/7.5)</f>
        <v>9.6033333333333353</v>
      </c>
      <c r="AG14" s="541">
        <f>O14+(X$2/3.5)+(Y$2/6)</f>
        <v>5.0296666666666656</v>
      </c>
      <c r="AH14" s="541">
        <f>P14+(Z$2/1)+(Y$2/10)</f>
        <v>16.2</v>
      </c>
      <c r="AI14" s="458">
        <f t="shared" si="12"/>
        <v>0</v>
      </c>
      <c r="AJ14" s="458">
        <f t="shared" si="13"/>
        <v>0</v>
      </c>
      <c r="AK14" s="458">
        <f t="shared" si="14"/>
        <v>0</v>
      </c>
      <c r="AL14" s="458">
        <f t="shared" si="15"/>
        <v>0</v>
      </c>
      <c r="AM14" s="458">
        <f t="shared" si="16"/>
        <v>0</v>
      </c>
      <c r="AN14" s="458">
        <f t="shared" si="17"/>
        <v>0</v>
      </c>
      <c r="AO14" s="458">
        <f t="shared" si="18"/>
        <v>1</v>
      </c>
      <c r="AQ14" s="565" t="s">
        <v>67</v>
      </c>
      <c r="AR14" s="285" t="str">
        <f>D13</f>
        <v>S. Zobbe</v>
      </c>
      <c r="AS14" s="466">
        <v>0</v>
      </c>
      <c r="AT14" s="466">
        <v>0</v>
      </c>
      <c r="AU14" s="466">
        <v>0</v>
      </c>
      <c r="AV14" s="464">
        <f>AK13*0.25</f>
        <v>0</v>
      </c>
      <c r="AW14" s="464">
        <f>(AM13*0.142)+(AL13*0.221)+(AN13*0.26)</f>
        <v>0</v>
      </c>
      <c r="AX14" s="464">
        <f>AW14</f>
        <v>0</v>
      </c>
      <c r="AY14" s="464">
        <f>(AM13*0.369)+(AN13*1)</f>
        <v>0</v>
      </c>
      <c r="AZ14" s="469">
        <f>(0.5*AN13+0.3*AO13)/10</f>
        <v>1.4999999999999999E-2</v>
      </c>
      <c r="BA14" s="469">
        <f>(0.4*AJ13+0.3*AO13)/10</f>
        <v>1.4999999999999999E-2</v>
      </c>
      <c r="BB14" s="467">
        <v>0</v>
      </c>
      <c r="BC14" s="467">
        <v>0</v>
      </c>
      <c r="BE14" s="565" t="s">
        <v>788</v>
      </c>
      <c r="BF14" s="285" t="s">
        <v>865</v>
      </c>
      <c r="BG14" s="466">
        <v>0</v>
      </c>
      <c r="BH14" s="466">
        <v>0</v>
      </c>
      <c r="BI14" s="466">
        <v>0</v>
      </c>
      <c r="BJ14" s="464">
        <f>AK23*0.25</f>
        <v>0</v>
      </c>
      <c r="BK14" s="464">
        <v>0</v>
      </c>
      <c r="BL14" s="464">
        <f>(AM23*0.209)+(AL23*0.607)+(AN23*0.524)</f>
        <v>0</v>
      </c>
      <c r="BM14" s="464">
        <f>(AM23*0.261)+(AN23*0.607)</f>
        <v>0</v>
      </c>
      <c r="BN14" s="467">
        <f>AZ20</f>
        <v>1.9999999999999983E-2</v>
      </c>
      <c r="BO14" s="467">
        <f>BA20</f>
        <v>1.9999999999999983E-2</v>
      </c>
      <c r="BP14" s="467">
        <v>0</v>
      </c>
      <c r="BQ14" s="467">
        <v>0</v>
      </c>
    </row>
    <row r="15" spans="1:76" s="272" customFormat="1" x14ac:dyDescent="0.25">
      <c r="A15" s="332" t="s">
        <v>449</v>
      </c>
      <c r="B15" s="416" t="s">
        <v>65</v>
      </c>
      <c r="C15" s="417">
        <f t="shared" ca="1" si="11"/>
        <v>1.5089285714285714</v>
      </c>
      <c r="D15" s="418" t="s">
        <v>325</v>
      </c>
      <c r="E15" s="419">
        <f>PLANTILLA!E16</f>
        <v>31</v>
      </c>
      <c r="F15" s="419">
        <f ca="1">PLANTILLA!F16</f>
        <v>55</v>
      </c>
      <c r="G15" s="420" t="s">
        <v>308</v>
      </c>
      <c r="H15" s="426">
        <v>5</v>
      </c>
      <c r="I15" s="335">
        <f>PLANTILLA!I16</f>
        <v>10.9</v>
      </c>
      <c r="J15" s="521">
        <f>PLANTILLA!V16</f>
        <v>0</v>
      </c>
      <c r="K15" s="521">
        <f>PLANTILLA!W16</f>
        <v>8.6075555555555585</v>
      </c>
      <c r="L15" s="521">
        <f>PLANTILLA!X16</f>
        <v>14.09516031746031</v>
      </c>
      <c r="M15" s="521">
        <f>PLANTILLA!Y16</f>
        <v>10.049999999999995</v>
      </c>
      <c r="N15" s="521">
        <f>PLANTILLA!Z16</f>
        <v>10.029999999999999</v>
      </c>
      <c r="O15" s="521">
        <f>PLANTILLA!AA16</f>
        <v>4.3999999999999995</v>
      </c>
      <c r="P15" s="521">
        <f>PLANTILLA!AB16</f>
        <v>16.544444444444441</v>
      </c>
      <c r="Q15" s="445">
        <f t="shared" si="4"/>
        <v>31</v>
      </c>
      <c r="R15" s="446">
        <f t="shared" ca="1" si="5"/>
        <v>62</v>
      </c>
      <c r="S15" s="193"/>
      <c r="T15" s="193"/>
      <c r="U15" s="193"/>
      <c r="V15" s="193"/>
      <c r="W15" s="193"/>
      <c r="X15" s="193"/>
      <c r="Y15" s="193"/>
      <c r="Z15" s="193"/>
      <c r="AA15" s="323">
        <f t="shared" si="6"/>
        <v>10.9</v>
      </c>
      <c r="AB15" s="541">
        <f t="shared" si="20"/>
        <v>0</v>
      </c>
      <c r="AC15" s="541">
        <f>K15+(T$2/50)</f>
        <v>8.6075555555555585</v>
      </c>
      <c r="AD15" s="541">
        <f>L15+(U$2/11)</f>
        <v>14.09516031746031</v>
      </c>
      <c r="AE15" s="541">
        <f>M15+(V$2/15)</f>
        <v>10.049999999999995</v>
      </c>
      <c r="AF15" s="541">
        <f>N15+(W$2/8)</f>
        <v>10.029999999999999</v>
      </c>
      <c r="AG15" s="541">
        <f>O15+(X$2/22)+(Y$2/7)</f>
        <v>4.3999999999999995</v>
      </c>
      <c r="AH15" s="541">
        <f>P15+(Z$2/2)+(Y$2/10)</f>
        <v>17.044444444444441</v>
      </c>
      <c r="AI15" s="458">
        <f t="shared" si="12"/>
        <v>0</v>
      </c>
      <c r="AJ15" s="458">
        <f t="shared" si="13"/>
        <v>0</v>
      </c>
      <c r="AK15" s="458">
        <f t="shared" si="14"/>
        <v>0</v>
      </c>
      <c r="AL15" s="458">
        <f t="shared" si="15"/>
        <v>0</v>
      </c>
      <c r="AM15" s="458">
        <f t="shared" si="16"/>
        <v>0</v>
      </c>
      <c r="AN15" s="458">
        <f t="shared" si="17"/>
        <v>0</v>
      </c>
      <c r="AO15" s="458">
        <f t="shared" si="18"/>
        <v>0.5</v>
      </c>
      <c r="AQ15" s="462"/>
      <c r="AR15" s="463"/>
      <c r="AS15" s="463"/>
      <c r="AT15" s="463"/>
      <c r="AU15" s="463"/>
      <c r="AV15" s="463"/>
      <c r="AW15" s="463"/>
      <c r="AX15" s="463"/>
      <c r="AY15" s="463"/>
      <c r="AZ15" s="463"/>
      <c r="BA15" s="463"/>
      <c r="BB15" s="463"/>
      <c r="BC15" s="463"/>
      <c r="BE15"/>
      <c r="BF15"/>
      <c r="BG15"/>
      <c r="BH15"/>
      <c r="BI15"/>
      <c r="BJ15"/>
      <c r="BK15"/>
      <c r="BL15"/>
      <c r="BM15"/>
      <c r="BN15"/>
      <c r="BO15"/>
      <c r="BP15"/>
      <c r="BQ15"/>
    </row>
    <row r="16" spans="1:76" s="289" customFormat="1" x14ac:dyDescent="0.25">
      <c r="A16" s="416" t="s">
        <v>446</v>
      </c>
      <c r="B16" s="416" t="s">
        <v>65</v>
      </c>
      <c r="C16" s="417">
        <f t="shared" ca="1" si="11"/>
        <v>2.5625</v>
      </c>
      <c r="D16" s="418" t="s">
        <v>312</v>
      </c>
      <c r="E16" s="419">
        <f>PLANTILLA!E17</f>
        <v>30</v>
      </c>
      <c r="F16" s="419">
        <f ca="1">PLANTILLA!F17</f>
        <v>49</v>
      </c>
      <c r="G16" s="420"/>
      <c r="H16" s="401">
        <v>4</v>
      </c>
      <c r="I16" s="335">
        <f>PLANTILLA!I17</f>
        <v>9</v>
      </c>
      <c r="J16" s="521">
        <f>PLANTILLA!V17</f>
        <v>0</v>
      </c>
      <c r="K16" s="521">
        <f>PLANTILLA!W17</f>
        <v>10.149999999999997</v>
      </c>
      <c r="L16" s="521">
        <f>PLANTILLA!X17</f>
        <v>12.749777777777778</v>
      </c>
      <c r="M16" s="521">
        <f>PLANTILLA!Y17</f>
        <v>5.1199999999999983</v>
      </c>
      <c r="N16" s="521">
        <f>PLANTILLA!Z17</f>
        <v>9.17</v>
      </c>
      <c r="O16" s="521">
        <f>PLANTILLA!AA17</f>
        <v>2.98</v>
      </c>
      <c r="P16" s="521">
        <f>PLANTILLA!AB17</f>
        <v>16.959999999999997</v>
      </c>
      <c r="Q16" s="445">
        <f t="shared" si="4"/>
        <v>30</v>
      </c>
      <c r="R16" s="446">
        <f t="shared" ca="1" si="5"/>
        <v>56</v>
      </c>
      <c r="S16" s="193"/>
      <c r="T16" s="193"/>
      <c r="U16" s="193"/>
      <c r="V16" s="193"/>
      <c r="W16" s="193"/>
      <c r="X16" s="193"/>
      <c r="Y16" s="193"/>
      <c r="Z16" s="193"/>
      <c r="AA16" s="323">
        <f t="shared" si="6"/>
        <v>9</v>
      </c>
      <c r="AB16" s="541">
        <f t="shared" si="20"/>
        <v>0</v>
      </c>
      <c r="AC16" s="541">
        <f>K16+(T$2/7)</f>
        <v>10.149999999999997</v>
      </c>
      <c r="AD16" s="541">
        <f>L16+(U$2/11)</f>
        <v>12.749777777777778</v>
      </c>
      <c r="AE16" s="541">
        <f>M16+(V$2/19)</f>
        <v>5.1199999999999983</v>
      </c>
      <c r="AF16" s="541">
        <f>N16+(W$2/7)</f>
        <v>9.17</v>
      </c>
      <c r="AG16" s="541">
        <f>O16+(X$2/16)+(Y$2/5)</f>
        <v>2.98</v>
      </c>
      <c r="AH16" s="541">
        <f>P16+(Z$2/2.5)+(Y$2/10)</f>
        <v>17.359999999999996</v>
      </c>
      <c r="AI16" s="458">
        <f t="shared" si="12"/>
        <v>0</v>
      </c>
      <c r="AJ16" s="458">
        <f t="shared" si="13"/>
        <v>0</v>
      </c>
      <c r="AK16" s="458">
        <f t="shared" si="14"/>
        <v>0</v>
      </c>
      <c r="AL16" s="458">
        <f t="shared" si="15"/>
        <v>0</v>
      </c>
      <c r="AM16" s="458">
        <f t="shared" si="16"/>
        <v>0</v>
      </c>
      <c r="AN16" s="458">
        <f t="shared" si="17"/>
        <v>0</v>
      </c>
      <c r="AO16" s="458">
        <f t="shared" si="18"/>
        <v>0.39999999999999858</v>
      </c>
      <c r="AQ16" s="267"/>
      <c r="AR16" s="267"/>
      <c r="AS16" s="470">
        <f>SUM(AS18:AS28)*$BV$3</f>
        <v>0</v>
      </c>
      <c r="AT16" s="470">
        <f>SUM(AT18:AT28)*$BV$3</f>
        <v>0</v>
      </c>
      <c r="AU16" s="470">
        <f>SUM(AU18:AU28)*$BV$2</f>
        <v>0</v>
      </c>
      <c r="AV16" s="470">
        <f>SUM(AV18:AV28)*$BV$4</f>
        <v>0</v>
      </c>
      <c r="AW16" s="470">
        <f>SUM(AW18:AW28)*$BV$5</f>
        <v>0</v>
      </c>
      <c r="AX16" s="470">
        <f>SUM(AX18:AX28)*$BV$5</f>
        <v>0</v>
      </c>
      <c r="AY16" s="470">
        <f>SUM(AY18:AY28)*$BV$6</f>
        <v>0</v>
      </c>
      <c r="AZ16" s="471">
        <f>SUM(AZ18:AZ28)</f>
        <v>0.23599999999999988</v>
      </c>
      <c r="BA16" s="471">
        <f>SUM(BA18:BA28)</f>
        <v>0.24099999999999988</v>
      </c>
      <c r="BB16" s="471">
        <f t="shared" ref="BB16:BC16" si="33">SUM(BB18:BB28)</f>
        <v>12.55</v>
      </c>
      <c r="BC16" s="471">
        <f t="shared" si="33"/>
        <v>0</v>
      </c>
      <c r="BE16" s="267"/>
      <c r="BF16" s="267"/>
      <c r="BG16" s="470">
        <f>SUM(BG18:BG28)*$BV$3</f>
        <v>0</v>
      </c>
      <c r="BH16" s="470">
        <f>SUM(BH18:BH28)*$BV$3</f>
        <v>0</v>
      </c>
      <c r="BI16" s="470">
        <f>SUM(BI18:BI28)*$BV$2</f>
        <v>0</v>
      </c>
      <c r="BJ16" s="470">
        <f>SUM(BJ18:BJ28)*$BV$4</f>
        <v>0</v>
      </c>
      <c r="BK16" s="470">
        <f>SUM(BK18:BK28)*$BV$5</f>
        <v>0</v>
      </c>
      <c r="BL16" s="470">
        <f>SUM(BL18:BL28)*$BV$5</f>
        <v>0</v>
      </c>
      <c r="BM16" s="470">
        <f>SUM(BM18:BM28)*$BV$6</f>
        <v>0</v>
      </c>
      <c r="BN16" s="471">
        <f>SUM(BN18:BN28)</f>
        <v>0.20999999999999985</v>
      </c>
      <c r="BO16" s="471">
        <f>SUM(BO18:BO28)</f>
        <v>0.21499999999999986</v>
      </c>
      <c r="BP16" s="471">
        <f t="shared" ref="BP16:BQ16" si="34">SUM(BP18:BP28)</f>
        <v>20.953194444444449</v>
      </c>
      <c r="BQ16" s="471">
        <f t="shared" si="34"/>
        <v>0</v>
      </c>
    </row>
    <row r="17" spans="1:69" s="272" customFormat="1" x14ac:dyDescent="0.25">
      <c r="A17" s="332" t="s">
        <v>450</v>
      </c>
      <c r="B17" s="285" t="s">
        <v>65</v>
      </c>
      <c r="C17" s="286">
        <f t="shared" ca="1" si="11"/>
        <v>2.7857142857142856</v>
      </c>
      <c r="D17" s="321" t="s">
        <v>440</v>
      </c>
      <c r="E17" s="419">
        <f>PLANTILLA!E18</f>
        <v>30</v>
      </c>
      <c r="F17" s="419">
        <f ca="1">PLANTILLA!F18</f>
        <v>24</v>
      </c>
      <c r="G17" s="420"/>
      <c r="H17" s="401">
        <v>1</v>
      </c>
      <c r="I17" s="335">
        <f>PLANTILLA!I18</f>
        <v>8</v>
      </c>
      <c r="J17" s="521">
        <f>PLANTILLA!V18</f>
        <v>0</v>
      </c>
      <c r="K17" s="521">
        <f>PLANTILLA!W18</f>
        <v>5.2811111111111115</v>
      </c>
      <c r="L17" s="521">
        <f>PLANTILLA!X18</f>
        <v>14.193842857142847</v>
      </c>
      <c r="M17" s="521">
        <f>PLANTILLA!Y18</f>
        <v>3.4924999999999993</v>
      </c>
      <c r="N17" s="521">
        <f>PLANTILLA!Z18</f>
        <v>9.0700000000000038</v>
      </c>
      <c r="O17" s="521">
        <f>PLANTILLA!AA18</f>
        <v>7.4318888888888894</v>
      </c>
      <c r="P17" s="521">
        <f>PLANTILLA!AB18</f>
        <v>16.07</v>
      </c>
      <c r="Q17" s="445">
        <f t="shared" si="4"/>
        <v>30</v>
      </c>
      <c r="R17" s="446">
        <f t="shared" ca="1" si="5"/>
        <v>31</v>
      </c>
      <c r="S17" s="193"/>
      <c r="T17" s="193"/>
      <c r="U17" s="193"/>
      <c r="V17" s="193"/>
      <c r="W17" s="193"/>
      <c r="X17" s="193"/>
      <c r="Y17" s="193"/>
      <c r="Z17" s="193"/>
      <c r="AA17" s="323">
        <f t="shared" si="6"/>
        <v>8</v>
      </c>
      <c r="AB17" s="541">
        <f t="shared" si="20"/>
        <v>0</v>
      </c>
      <c r="AC17" s="541">
        <f>K17+(T$2/6.5)</f>
        <v>5.2811111111111115</v>
      </c>
      <c r="AD17" s="541">
        <f>L17+(U$2/11)</f>
        <v>14.193842857142847</v>
      </c>
      <c r="AE17" s="541">
        <f>M17+(V$2/17)</f>
        <v>3.4924999999999993</v>
      </c>
      <c r="AF17" s="541">
        <f>N17+(W$2/7)</f>
        <v>9.0700000000000038</v>
      </c>
      <c r="AG17" s="541">
        <f>O17+(X$2/30)+(Y$2/4.5)/2</f>
        <v>7.4318888888888894</v>
      </c>
      <c r="AH17" s="541">
        <f>P17+(Z$2/2.5)+(Y$2/10)</f>
        <v>16.47</v>
      </c>
      <c r="AI17" s="458">
        <f t="shared" si="12"/>
        <v>0</v>
      </c>
      <c r="AJ17" s="458">
        <f t="shared" si="13"/>
        <v>0</v>
      </c>
      <c r="AK17" s="458">
        <f t="shared" si="14"/>
        <v>0</v>
      </c>
      <c r="AL17" s="458">
        <f t="shared" si="15"/>
        <v>0</v>
      </c>
      <c r="AM17" s="458">
        <f t="shared" si="16"/>
        <v>0</v>
      </c>
      <c r="AN17" s="458">
        <f t="shared" si="17"/>
        <v>0</v>
      </c>
      <c r="AO17" s="458">
        <f t="shared" si="18"/>
        <v>0.39999999999999858</v>
      </c>
      <c r="AQ17" s="737" t="s">
        <v>863</v>
      </c>
      <c r="AR17" s="738"/>
      <c r="AS17" s="361" t="s">
        <v>541</v>
      </c>
      <c r="AT17" s="361" t="s">
        <v>542</v>
      </c>
      <c r="AU17" s="361" t="s">
        <v>582</v>
      </c>
      <c r="AV17" s="361" t="s">
        <v>543</v>
      </c>
      <c r="AW17" s="361" t="s">
        <v>544</v>
      </c>
      <c r="AX17" s="361" t="s">
        <v>545</v>
      </c>
      <c r="AY17" s="361" t="s">
        <v>546</v>
      </c>
      <c r="AZ17" s="361" t="s">
        <v>879</v>
      </c>
      <c r="BA17" s="361" t="s">
        <v>880</v>
      </c>
      <c r="BB17" s="361" t="s">
        <v>700</v>
      </c>
      <c r="BC17" s="361" t="s">
        <v>740</v>
      </c>
      <c r="BE17" s="737" t="s">
        <v>787</v>
      </c>
      <c r="BF17" s="738"/>
      <c r="BG17" s="361" t="s">
        <v>541</v>
      </c>
      <c r="BH17" s="361" t="s">
        <v>542</v>
      </c>
      <c r="BI17" s="361" t="s">
        <v>582</v>
      </c>
      <c r="BJ17" s="361" t="s">
        <v>543</v>
      </c>
      <c r="BK17" s="361" t="s">
        <v>544</v>
      </c>
      <c r="BL17" s="361" t="s">
        <v>545</v>
      </c>
      <c r="BM17" s="361" t="s">
        <v>546</v>
      </c>
      <c r="BN17" s="361" t="s">
        <v>879</v>
      </c>
      <c r="BO17" s="361" t="s">
        <v>880</v>
      </c>
      <c r="BP17" s="361" t="s">
        <v>700</v>
      </c>
      <c r="BQ17" s="361" t="s">
        <v>740</v>
      </c>
    </row>
    <row r="18" spans="1:69" s="265" customFormat="1" x14ac:dyDescent="0.25">
      <c r="A18" s="332" t="s">
        <v>598</v>
      </c>
      <c r="B18" s="285" t="s">
        <v>65</v>
      </c>
      <c r="C18" s="286">
        <f t="shared" ca="1" si="11"/>
        <v>4.2321428571428568</v>
      </c>
      <c r="D18" s="321" t="s">
        <v>454</v>
      </c>
      <c r="E18" s="419">
        <f>PLANTILLA!E19</f>
        <v>28</v>
      </c>
      <c r="F18" s="419">
        <f ca="1">PLANTILLA!F19</f>
        <v>86</v>
      </c>
      <c r="G18" s="420"/>
      <c r="H18" s="401">
        <v>3</v>
      </c>
      <c r="I18" s="335">
        <f>PLANTILLA!I19</f>
        <v>4</v>
      </c>
      <c r="J18" s="521">
        <f>PLANTILLA!V19</f>
        <v>0</v>
      </c>
      <c r="K18" s="521">
        <f>PLANTILLA!W19</f>
        <v>5.6315555555555523</v>
      </c>
      <c r="L18" s="521">
        <f>PLANTILLA!X19</f>
        <v>9.8263388888888876</v>
      </c>
      <c r="M18" s="521">
        <f>PLANTILLA!Y19</f>
        <v>7.0526666666666671</v>
      </c>
      <c r="N18" s="521">
        <f>PLANTILLA!Z19</f>
        <v>9.2666666666666639</v>
      </c>
      <c r="O18" s="521">
        <f>PLANTILLA!AA19</f>
        <v>3.5417777777777766</v>
      </c>
      <c r="P18" s="521">
        <f>PLANTILLA!AB19</f>
        <v>12.450000000000001</v>
      </c>
      <c r="Q18" s="445">
        <f t="shared" si="4"/>
        <v>28</v>
      </c>
      <c r="R18" s="446">
        <f t="shared" ca="1" si="5"/>
        <v>93</v>
      </c>
      <c r="S18" s="193"/>
      <c r="T18" s="193"/>
      <c r="U18" s="193"/>
      <c r="V18" s="193"/>
      <c r="W18" s="193"/>
      <c r="X18" s="193"/>
      <c r="Y18" s="193"/>
      <c r="Z18" s="193"/>
      <c r="AA18" s="323">
        <f t="shared" si="6"/>
        <v>4</v>
      </c>
      <c r="AB18" s="541">
        <f t="shared" si="20"/>
        <v>0</v>
      </c>
      <c r="AC18" s="541">
        <f>K18+(T$2/26)</f>
        <v>5.6315555555555523</v>
      </c>
      <c r="AD18" s="541">
        <f>L18+(U$2/55)</f>
        <v>9.8263388888888876</v>
      </c>
      <c r="AE18" s="541">
        <f>M18+(V$2/24)</f>
        <v>7.0526666666666671</v>
      </c>
      <c r="AF18" s="541">
        <f>N18+(W$2/7)</f>
        <v>9.2666666666666639</v>
      </c>
      <c r="AG18" s="541">
        <f>O18+(X$2/18)+(Y$2/6)</f>
        <v>3.5417777777777766</v>
      </c>
      <c r="AH18" s="541">
        <f>P18+(Z$2/2)+(Y$2/10)</f>
        <v>12.950000000000001</v>
      </c>
      <c r="AI18" s="458">
        <f t="shared" si="12"/>
        <v>0</v>
      </c>
      <c r="AJ18" s="458">
        <f t="shared" si="13"/>
        <v>0</v>
      </c>
      <c r="AK18" s="458">
        <f t="shared" si="14"/>
        <v>0</v>
      </c>
      <c r="AL18" s="458">
        <f t="shared" si="15"/>
        <v>0</v>
      </c>
      <c r="AM18" s="458">
        <f t="shared" si="16"/>
        <v>0</v>
      </c>
      <c r="AN18" s="458">
        <f t="shared" si="17"/>
        <v>0</v>
      </c>
      <c r="AO18" s="458">
        <f t="shared" si="18"/>
        <v>0.5</v>
      </c>
      <c r="AQ18" s="459" t="s">
        <v>1</v>
      </c>
      <c r="AR18" s="331" t="str">
        <f>D4</f>
        <v>D. Gehmacher</v>
      </c>
      <c r="AS18" s="464">
        <f>AS4</f>
        <v>0</v>
      </c>
      <c r="AT18" s="464">
        <f t="shared" ref="AT18:BC18" si="35">AT4</f>
        <v>0</v>
      </c>
      <c r="AU18" s="464">
        <f t="shared" si="35"/>
        <v>0</v>
      </c>
      <c r="AV18" s="464">
        <f t="shared" si="35"/>
        <v>0</v>
      </c>
      <c r="AW18" s="464">
        <f t="shared" si="35"/>
        <v>0</v>
      </c>
      <c r="AX18" s="464">
        <f t="shared" si="35"/>
        <v>0</v>
      </c>
      <c r="AY18" s="464">
        <f t="shared" si="35"/>
        <v>0</v>
      </c>
      <c r="AZ18" s="590">
        <f t="shared" si="35"/>
        <v>0</v>
      </c>
      <c r="BA18" s="590">
        <f t="shared" si="35"/>
        <v>0.05</v>
      </c>
      <c r="BB18" s="467">
        <f t="shared" si="35"/>
        <v>0</v>
      </c>
      <c r="BC18" s="467">
        <f t="shared" si="35"/>
        <v>0</v>
      </c>
      <c r="BE18" s="459" t="s">
        <v>1</v>
      </c>
      <c r="BF18" s="331" t="str">
        <f>D4</f>
        <v>D. Gehmacher</v>
      </c>
      <c r="BG18" s="464">
        <f>BG4</f>
        <v>0</v>
      </c>
      <c r="BH18" s="464">
        <f t="shared" ref="BH18:BQ18" si="36">BH4</f>
        <v>0</v>
      </c>
      <c r="BI18" s="464">
        <f t="shared" si="36"/>
        <v>0</v>
      </c>
      <c r="BJ18" s="464">
        <f t="shared" si="36"/>
        <v>0</v>
      </c>
      <c r="BK18" s="464">
        <f t="shared" si="36"/>
        <v>0</v>
      </c>
      <c r="BL18" s="464">
        <f t="shared" si="36"/>
        <v>0</v>
      </c>
      <c r="BM18" s="464">
        <f t="shared" si="36"/>
        <v>0</v>
      </c>
      <c r="BN18" s="590">
        <f t="shared" si="36"/>
        <v>0</v>
      </c>
      <c r="BO18" s="590">
        <f t="shared" si="36"/>
        <v>0.05</v>
      </c>
      <c r="BP18" s="467">
        <f t="shared" si="36"/>
        <v>0</v>
      </c>
      <c r="BQ18" s="467">
        <f t="shared" si="36"/>
        <v>0</v>
      </c>
    </row>
    <row r="19" spans="1:69" s="265" customFormat="1" x14ac:dyDescent="0.25">
      <c r="A19" s="332" t="s">
        <v>764</v>
      </c>
      <c r="B19" s="285" t="s">
        <v>65</v>
      </c>
      <c r="C19" s="286" t="e">
        <f t="shared" si="11"/>
        <v>#REF!</v>
      </c>
      <c r="D19" s="321" t="s">
        <v>765</v>
      </c>
      <c r="E19" s="419" t="e">
        <f>PLANTILLA!#REF!</f>
        <v>#REF!</v>
      </c>
      <c r="F19" s="419" t="e">
        <f>PLANTILLA!#REF!</f>
        <v>#REF!</v>
      </c>
      <c r="G19" s="420" t="s">
        <v>595</v>
      </c>
      <c r="H19" s="401">
        <v>4</v>
      </c>
      <c r="I19" s="335" t="e">
        <f>PLANTILLA!#REF!</f>
        <v>#REF!</v>
      </c>
      <c r="J19" s="521" t="e">
        <f>PLANTILLA!#REF!</f>
        <v>#REF!</v>
      </c>
      <c r="K19" s="521" t="e">
        <f>PLANTILLA!#REF!</f>
        <v>#REF!</v>
      </c>
      <c r="L19" s="521" t="e">
        <f>PLANTILLA!#REF!</f>
        <v>#REF!</v>
      </c>
      <c r="M19" s="521" t="e">
        <f>PLANTILLA!#REF!</f>
        <v>#REF!</v>
      </c>
      <c r="N19" s="521" t="e">
        <f>PLANTILLA!#REF!</f>
        <v>#REF!</v>
      </c>
      <c r="O19" s="521" t="e">
        <f>PLANTILLA!#REF!</f>
        <v>#REF!</v>
      </c>
      <c r="P19" s="521" t="e">
        <f>PLANTILLA!#REF!</f>
        <v>#REF!</v>
      </c>
      <c r="Q19" s="445" t="e">
        <f t="shared" si="4"/>
        <v>#REF!</v>
      </c>
      <c r="R19" s="446" t="e">
        <f t="shared" si="5"/>
        <v>#REF!</v>
      </c>
      <c r="S19" s="193"/>
      <c r="T19" s="193"/>
      <c r="U19" s="193"/>
      <c r="V19" s="193"/>
      <c r="W19" s="193"/>
      <c r="X19" s="193"/>
      <c r="Y19" s="193"/>
      <c r="Z19" s="193"/>
      <c r="AA19" s="323" t="e">
        <f t="shared" si="6"/>
        <v>#REF!</v>
      </c>
      <c r="AB19" s="541" t="e">
        <f>J19</f>
        <v>#REF!</v>
      </c>
      <c r="AC19" s="541" t="e">
        <f>K19+(T2/25)</f>
        <v>#REF!</v>
      </c>
      <c r="AD19" s="541" t="e">
        <f>L19+(U2/38)</f>
        <v>#REF!</v>
      </c>
      <c r="AE19" s="541" t="e">
        <f>M19+(V2/12)</f>
        <v>#REF!</v>
      </c>
      <c r="AF19" s="541" t="e">
        <f>N19+(W2/4)</f>
        <v>#REF!</v>
      </c>
      <c r="AG19" s="541" t="e">
        <f>O19+(X2/14)+(Y2/5)</f>
        <v>#REF!</v>
      </c>
      <c r="AH19" s="541" t="e">
        <f>P19+(Z2/1)+(Y$2/10)</f>
        <v>#REF!</v>
      </c>
      <c r="AI19" s="458" t="e">
        <f t="shared" si="12"/>
        <v>#REF!</v>
      </c>
      <c r="AJ19" s="458" t="e">
        <f t="shared" si="13"/>
        <v>#REF!</v>
      </c>
      <c r="AK19" s="458" t="e">
        <f t="shared" si="14"/>
        <v>#REF!</v>
      </c>
      <c r="AL19" s="458" t="e">
        <f t="shared" si="15"/>
        <v>#REF!</v>
      </c>
      <c r="AM19" s="458" t="e">
        <f t="shared" si="16"/>
        <v>#REF!</v>
      </c>
      <c r="AN19" s="458" t="e">
        <f t="shared" si="17"/>
        <v>#REF!</v>
      </c>
      <c r="AO19" s="458" t="e">
        <f t="shared" si="18"/>
        <v>#REF!</v>
      </c>
      <c r="AQ19" s="460" t="s">
        <v>704</v>
      </c>
      <c r="AR19" s="332" t="str">
        <f>D20</f>
        <v>B. Pinczehelyi</v>
      </c>
      <c r="AS19" s="465">
        <f>(AJ20*0.919)</f>
        <v>0</v>
      </c>
      <c r="AT19" s="465">
        <v>0</v>
      </c>
      <c r="AU19" s="465">
        <f>AJ20*0.414</f>
        <v>0</v>
      </c>
      <c r="AV19" s="465">
        <f>AK20*0.167</f>
        <v>0</v>
      </c>
      <c r="AW19" s="465">
        <f>AL20*0.588</f>
        <v>0</v>
      </c>
      <c r="AX19" s="465">
        <v>0</v>
      </c>
      <c r="AY19" s="465">
        <v>0</v>
      </c>
      <c r="AZ19" s="468">
        <f>AZ5</f>
        <v>0.03</v>
      </c>
      <c r="BA19" s="468">
        <f>BA5</f>
        <v>0.03</v>
      </c>
      <c r="BB19" s="468">
        <f>((AC20+1)+(AF20+1)*2)/8</f>
        <v>4.4874999999999998</v>
      </c>
      <c r="BC19" s="468">
        <f>((AJ20)+(AM20)*2)/8</f>
        <v>0</v>
      </c>
      <c r="BE19" s="460" t="s">
        <v>704</v>
      </c>
      <c r="BF19" s="332" t="str">
        <f>D8</f>
        <v>E. Toney</v>
      </c>
      <c r="BG19" s="465">
        <f t="shared" ref="BG19:BM19" si="37">AS5</f>
        <v>0</v>
      </c>
      <c r="BH19" s="465">
        <f t="shared" si="37"/>
        <v>0</v>
      </c>
      <c r="BI19" s="465">
        <f t="shared" si="37"/>
        <v>0</v>
      </c>
      <c r="BJ19" s="465">
        <f t="shared" si="37"/>
        <v>0</v>
      </c>
      <c r="BK19" s="465">
        <f t="shared" si="37"/>
        <v>0</v>
      </c>
      <c r="BL19" s="465">
        <f t="shared" si="37"/>
        <v>0</v>
      </c>
      <c r="BM19" s="465">
        <f t="shared" si="37"/>
        <v>0</v>
      </c>
      <c r="BN19" s="468">
        <f t="shared" ref="BN19" si="38">AZ5</f>
        <v>0.03</v>
      </c>
      <c r="BO19" s="468">
        <f>BA5</f>
        <v>0.03</v>
      </c>
      <c r="BP19" s="468">
        <f>BB5</f>
        <v>4.4874999999999998</v>
      </c>
      <c r="BQ19" s="468">
        <f>BC5</f>
        <v>0</v>
      </c>
    </row>
    <row r="20" spans="1:69" s="264" customFormat="1" x14ac:dyDescent="0.25">
      <c r="A20" s="331" t="s">
        <v>717</v>
      </c>
      <c r="B20" s="285" t="s">
        <v>2</v>
      </c>
      <c r="C20" s="286">
        <f t="shared" ca="1" si="11"/>
        <v>3.0982142857142856</v>
      </c>
      <c r="D20" s="321" t="str">
        <f>PLANTILLA!D7</f>
        <v>B. Pinczehelyi</v>
      </c>
      <c r="E20" s="419">
        <f>PLANTILLA!E7</f>
        <v>29</v>
      </c>
      <c r="F20" s="427">
        <f ca="1">PLANTILLA!F7</f>
        <v>101</v>
      </c>
      <c r="G20" s="420" t="s">
        <v>595</v>
      </c>
      <c r="H20" s="401">
        <v>2</v>
      </c>
      <c r="I20" s="335">
        <f>PLANTILLA!I7</f>
        <v>14</v>
      </c>
      <c r="J20" s="521">
        <f>PLANTILLA!V7</f>
        <v>0</v>
      </c>
      <c r="K20" s="521">
        <f>PLANTILLA!W7</f>
        <v>14.200000000000003</v>
      </c>
      <c r="L20" s="521">
        <f>PLANTILLA!X7</f>
        <v>9.283333333333335</v>
      </c>
      <c r="M20" s="521">
        <f>PLANTILLA!Y7</f>
        <v>14.249999999999996</v>
      </c>
      <c r="N20" s="521">
        <f>PLANTILLA!Z7</f>
        <v>9.3499999999999979</v>
      </c>
      <c r="O20" s="521">
        <f>PLANTILLA!AA7</f>
        <v>1.1428571428571428</v>
      </c>
      <c r="P20" s="521">
        <f>PLANTILLA!AB7</f>
        <v>9.4</v>
      </c>
      <c r="Q20" s="445">
        <f t="shared" si="4"/>
        <v>29</v>
      </c>
      <c r="R20" s="446">
        <f t="shared" ca="1" si="5"/>
        <v>108</v>
      </c>
      <c r="S20" s="193"/>
      <c r="T20" s="193"/>
      <c r="U20" s="193"/>
      <c r="V20" s="193"/>
      <c r="W20" s="193"/>
      <c r="X20" s="193"/>
      <c r="Y20" s="193"/>
      <c r="Z20" s="193"/>
      <c r="AA20" s="323">
        <f t="shared" si="6"/>
        <v>14</v>
      </c>
      <c r="AB20" s="541">
        <f t="shared" si="20"/>
        <v>0</v>
      </c>
      <c r="AC20" s="541">
        <f>K20+(T$2/20)</f>
        <v>14.200000000000003</v>
      </c>
      <c r="AD20" s="541">
        <f>L20+(U$2/50)</f>
        <v>9.283333333333335</v>
      </c>
      <c r="AE20" s="541">
        <f>M20+(V$2/35)</f>
        <v>14.249999999999996</v>
      </c>
      <c r="AF20" s="541">
        <f>N20+(W$2/7)</f>
        <v>9.3499999999999979</v>
      </c>
      <c r="AG20" s="541">
        <f>O20+(X$2/3)+(Y$2/7)</f>
        <v>1.1428571428571428</v>
      </c>
      <c r="AH20" s="541">
        <f>P20+(Z$2/1)+(Y$2/10)</f>
        <v>10.4</v>
      </c>
      <c r="AI20" s="458">
        <f t="shared" si="12"/>
        <v>0</v>
      </c>
      <c r="AJ20" s="458">
        <f t="shared" si="13"/>
        <v>0</v>
      </c>
      <c r="AK20" s="458">
        <f t="shared" si="14"/>
        <v>0</v>
      </c>
      <c r="AL20" s="458">
        <f t="shared" si="15"/>
        <v>0</v>
      </c>
      <c r="AM20" s="458">
        <f t="shared" si="16"/>
        <v>0</v>
      </c>
      <c r="AN20" s="458">
        <f t="shared" si="17"/>
        <v>0</v>
      </c>
      <c r="AO20" s="458">
        <f t="shared" si="18"/>
        <v>1</v>
      </c>
      <c r="AQ20" s="565" t="s">
        <v>67</v>
      </c>
      <c r="AR20" s="285" t="str">
        <f>D23</f>
        <v>P .Trivadi</v>
      </c>
      <c r="AS20" s="464">
        <v>0</v>
      </c>
      <c r="AT20" s="464">
        <v>0</v>
      </c>
      <c r="AU20" s="464">
        <v>0</v>
      </c>
      <c r="AV20" s="466">
        <f>AK23*0.25</f>
        <v>0</v>
      </c>
      <c r="AW20" s="466">
        <f>(AM23*0.142)+(AL23*0.221)+(AN23*0.26)</f>
        <v>0</v>
      </c>
      <c r="AX20" s="464">
        <f>AW20</f>
        <v>0</v>
      </c>
      <c r="AY20" s="466">
        <f>(AM23*0.369)+(AN23*1)</f>
        <v>0</v>
      </c>
      <c r="AZ20" s="469">
        <f>(0.5*AN23+0.3*AO23)/10</f>
        <v>1.9999999999999983E-2</v>
      </c>
      <c r="BA20" s="469">
        <f>(0.4*AJ23+0.3*AO23)/10</f>
        <v>1.9999999999999983E-2</v>
      </c>
      <c r="BB20" s="468">
        <f>((AC23+1)+(AF23+1)*2)/8</f>
        <v>3.5749999999999997</v>
      </c>
      <c r="BC20" s="468">
        <f>((AJ23)+(AM23)*2)/8</f>
        <v>0</v>
      </c>
      <c r="BE20" s="461" t="s">
        <v>789</v>
      </c>
      <c r="BF20" s="285" t="str">
        <f>D7</f>
        <v>D. Toh</v>
      </c>
      <c r="BG20" s="466">
        <f>AJ7*0.754</f>
        <v>0</v>
      </c>
      <c r="BH20" s="466">
        <v>0</v>
      </c>
      <c r="BI20" s="466">
        <f>AJ7*0.708</f>
        <v>0</v>
      </c>
      <c r="BJ20" s="466">
        <f>AK7*0.165</f>
        <v>0</v>
      </c>
      <c r="BK20" s="466">
        <f>AL7*0.286</f>
        <v>0</v>
      </c>
      <c r="BL20" s="466">
        <v>0</v>
      </c>
      <c r="BM20" s="466">
        <v>0</v>
      </c>
      <c r="BN20" s="469">
        <f>BN6</f>
        <v>1.2000000000000011E-2</v>
      </c>
      <c r="BO20" s="469">
        <f>BO6</f>
        <v>1.2000000000000011E-2</v>
      </c>
      <c r="BP20" s="468">
        <f>((AC7+1)+(AF7+1)*2)/8</f>
        <v>3.6806944444444447</v>
      </c>
      <c r="BQ20" s="468">
        <f>((AJ7)+(AM7)*2)/8</f>
        <v>0</v>
      </c>
    </row>
    <row r="21" spans="1:69" s="284" customFormat="1" x14ac:dyDescent="0.25">
      <c r="A21" s="416" t="s">
        <v>577</v>
      </c>
      <c r="B21" s="416" t="s">
        <v>67</v>
      </c>
      <c r="C21" s="417">
        <f t="shared" ca="1" si="11"/>
        <v>3.4553571428571428</v>
      </c>
      <c r="D21" s="418" t="s">
        <v>327</v>
      </c>
      <c r="E21" s="419">
        <f>PLANTILLA!E21</f>
        <v>29</v>
      </c>
      <c r="F21" s="419">
        <f ca="1">PLANTILLA!F21</f>
        <v>61</v>
      </c>
      <c r="G21" s="420" t="s">
        <v>336</v>
      </c>
      <c r="H21" s="401">
        <v>4</v>
      </c>
      <c r="I21" s="335">
        <f>PLANTILLA!I21</f>
        <v>9.9</v>
      </c>
      <c r="J21" s="521">
        <f>PLANTILLA!V21</f>
        <v>0</v>
      </c>
      <c r="K21" s="521">
        <f>PLANTILLA!W21</f>
        <v>6.8176190476190497</v>
      </c>
      <c r="L21" s="521">
        <f>PLANTILLA!X21</f>
        <v>8.3125</v>
      </c>
      <c r="M21" s="521">
        <f>PLANTILLA!Y21</f>
        <v>8.7199999999999971</v>
      </c>
      <c r="N21" s="521">
        <f>PLANTILLA!Z21</f>
        <v>9.6800000000000015</v>
      </c>
      <c r="O21" s="521">
        <f>PLANTILLA!AA21</f>
        <v>8.5625000000000018</v>
      </c>
      <c r="P21" s="521">
        <f>PLANTILLA!AB21</f>
        <v>18.639999999999993</v>
      </c>
      <c r="Q21" s="445">
        <f t="shared" si="4"/>
        <v>29</v>
      </c>
      <c r="R21" s="446">
        <f t="shared" ca="1" si="5"/>
        <v>68</v>
      </c>
      <c r="S21" s="193"/>
      <c r="T21" s="193"/>
      <c r="U21" s="193"/>
      <c r="V21" s="193"/>
      <c r="W21" s="193"/>
      <c r="X21" s="193"/>
      <c r="Y21" s="193"/>
      <c r="Z21" s="193"/>
      <c r="AA21" s="323">
        <f t="shared" si="6"/>
        <v>9.9</v>
      </c>
      <c r="AB21" s="541">
        <f t="shared" si="20"/>
        <v>0</v>
      </c>
      <c r="AC21" s="541">
        <f>K21+(T$2/32)</f>
        <v>6.8176190476190497</v>
      </c>
      <c r="AD21" s="541">
        <f>L21+(U$2/7)</f>
        <v>8.3125</v>
      </c>
      <c r="AE21" s="541">
        <f>M21+(V$2/25)</f>
        <v>8.7199999999999971</v>
      </c>
      <c r="AF21" s="541">
        <f>N21+(W$2/8)</f>
        <v>9.6800000000000015</v>
      </c>
      <c r="AG21" s="541">
        <f>O21+(X$2/6)+(Y$2/5)/2</f>
        <v>8.5625000000000018</v>
      </c>
      <c r="AH21" s="541">
        <f>P21+(Z$2/2)+(Y$2/10)</f>
        <v>19.139999999999993</v>
      </c>
      <c r="AI21" s="458">
        <f t="shared" si="12"/>
        <v>0</v>
      </c>
      <c r="AJ21" s="458">
        <f t="shared" si="13"/>
        <v>0</v>
      </c>
      <c r="AK21" s="458">
        <f t="shared" si="14"/>
        <v>0</v>
      </c>
      <c r="AL21" s="458">
        <f t="shared" si="15"/>
        <v>0</v>
      </c>
      <c r="AM21" s="458">
        <f t="shared" si="16"/>
        <v>0</v>
      </c>
      <c r="AN21" s="458">
        <f t="shared" si="17"/>
        <v>0</v>
      </c>
      <c r="AO21" s="458">
        <f t="shared" si="18"/>
        <v>0.5</v>
      </c>
      <c r="AQ21" s="461" t="s">
        <v>704</v>
      </c>
      <c r="AR21" s="285" t="str">
        <f>D8</f>
        <v>E. Toney</v>
      </c>
      <c r="AS21" s="466">
        <v>0</v>
      </c>
      <c r="AT21" s="466">
        <f>AJ17*0.919</f>
        <v>0</v>
      </c>
      <c r="AU21" s="466">
        <f>AJ8*0.414</f>
        <v>0</v>
      </c>
      <c r="AV21" s="466">
        <f>AK8*0.167</f>
        <v>0</v>
      </c>
      <c r="AW21" s="466">
        <v>0</v>
      </c>
      <c r="AX21" s="466">
        <f>AL8*0.588</f>
        <v>0</v>
      </c>
      <c r="AY21" s="466">
        <v>0</v>
      </c>
      <c r="AZ21" s="469">
        <f>AZ5</f>
        <v>0.03</v>
      </c>
      <c r="BA21" s="469">
        <f>BA5</f>
        <v>0.03</v>
      </c>
      <c r="BB21" s="469">
        <f>BB5</f>
        <v>4.4874999999999998</v>
      </c>
      <c r="BC21" s="469">
        <f>BC5</f>
        <v>0</v>
      </c>
      <c r="BE21" s="461" t="s">
        <v>737</v>
      </c>
      <c r="BF21" s="285" t="str">
        <f>D16</f>
        <v>E. Gross</v>
      </c>
      <c r="BG21" s="466">
        <f t="shared" ref="BG21:BM21" si="39">AS6</f>
        <v>0</v>
      </c>
      <c r="BH21" s="466">
        <f t="shared" si="39"/>
        <v>0</v>
      </c>
      <c r="BI21" s="466">
        <f t="shared" si="39"/>
        <v>0</v>
      </c>
      <c r="BJ21" s="466">
        <f t="shared" si="39"/>
        <v>0</v>
      </c>
      <c r="BK21" s="466">
        <f t="shared" si="39"/>
        <v>0</v>
      </c>
      <c r="BL21" s="466">
        <f t="shared" si="39"/>
        <v>0</v>
      </c>
      <c r="BM21" s="466">
        <f t="shared" si="39"/>
        <v>0</v>
      </c>
      <c r="BN21" s="469">
        <f t="shared" ref="BN21" si="40">AZ6</f>
        <v>1.1999999999999957E-2</v>
      </c>
      <c r="BO21" s="469">
        <f t="shared" ref="BO21:BQ22" si="41">BA6</f>
        <v>1.1999999999999957E-2</v>
      </c>
      <c r="BP21" s="468">
        <f t="shared" si="41"/>
        <v>3.9362499999999994</v>
      </c>
      <c r="BQ21" s="468">
        <f t="shared" si="41"/>
        <v>0</v>
      </c>
    </row>
    <row r="22" spans="1:69" s="272" customFormat="1" x14ac:dyDescent="0.25">
      <c r="A22" s="416" t="s">
        <v>588</v>
      </c>
      <c r="B22" s="416" t="s">
        <v>67</v>
      </c>
      <c r="C22" s="417">
        <f t="shared" ca="1" si="11"/>
        <v>2.8392857142857144</v>
      </c>
      <c r="D22" s="418" t="str">
        <f>PLANTILLA!D22</f>
        <v>L. Calosso</v>
      </c>
      <c r="E22" s="419">
        <f>PLANTILLA!E22</f>
        <v>30</v>
      </c>
      <c r="F22" s="419">
        <f ca="1">PLANTILLA!F22</f>
        <v>18</v>
      </c>
      <c r="G22" s="420"/>
      <c r="H22" s="401">
        <v>4</v>
      </c>
      <c r="I22" s="335">
        <f>PLANTILLA!I22</f>
        <v>10.1</v>
      </c>
      <c r="J22" s="521">
        <f>PLANTILLA!V22</f>
        <v>0</v>
      </c>
      <c r="K22" s="521">
        <f>PLANTILLA!W22</f>
        <v>2</v>
      </c>
      <c r="L22" s="521">
        <f>PLANTILLA!X22</f>
        <v>14.0938</v>
      </c>
      <c r="M22" s="521">
        <f>PLANTILLA!Y22</f>
        <v>3</v>
      </c>
      <c r="N22" s="521">
        <f>PLANTILLA!Z22</f>
        <v>15.01</v>
      </c>
      <c r="O22" s="521">
        <f>PLANTILLA!AA22</f>
        <v>10</v>
      </c>
      <c r="P22" s="521">
        <f>PLANTILLA!AB22</f>
        <v>9.3000000000000007</v>
      </c>
      <c r="Q22" s="445">
        <f t="shared" si="4"/>
        <v>30</v>
      </c>
      <c r="R22" s="446">
        <f t="shared" ca="1" si="5"/>
        <v>25</v>
      </c>
      <c r="S22" s="193"/>
      <c r="T22" s="193"/>
      <c r="U22" s="193"/>
      <c r="V22" s="193"/>
      <c r="W22" s="193"/>
      <c r="X22" s="193"/>
      <c r="Y22" s="193"/>
      <c r="Z22" s="193"/>
      <c r="AA22" s="323">
        <f t="shared" si="6"/>
        <v>10.1</v>
      </c>
      <c r="AB22" s="541">
        <f t="shared" si="20"/>
        <v>0</v>
      </c>
      <c r="AC22" s="541">
        <f>K22+(T$2/21)</f>
        <v>2</v>
      </c>
      <c r="AD22" s="541">
        <f>L22+(U$2/21)</f>
        <v>14.0938</v>
      </c>
      <c r="AE22" s="541">
        <f>M22+(V$2/22)</f>
        <v>3</v>
      </c>
      <c r="AF22" s="541">
        <f>N22+(W$2/17)</f>
        <v>15.01</v>
      </c>
      <c r="AG22" s="541">
        <f>O22+(X$2/25)+(Y$2/8)</f>
        <v>10</v>
      </c>
      <c r="AH22" s="541">
        <f>P22+(Z$2/1)+(Y$2/10)</f>
        <v>10.3</v>
      </c>
      <c r="AI22" s="458">
        <f t="shared" si="12"/>
        <v>0</v>
      </c>
      <c r="AJ22" s="458">
        <f t="shared" si="13"/>
        <v>0</v>
      </c>
      <c r="AK22" s="458">
        <f t="shared" si="14"/>
        <v>0</v>
      </c>
      <c r="AL22" s="458">
        <f t="shared" si="15"/>
        <v>0</v>
      </c>
      <c r="AM22" s="458">
        <f t="shared" si="16"/>
        <v>0</v>
      </c>
      <c r="AN22" s="458">
        <f t="shared" si="17"/>
        <v>0</v>
      </c>
      <c r="AO22" s="458">
        <f t="shared" si="18"/>
        <v>1</v>
      </c>
      <c r="AQ22" s="564" t="s">
        <v>790</v>
      </c>
      <c r="AR22" s="331" t="str">
        <f>AR8</f>
        <v>E.Romweber</v>
      </c>
      <c r="AS22" s="464">
        <f>AS8</f>
        <v>0</v>
      </c>
      <c r="AT22" s="464">
        <f t="shared" ref="AT22:AY22" si="42">AT8</f>
        <v>0</v>
      </c>
      <c r="AU22" s="464">
        <f t="shared" si="42"/>
        <v>0</v>
      </c>
      <c r="AV22" s="464">
        <f t="shared" si="42"/>
        <v>0</v>
      </c>
      <c r="AW22" s="464">
        <f>AW8</f>
        <v>0</v>
      </c>
      <c r="AX22" s="464">
        <f t="shared" si="42"/>
        <v>0</v>
      </c>
      <c r="AY22" s="464">
        <f t="shared" si="42"/>
        <v>0</v>
      </c>
      <c r="AZ22" s="467">
        <f>AZ8</f>
        <v>1.1999999999999957E-2</v>
      </c>
      <c r="BA22" s="467">
        <f t="shared" ref="BA22:BC22" si="43">BA8</f>
        <v>1.1999999999999957E-2</v>
      </c>
      <c r="BB22" s="467">
        <f t="shared" si="43"/>
        <v>0</v>
      </c>
      <c r="BC22" s="467">
        <f t="shared" si="43"/>
        <v>0</v>
      </c>
      <c r="BE22" s="461" t="s">
        <v>789</v>
      </c>
      <c r="BF22" s="331" t="str">
        <f>D9</f>
        <v>B. Bartolache</v>
      </c>
      <c r="BG22" s="464">
        <v>0</v>
      </c>
      <c r="BH22" s="464">
        <f>AJ9*0.754</f>
        <v>0</v>
      </c>
      <c r="BI22" s="464">
        <f>AJ9*0.708</f>
        <v>0</v>
      </c>
      <c r="BJ22" s="464">
        <f>AK9*0.165</f>
        <v>0</v>
      </c>
      <c r="BK22" s="464">
        <v>0</v>
      </c>
      <c r="BL22" s="464">
        <f>AL9*0.286</f>
        <v>0</v>
      </c>
      <c r="BM22" s="464">
        <v>0</v>
      </c>
      <c r="BN22" s="467">
        <f>AZ7</f>
        <v>1.1999999999999957E-2</v>
      </c>
      <c r="BO22" s="467">
        <f t="shared" si="41"/>
        <v>1.1999999999999957E-2</v>
      </c>
      <c r="BP22" s="467">
        <f t="shared" si="41"/>
        <v>4.2650000000000006</v>
      </c>
      <c r="BQ22" s="467">
        <f t="shared" si="41"/>
        <v>0</v>
      </c>
    </row>
    <row r="23" spans="1:69" s="289" customFormat="1" x14ac:dyDescent="0.25">
      <c r="A23" s="416" t="s">
        <v>633</v>
      </c>
      <c r="B23" s="416" t="s">
        <v>67</v>
      </c>
      <c r="C23" s="286">
        <f t="shared" ca="1" si="11"/>
        <v>6.1785714285714288</v>
      </c>
      <c r="D23" s="321" t="s">
        <v>634</v>
      </c>
      <c r="E23" s="419">
        <f>PLANTILLA!E23</f>
        <v>26</v>
      </c>
      <c r="F23" s="419">
        <f ca="1">PLANTILLA!F23</f>
        <v>92</v>
      </c>
      <c r="G23" s="420"/>
      <c r="H23" s="428">
        <v>6</v>
      </c>
      <c r="I23" s="335">
        <f>PLANTILLA!I23</f>
        <v>5.3</v>
      </c>
      <c r="J23" s="521">
        <f>PLANTILLA!V23</f>
        <v>0</v>
      </c>
      <c r="K23" s="521">
        <f>PLANTILLA!W23</f>
        <v>4</v>
      </c>
      <c r="L23" s="521">
        <f>PLANTILLA!X23</f>
        <v>5.5138722222222212</v>
      </c>
      <c r="M23" s="521">
        <f>PLANTILLA!Y23</f>
        <v>5.47</v>
      </c>
      <c r="N23" s="521">
        <f>PLANTILLA!Z23</f>
        <v>10.799999999999999</v>
      </c>
      <c r="O23" s="521">
        <f>PLANTILLA!AA23</f>
        <v>8.384500000000001</v>
      </c>
      <c r="P23" s="521">
        <f>PLANTILLA!AB23</f>
        <v>13.566666666666668</v>
      </c>
      <c r="Q23" s="445">
        <f t="shared" si="4"/>
        <v>26</v>
      </c>
      <c r="R23" s="446">
        <f t="shared" ca="1" si="5"/>
        <v>99</v>
      </c>
      <c r="S23" s="193"/>
      <c r="T23" s="193"/>
      <c r="U23" s="193"/>
      <c r="V23" s="193"/>
      <c r="W23" s="193"/>
      <c r="X23" s="193"/>
      <c r="Y23" s="193"/>
      <c r="Z23" s="193"/>
      <c r="AA23" s="323">
        <f t="shared" si="6"/>
        <v>5.3</v>
      </c>
      <c r="AB23" s="541">
        <f t="shared" si="20"/>
        <v>0</v>
      </c>
      <c r="AC23" s="541">
        <f>K23+(T$2/20)</f>
        <v>4</v>
      </c>
      <c r="AD23" s="541">
        <f>L23+(U$2/27)</f>
        <v>5.5138722222222212</v>
      </c>
      <c r="AE23" s="541">
        <f>M23+(V$2/21)</f>
        <v>5.47</v>
      </c>
      <c r="AF23" s="541">
        <f>N23+(W$2/8)</f>
        <v>10.799999999999999</v>
      </c>
      <c r="AG23" s="541">
        <f>O23+(X$2/5)+(Y$2/5)/2</f>
        <v>8.384500000000001</v>
      </c>
      <c r="AH23" s="541">
        <f>P23+(Z$2/1.5)+(Y$2/10)</f>
        <v>14.233333333333334</v>
      </c>
      <c r="AI23" s="458">
        <f t="shared" si="12"/>
        <v>0</v>
      </c>
      <c r="AJ23" s="458">
        <f t="shared" si="13"/>
        <v>0</v>
      </c>
      <c r="AK23" s="458">
        <f t="shared" si="14"/>
        <v>0</v>
      </c>
      <c r="AL23" s="458">
        <f t="shared" si="15"/>
        <v>0</v>
      </c>
      <c r="AM23" s="458">
        <f t="shared" si="16"/>
        <v>0</v>
      </c>
      <c r="AN23" s="458">
        <f t="shared" si="17"/>
        <v>0</v>
      </c>
      <c r="AO23" s="458">
        <f t="shared" si="18"/>
        <v>0.66666666666666607</v>
      </c>
      <c r="AQ23" s="461" t="s">
        <v>596</v>
      </c>
      <c r="AR23" s="285" t="str">
        <f>D14</f>
        <v>S. Buscleman</v>
      </c>
      <c r="AS23" s="466">
        <f t="shared" ref="AS23:AS28" si="44">AS9</f>
        <v>0</v>
      </c>
      <c r="AT23" s="466">
        <f t="shared" ref="AT23:BC23" si="45">AT9</f>
        <v>0</v>
      </c>
      <c r="AU23" s="466">
        <f t="shared" si="45"/>
        <v>0</v>
      </c>
      <c r="AV23" s="466">
        <f t="shared" si="45"/>
        <v>0</v>
      </c>
      <c r="AW23" s="466">
        <f t="shared" si="45"/>
        <v>0</v>
      </c>
      <c r="AX23" s="466">
        <f t="shared" si="45"/>
        <v>0</v>
      </c>
      <c r="AY23" s="466">
        <f t="shared" si="45"/>
        <v>0</v>
      </c>
      <c r="AZ23" s="469">
        <f t="shared" si="45"/>
        <v>0.03</v>
      </c>
      <c r="BA23" s="469">
        <f t="shared" si="45"/>
        <v>0.03</v>
      </c>
      <c r="BB23" s="469">
        <f t="shared" si="45"/>
        <v>0</v>
      </c>
      <c r="BC23" s="469">
        <f t="shared" si="45"/>
        <v>0</v>
      </c>
      <c r="BE23" s="461" t="s">
        <v>704</v>
      </c>
      <c r="BF23" s="285" t="str">
        <f>D11</f>
        <v>E.Romweber</v>
      </c>
      <c r="BG23" s="466">
        <v>0</v>
      </c>
      <c r="BH23" s="466">
        <f>AJ11*0.919</f>
        <v>0</v>
      </c>
      <c r="BI23" s="466">
        <f>AJ11*0.414</f>
        <v>0</v>
      </c>
      <c r="BJ23" s="466">
        <f>AK11*0.167</f>
        <v>0</v>
      </c>
      <c r="BK23" s="466">
        <v>0</v>
      </c>
      <c r="BL23" s="466">
        <f>AL11*0.588</f>
        <v>0</v>
      </c>
      <c r="BM23" s="466">
        <v>0</v>
      </c>
      <c r="BN23" s="469">
        <f>AZ8</f>
        <v>1.1999999999999957E-2</v>
      </c>
      <c r="BO23" s="469">
        <f>BA8</f>
        <v>1.1999999999999957E-2</v>
      </c>
      <c r="BP23" s="469">
        <f>((AC11+1)+(AF11+1)*2)/8</f>
        <v>4.5837500000000002</v>
      </c>
      <c r="BQ23" s="469">
        <f>((AJ11)+(AM11)*2)/8</f>
        <v>0</v>
      </c>
    </row>
    <row r="24" spans="1:69" s="266" customFormat="1" x14ac:dyDescent="0.25">
      <c r="A24"/>
      <c r="B24"/>
      <c r="C24" s="236"/>
      <c r="D24" s="180"/>
      <c r="E24"/>
      <c r="F24"/>
      <c r="G24" s="456"/>
      <c r="H24" s="4"/>
      <c r="I24"/>
      <c r="J24" s="156"/>
      <c r="K24"/>
      <c r="L24"/>
      <c r="M24"/>
      <c r="N24"/>
      <c r="O24"/>
      <c r="P24"/>
      <c r="Q24" s="487"/>
      <c r="R24" s="487"/>
      <c r="S24" s="371">
        <f t="shared" ref="S24:Z24" si="46">SUM(S21:S23)</f>
        <v>0</v>
      </c>
      <c r="T24" s="371">
        <f t="shared" si="46"/>
        <v>0</v>
      </c>
      <c r="U24" s="371">
        <f t="shared" si="46"/>
        <v>0</v>
      </c>
      <c r="V24" s="371">
        <f t="shared" si="46"/>
        <v>0</v>
      </c>
      <c r="W24" s="371">
        <f t="shared" si="46"/>
        <v>0</v>
      </c>
      <c r="X24" s="371">
        <f t="shared" si="46"/>
        <v>0</v>
      </c>
      <c r="Y24" s="371"/>
      <c r="Z24" s="371">
        <f t="shared" si="46"/>
        <v>0</v>
      </c>
      <c r="AA24" s="456"/>
      <c r="AB24" s="456"/>
      <c r="AC24" s="456"/>
      <c r="AD24" s="456"/>
      <c r="AE24" s="456"/>
      <c r="AF24" s="456"/>
      <c r="AG24" s="456"/>
      <c r="AH24" s="456"/>
      <c r="AI24"/>
      <c r="AJ24"/>
      <c r="AK24"/>
      <c r="AL24"/>
      <c r="AM24"/>
      <c r="AN24"/>
      <c r="AO24"/>
      <c r="AQ24" s="461" t="s">
        <v>792</v>
      </c>
      <c r="AR24" s="285" t="str">
        <f>AR10</f>
        <v>L. Bauman</v>
      </c>
      <c r="AS24" s="466">
        <f t="shared" si="44"/>
        <v>0</v>
      </c>
      <c r="AT24" s="466">
        <f t="shared" ref="AT24:AY24" si="47">AT10</f>
        <v>0</v>
      </c>
      <c r="AU24" s="466">
        <f t="shared" si="47"/>
        <v>0</v>
      </c>
      <c r="AV24" s="466">
        <f t="shared" si="47"/>
        <v>0</v>
      </c>
      <c r="AW24" s="466">
        <f t="shared" si="47"/>
        <v>0</v>
      </c>
      <c r="AX24" s="466">
        <f t="shared" si="47"/>
        <v>0</v>
      </c>
      <c r="AY24" s="466">
        <f t="shared" si="47"/>
        <v>0</v>
      </c>
      <c r="AZ24" s="469">
        <f>AZ10</f>
        <v>1.1999999999999957E-2</v>
      </c>
      <c r="BA24" s="469">
        <f t="shared" ref="BA24:BC24" si="48">BA10</f>
        <v>1.1999999999999957E-2</v>
      </c>
      <c r="BB24" s="469">
        <f t="shared" si="48"/>
        <v>0</v>
      </c>
      <c r="BC24" s="469">
        <f t="shared" si="48"/>
        <v>0</v>
      </c>
      <c r="BE24" s="565" t="s">
        <v>791</v>
      </c>
      <c r="BF24" s="285" t="str">
        <f>D12</f>
        <v>K. Helms</v>
      </c>
      <c r="BG24" s="464">
        <f>AT12</f>
        <v>0</v>
      </c>
      <c r="BH24" s="464">
        <f>AS12</f>
        <v>0</v>
      </c>
      <c r="BI24" s="464">
        <f>AU12</f>
        <v>0</v>
      </c>
      <c r="BJ24" s="464">
        <f>AV12</f>
        <v>0</v>
      </c>
      <c r="BK24" s="464">
        <f>AX12</f>
        <v>0</v>
      </c>
      <c r="BL24" s="464">
        <v>0</v>
      </c>
      <c r="BM24" s="464">
        <f>AY12</f>
        <v>0</v>
      </c>
      <c r="BN24" s="467">
        <f>AZ12</f>
        <v>1.1999999999999957E-2</v>
      </c>
      <c r="BO24" s="467">
        <f t="shared" ref="BO24:BQ24" si="49">BA12</f>
        <v>1.1999999999999957E-2</v>
      </c>
      <c r="BP24" s="467">
        <f t="shared" si="49"/>
        <v>0</v>
      </c>
      <c r="BQ24" s="467">
        <f t="shared" si="49"/>
        <v>0</v>
      </c>
    </row>
    <row r="25" spans="1:69" s="264" customFormat="1" x14ac:dyDescent="0.25">
      <c r="A25"/>
      <c r="B25"/>
      <c r="C25" s="236"/>
      <c r="D25" s="180"/>
      <c r="E25"/>
      <c r="F25"/>
      <c r="G25" s="456"/>
      <c r="H25" s="4"/>
      <c r="I25"/>
      <c r="J25" s="156"/>
      <c r="K25"/>
      <c r="L25"/>
      <c r="M25"/>
      <c r="N25"/>
      <c r="O25"/>
      <c r="P25"/>
      <c r="Q25" s="487"/>
      <c r="R25" s="487"/>
      <c r="S25" s="456"/>
      <c r="T25" s="456"/>
      <c r="U25" s="456"/>
      <c r="V25" s="456"/>
      <c r="W25" s="456"/>
      <c r="X25" s="456"/>
      <c r="Y25" s="563"/>
      <c r="Z25" s="456"/>
      <c r="AA25" s="456"/>
      <c r="AB25" s="456"/>
      <c r="AC25" s="456"/>
      <c r="AD25" s="456"/>
      <c r="AE25" s="456"/>
      <c r="AF25" s="456"/>
      <c r="AG25" s="456"/>
      <c r="AH25" s="456"/>
      <c r="AI25"/>
      <c r="AJ25"/>
      <c r="AK25"/>
      <c r="AL25"/>
      <c r="AM25"/>
      <c r="AN25"/>
      <c r="AO25"/>
      <c r="AQ25" s="461" t="s">
        <v>596</v>
      </c>
      <c r="AR25" s="285" t="str">
        <f>D15</f>
        <v>C. Rojas</v>
      </c>
      <c r="AS25" s="466">
        <f t="shared" si="44"/>
        <v>0</v>
      </c>
      <c r="AT25" s="466">
        <f t="shared" ref="AT25:BC25" si="50">AT11</f>
        <v>0</v>
      </c>
      <c r="AU25" s="466">
        <f t="shared" si="50"/>
        <v>0</v>
      </c>
      <c r="AV25" s="466">
        <f t="shared" si="50"/>
        <v>0</v>
      </c>
      <c r="AW25" s="466">
        <f t="shared" si="50"/>
        <v>0</v>
      </c>
      <c r="AX25" s="466">
        <f t="shared" si="50"/>
        <v>0</v>
      </c>
      <c r="AY25" s="466">
        <f t="shared" si="50"/>
        <v>0</v>
      </c>
      <c r="AZ25" s="469">
        <f t="shared" si="50"/>
        <v>1.4999999999999999E-2</v>
      </c>
      <c r="BA25" s="469">
        <f t="shared" si="50"/>
        <v>1.4999999999999999E-2</v>
      </c>
      <c r="BB25" s="469">
        <f t="shared" si="50"/>
        <v>0</v>
      </c>
      <c r="BC25" s="469">
        <f t="shared" si="50"/>
        <v>0</v>
      </c>
      <c r="BE25" s="461" t="s">
        <v>596</v>
      </c>
      <c r="BF25" s="285" t="str">
        <f>D14</f>
        <v>S. Buscleman</v>
      </c>
      <c r="BG25" s="466">
        <f t="shared" ref="BG25:BM25" si="51">AS9</f>
        <v>0</v>
      </c>
      <c r="BH25" s="466">
        <f t="shared" si="51"/>
        <v>0</v>
      </c>
      <c r="BI25" s="466">
        <f t="shared" si="51"/>
        <v>0</v>
      </c>
      <c r="BJ25" s="466">
        <f t="shared" si="51"/>
        <v>0</v>
      </c>
      <c r="BK25" s="466">
        <f t="shared" si="51"/>
        <v>0</v>
      </c>
      <c r="BL25" s="466">
        <f t="shared" si="51"/>
        <v>0</v>
      </c>
      <c r="BM25" s="466">
        <f t="shared" si="51"/>
        <v>0</v>
      </c>
      <c r="BN25" s="469">
        <f t="shared" ref="BN25" si="52">AZ9</f>
        <v>0.03</v>
      </c>
      <c r="BO25" s="469">
        <f>BA9</f>
        <v>0.03</v>
      </c>
      <c r="BP25" s="469">
        <f>BB9</f>
        <v>0</v>
      </c>
      <c r="BQ25" s="469">
        <f>BC9</f>
        <v>0</v>
      </c>
    </row>
    <row r="26" spans="1:69" s="289" customFormat="1" ht="14.25" customHeight="1" x14ac:dyDescent="0.25">
      <c r="A26"/>
      <c r="B26"/>
      <c r="C26" s="236"/>
      <c r="D26" s="180"/>
      <c r="E26"/>
      <c r="F26"/>
      <c r="G26" s="456"/>
      <c r="H26" s="4"/>
      <c r="I26"/>
      <c r="J26" s="156"/>
      <c r="K26"/>
      <c r="L26"/>
      <c r="M26"/>
      <c r="N26"/>
      <c r="O26"/>
      <c r="P26"/>
      <c r="Q26" s="487"/>
      <c r="R26" s="487"/>
      <c r="S26" s="456"/>
      <c r="T26" s="456"/>
      <c r="U26" s="456"/>
      <c r="V26" s="456"/>
      <c r="W26" s="456"/>
      <c r="X26" s="456"/>
      <c r="Y26" s="563"/>
      <c r="Z26" s="456"/>
      <c r="AA26" s="456"/>
      <c r="AB26" s="456"/>
      <c r="AC26" s="456"/>
      <c r="AD26" s="456"/>
      <c r="AE26" s="456"/>
      <c r="AF26" s="456"/>
      <c r="AG26" s="456"/>
      <c r="AH26" s="456"/>
      <c r="AI26"/>
      <c r="AJ26"/>
      <c r="AK26"/>
      <c r="AL26"/>
      <c r="AM26"/>
      <c r="AN26"/>
      <c r="AO26"/>
      <c r="AQ26" s="565" t="s">
        <v>791</v>
      </c>
      <c r="AR26" s="285" t="str">
        <f>AR12</f>
        <v>K. Helms</v>
      </c>
      <c r="AS26" s="466">
        <f t="shared" si="44"/>
        <v>0</v>
      </c>
      <c r="AT26" s="466">
        <f t="shared" ref="AT26:AY26" si="53">AT12</f>
        <v>0</v>
      </c>
      <c r="AU26" s="466">
        <f t="shared" si="53"/>
        <v>0</v>
      </c>
      <c r="AV26" s="466">
        <f t="shared" si="53"/>
        <v>0</v>
      </c>
      <c r="AW26" s="466">
        <f t="shared" si="53"/>
        <v>0</v>
      </c>
      <c r="AX26" s="466">
        <f t="shared" si="53"/>
        <v>0</v>
      </c>
      <c r="AY26" s="466">
        <f t="shared" si="53"/>
        <v>0</v>
      </c>
      <c r="AZ26" s="469">
        <f>AZ12</f>
        <v>1.1999999999999957E-2</v>
      </c>
      <c r="BA26" s="469">
        <f t="shared" ref="BA26:BC26" si="54">BA12</f>
        <v>1.1999999999999957E-2</v>
      </c>
      <c r="BB26" s="469">
        <f t="shared" si="54"/>
        <v>0</v>
      </c>
      <c r="BC26" s="469">
        <f t="shared" si="54"/>
        <v>0</v>
      </c>
      <c r="BE26" s="461" t="s">
        <v>596</v>
      </c>
      <c r="BF26" s="285" t="str">
        <f>D15</f>
        <v>C. Rojas</v>
      </c>
      <c r="BG26" s="466">
        <f t="shared" ref="BG26:BM26" si="55">AS11</f>
        <v>0</v>
      </c>
      <c r="BH26" s="466">
        <f t="shared" si="55"/>
        <v>0</v>
      </c>
      <c r="BI26" s="466">
        <f t="shared" si="55"/>
        <v>0</v>
      </c>
      <c r="BJ26" s="466">
        <f t="shared" si="55"/>
        <v>0</v>
      </c>
      <c r="BK26" s="466">
        <f t="shared" si="55"/>
        <v>0</v>
      </c>
      <c r="BL26" s="466">
        <f t="shared" si="55"/>
        <v>0</v>
      </c>
      <c r="BM26" s="466">
        <f t="shared" si="55"/>
        <v>0</v>
      </c>
      <c r="BN26" s="469">
        <f t="shared" ref="BN26" si="56">AZ11</f>
        <v>1.4999999999999999E-2</v>
      </c>
      <c r="BO26" s="469">
        <f>BA11</f>
        <v>1.4999999999999999E-2</v>
      </c>
      <c r="BP26" s="469">
        <f>BB11</f>
        <v>0</v>
      </c>
      <c r="BQ26" s="469">
        <f>BC11</f>
        <v>0</v>
      </c>
    </row>
    <row r="27" spans="1:69" x14ac:dyDescent="0.25">
      <c r="W27" s="456">
        <v>1</v>
      </c>
      <c r="AQ27" s="564" t="s">
        <v>67</v>
      </c>
      <c r="AR27" s="331" t="str">
        <f>D21</f>
        <v>J. Limon</v>
      </c>
      <c r="AS27" s="464">
        <f t="shared" si="44"/>
        <v>0</v>
      </c>
      <c r="AT27" s="464">
        <f t="shared" ref="AT27:BC27" si="57">AT13</f>
        <v>0</v>
      </c>
      <c r="AU27" s="464">
        <f t="shared" si="57"/>
        <v>0</v>
      </c>
      <c r="AV27" s="464">
        <f t="shared" si="57"/>
        <v>0</v>
      </c>
      <c r="AW27" s="464">
        <f t="shared" si="57"/>
        <v>0</v>
      </c>
      <c r="AX27" s="464">
        <f t="shared" si="57"/>
        <v>0</v>
      </c>
      <c r="AY27" s="464">
        <f t="shared" si="57"/>
        <v>0</v>
      </c>
      <c r="AZ27" s="590">
        <f t="shared" si="57"/>
        <v>0.06</v>
      </c>
      <c r="BA27" s="590">
        <f t="shared" si="57"/>
        <v>1.4999999999999999E-2</v>
      </c>
      <c r="BB27" s="467">
        <f t="shared" si="57"/>
        <v>0</v>
      </c>
      <c r="BC27" s="467">
        <f t="shared" si="57"/>
        <v>0</v>
      </c>
      <c r="BE27" s="564" t="s">
        <v>791</v>
      </c>
      <c r="BF27" s="331" t="str">
        <f>D13</f>
        <v>S. Zobbe</v>
      </c>
      <c r="BG27" s="466">
        <v>0</v>
      </c>
      <c r="BH27" s="466">
        <f>AJ13*0.18</f>
        <v>0</v>
      </c>
      <c r="BI27" s="466">
        <f>AJ13*0.068</f>
        <v>0</v>
      </c>
      <c r="BJ27" s="466">
        <f>AK13*0.305</f>
        <v>0</v>
      </c>
      <c r="BK27" s="466">
        <v>0</v>
      </c>
      <c r="BL27" s="466">
        <f>(AL13*1)+(AM13*0.286)</f>
        <v>0</v>
      </c>
      <c r="BM27" s="466">
        <f>AM13*0.135</f>
        <v>0</v>
      </c>
      <c r="BN27" s="469">
        <f>AZ14</f>
        <v>1.4999999999999999E-2</v>
      </c>
      <c r="BO27" s="469">
        <f t="shared" ref="BO27:BQ27" si="58">BA14</f>
        <v>1.4999999999999999E-2</v>
      </c>
      <c r="BP27" s="469">
        <f t="shared" si="58"/>
        <v>0</v>
      </c>
      <c r="BQ27" s="469">
        <f t="shared" si="58"/>
        <v>0</v>
      </c>
    </row>
    <row r="28" spans="1:69" x14ac:dyDescent="0.25">
      <c r="Q28" s="163"/>
      <c r="W28" s="456">
        <v>0.8</v>
      </c>
      <c r="AQ28" s="565" t="s">
        <v>67</v>
      </c>
      <c r="AR28" s="285" t="str">
        <f>AR14</f>
        <v>S. Zobbe</v>
      </c>
      <c r="AS28" s="466">
        <f t="shared" si="44"/>
        <v>0</v>
      </c>
      <c r="AT28" s="466">
        <f t="shared" ref="AT28:AY28" si="59">AT14</f>
        <v>0</v>
      </c>
      <c r="AU28" s="466">
        <f t="shared" si="59"/>
        <v>0</v>
      </c>
      <c r="AV28" s="466">
        <f t="shared" si="59"/>
        <v>0</v>
      </c>
      <c r="AW28" s="466">
        <f t="shared" si="59"/>
        <v>0</v>
      </c>
      <c r="AX28" s="466">
        <f t="shared" si="59"/>
        <v>0</v>
      </c>
      <c r="AY28" s="466">
        <f t="shared" si="59"/>
        <v>0</v>
      </c>
      <c r="AZ28" s="467">
        <f>AZ14</f>
        <v>1.4999999999999999E-2</v>
      </c>
      <c r="BA28" s="467">
        <f t="shared" ref="BA28:BC28" si="60">BA14</f>
        <v>1.4999999999999999E-2</v>
      </c>
      <c r="BB28" s="467">
        <f t="shared" si="60"/>
        <v>0</v>
      </c>
      <c r="BC28" s="467">
        <f t="shared" si="60"/>
        <v>0</v>
      </c>
      <c r="BE28" s="565" t="s">
        <v>67</v>
      </c>
      <c r="BF28" s="285" t="str">
        <f>D21</f>
        <v>J. Limon</v>
      </c>
      <c r="BG28" s="464">
        <f t="shared" ref="BG28:BM28" si="61">AS13</f>
        <v>0</v>
      </c>
      <c r="BH28" s="464">
        <f t="shared" si="61"/>
        <v>0</v>
      </c>
      <c r="BI28" s="464">
        <f t="shared" si="61"/>
        <v>0</v>
      </c>
      <c r="BJ28" s="464">
        <f t="shared" si="61"/>
        <v>0</v>
      </c>
      <c r="BK28" s="464">
        <f t="shared" si="61"/>
        <v>0</v>
      </c>
      <c r="BL28" s="464">
        <f t="shared" si="61"/>
        <v>0</v>
      </c>
      <c r="BM28" s="464">
        <f t="shared" si="61"/>
        <v>0</v>
      </c>
      <c r="BN28" s="590">
        <f t="shared" ref="BN28" si="62">AZ13</f>
        <v>0.06</v>
      </c>
      <c r="BO28" s="590">
        <f>BA13</f>
        <v>1.4999999999999999E-2</v>
      </c>
      <c r="BP28" s="467">
        <f>BB13</f>
        <v>0</v>
      </c>
      <c r="BQ28" s="467">
        <f>BC13</f>
        <v>0</v>
      </c>
    </row>
    <row r="29" spans="1:69" x14ac:dyDescent="0.25">
      <c r="K29">
        <v>0.8</v>
      </c>
      <c r="W29" s="456">
        <f>W27-W28</f>
        <v>0.19999999999999996</v>
      </c>
      <c r="X29" s="456">
        <v>3</v>
      </c>
      <c r="AB29" s="163"/>
      <c r="AC29" s="163"/>
      <c r="AD29" s="163"/>
      <c r="AE29" s="163"/>
      <c r="AF29" s="163"/>
      <c r="AG29" s="163"/>
      <c r="AH29" s="163"/>
      <c r="AQ29" s="462"/>
      <c r="AR29" s="463"/>
      <c r="AS29" s="463"/>
      <c r="AT29" s="463"/>
      <c r="AU29" s="463"/>
      <c r="AV29" s="463"/>
      <c r="AW29" s="463"/>
      <c r="AX29" s="463"/>
      <c r="AY29" s="463"/>
      <c r="AZ29" s="463"/>
      <c r="BA29" s="463"/>
      <c r="BB29" s="463"/>
      <c r="BC29" s="463"/>
    </row>
    <row r="30" spans="1:69" x14ac:dyDescent="0.25">
      <c r="K30">
        <f>1-K29</f>
        <v>0.19999999999999996</v>
      </c>
      <c r="W30" s="456">
        <v>1</v>
      </c>
      <c r="X30" s="456">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3" customWidth="1"/>
    <col min="2" max="2" width="14.28515625" style="563" bestFit="1" customWidth="1"/>
    <col min="3" max="9" width="8.28515625" style="563" bestFit="1" customWidth="1"/>
    <col min="10" max="10" width="8.28515625" style="587" bestFit="1" customWidth="1"/>
    <col min="11" max="11" width="9.28515625" style="587" bestFit="1" customWidth="1"/>
    <col min="12" max="12" width="8.28515625" style="56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6"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876</v>
      </c>
      <c r="C1" s="618">
        <f t="shared" ref="C1:L1" si="0">MAX(C3:C27)</f>
        <v>7.6541020779221203E-2</v>
      </c>
      <c r="D1" s="618">
        <f t="shared" si="0"/>
        <v>9.516709370629349E-2</v>
      </c>
      <c r="E1" s="618">
        <f t="shared" si="0"/>
        <v>0.10114897692307692</v>
      </c>
      <c r="F1" s="618">
        <f t="shared" si="0"/>
        <v>5.254696863959811E-2</v>
      </c>
      <c r="G1" s="618">
        <f t="shared" si="0"/>
        <v>5.2239892473118138E-2</v>
      </c>
      <c r="H1" s="618">
        <f t="shared" si="0"/>
        <v>8.0176190476190248E-2</v>
      </c>
      <c r="I1" s="618">
        <f t="shared" si="0"/>
        <v>5.7961761904761842E-2</v>
      </c>
      <c r="J1" s="618">
        <f t="shared" si="0"/>
        <v>0</v>
      </c>
      <c r="K1" s="618">
        <f t="shared" si="0"/>
        <v>3.6222627372627408E-2</v>
      </c>
      <c r="L1" s="618">
        <f t="shared" si="0"/>
        <v>0.16964285714285698</v>
      </c>
      <c r="N1" s="563"/>
      <c r="O1" s="563"/>
      <c r="P1" s="566"/>
      <c r="Q1" s="566"/>
      <c r="R1" s="566"/>
      <c r="S1" s="566"/>
      <c r="T1" s="566"/>
      <c r="U1" s="566"/>
      <c r="V1" s="566"/>
      <c r="W1" s="566"/>
      <c r="X1" s="566"/>
      <c r="Y1" s="696"/>
      <c r="Z1" s="566"/>
      <c r="AA1" s="566"/>
      <c r="AB1" s="566"/>
      <c r="AC1" s="566"/>
      <c r="AD1" s="566"/>
      <c r="AE1" s="566"/>
      <c r="AF1" s="566"/>
      <c r="AG1" s="566"/>
    </row>
    <row r="2" spans="1:33" x14ac:dyDescent="0.25">
      <c r="A2" s="691" t="s">
        <v>868</v>
      </c>
      <c r="B2" s="692" t="s">
        <v>867</v>
      </c>
      <c r="C2" s="361" t="s">
        <v>541</v>
      </c>
      <c r="D2" s="569" t="s">
        <v>542</v>
      </c>
      <c r="E2" s="569" t="s">
        <v>582</v>
      </c>
      <c r="F2" s="569" t="s">
        <v>543</v>
      </c>
      <c r="G2" s="569" t="s">
        <v>544</v>
      </c>
      <c r="H2" s="569" t="s">
        <v>545</v>
      </c>
      <c r="I2" s="569" t="s">
        <v>546</v>
      </c>
      <c r="J2" s="569" t="s">
        <v>879</v>
      </c>
      <c r="K2" s="569" t="s">
        <v>880</v>
      </c>
      <c r="L2" s="569" t="s">
        <v>714</v>
      </c>
      <c r="N2" s="691" t="s">
        <v>868</v>
      </c>
      <c r="O2" s="692" t="s">
        <v>867</v>
      </c>
      <c r="P2" s="361" t="s">
        <v>541</v>
      </c>
      <c r="Q2" s="569" t="s">
        <v>1029</v>
      </c>
      <c r="R2" s="569" t="s">
        <v>542</v>
      </c>
      <c r="S2" s="569" t="s">
        <v>1029</v>
      </c>
      <c r="T2" s="569" t="s">
        <v>582</v>
      </c>
      <c r="U2" s="569" t="s">
        <v>1029</v>
      </c>
      <c r="V2" s="569" t="s">
        <v>543</v>
      </c>
      <c r="W2" s="569" t="s">
        <v>1029</v>
      </c>
      <c r="X2" s="569" t="s">
        <v>544</v>
      </c>
      <c r="Y2" s="569" t="s">
        <v>1029</v>
      </c>
      <c r="Z2" s="569" t="s">
        <v>545</v>
      </c>
      <c r="AA2" s="569" t="s">
        <v>1029</v>
      </c>
      <c r="AB2" s="569" t="s">
        <v>546</v>
      </c>
      <c r="AC2" s="569" t="s">
        <v>1029</v>
      </c>
      <c r="AD2" s="615" t="s">
        <v>879</v>
      </c>
      <c r="AE2" s="615" t="s">
        <v>1029</v>
      </c>
      <c r="AF2" s="615" t="s">
        <v>880</v>
      </c>
      <c r="AG2" s="615" t="s">
        <v>1029</v>
      </c>
    </row>
    <row r="3" spans="1:33" x14ac:dyDescent="0.25">
      <c r="A3" s="568" t="s">
        <v>869</v>
      </c>
      <c r="B3" s="567" t="s">
        <v>180</v>
      </c>
      <c r="C3" s="577"/>
      <c r="D3" s="578"/>
      <c r="E3" s="578"/>
      <c r="F3" s="578"/>
      <c r="G3" s="578"/>
      <c r="H3" s="578"/>
      <c r="I3" s="578"/>
      <c r="J3" s="578"/>
      <c r="K3" s="578"/>
      <c r="L3" s="578"/>
      <c r="M3" s="9"/>
      <c r="N3" s="620" t="s">
        <v>869</v>
      </c>
      <c r="O3" s="621" t="s">
        <v>180</v>
      </c>
      <c r="P3" s="580">
        <f>C3/$C$4</f>
        <v>0</v>
      </c>
      <c r="Q3" s="704" t="e">
        <f>1/C3</f>
        <v>#DIV/0!</v>
      </c>
      <c r="R3" s="580">
        <f>D3/D1</f>
        <v>0</v>
      </c>
      <c r="S3" s="704" t="e">
        <f>1/D3</f>
        <v>#DIV/0!</v>
      </c>
      <c r="T3" s="580">
        <f>E3/E1</f>
        <v>0</v>
      </c>
      <c r="U3" s="704" t="e">
        <f>1/E3</f>
        <v>#DIV/0!</v>
      </c>
      <c r="V3" s="581"/>
      <c r="W3" s="581"/>
      <c r="X3" s="581"/>
      <c r="Y3" s="697"/>
      <c r="Z3" s="581"/>
      <c r="AA3" s="581"/>
      <c r="AB3" s="581"/>
      <c r="AC3" s="581"/>
      <c r="AD3" s="581"/>
      <c r="AE3" s="581"/>
      <c r="AF3" s="581">
        <f>K3/K1</f>
        <v>0</v>
      </c>
      <c r="AG3" s="697"/>
    </row>
    <row r="4" spans="1:33" x14ac:dyDescent="0.25">
      <c r="A4" s="739" t="s">
        <v>870</v>
      </c>
      <c r="B4" s="575" t="s">
        <v>822</v>
      </c>
      <c r="C4" s="622">
        <v>5.9340247552447711E-2</v>
      </c>
      <c r="D4" s="593">
        <v>6.8999559240759498E-2</v>
      </c>
      <c r="E4" s="593">
        <v>7.5579372027972075E-2</v>
      </c>
      <c r="F4" s="593"/>
      <c r="G4" s="593"/>
      <c r="H4" s="593"/>
      <c r="I4" s="593"/>
      <c r="J4" s="593">
        <v>0</v>
      </c>
      <c r="K4" s="593">
        <v>3.6222627372627408E-2</v>
      </c>
      <c r="L4" s="593"/>
      <c r="M4" s="9"/>
      <c r="N4" s="741" t="s">
        <v>870</v>
      </c>
      <c r="O4" s="623" t="s">
        <v>822</v>
      </c>
      <c r="P4" s="582">
        <f>C4/$C$1</f>
        <v>0.77527379369046734</v>
      </c>
      <c r="Q4" s="698">
        <f>1/C4</f>
        <v>16.851968794301925</v>
      </c>
      <c r="R4" s="583">
        <f>D4/$D$1</f>
        <v>0.72503589795131562</v>
      </c>
      <c r="S4" s="698">
        <f>1/D4</f>
        <v>14.492846200809916</v>
      </c>
      <c r="T4" s="583">
        <f>E4/$E$1</f>
        <v>0.74720846742176794</v>
      </c>
      <c r="U4" s="698">
        <f>1/E4</f>
        <v>13.231123429153367</v>
      </c>
      <c r="V4" s="583"/>
      <c r="W4" s="583"/>
      <c r="X4" s="582"/>
      <c r="Y4" s="698"/>
      <c r="Z4" s="583"/>
      <c r="AA4" s="583"/>
      <c r="AB4" s="583"/>
      <c r="AC4" s="583"/>
      <c r="AD4" s="582"/>
      <c r="AE4" s="582"/>
      <c r="AF4" s="582">
        <f>K4/K1</f>
        <v>1</v>
      </c>
      <c r="AG4" s="702"/>
    </row>
    <row r="5" spans="1:33" x14ac:dyDescent="0.25">
      <c r="A5" s="739"/>
      <c r="B5" s="575" t="s">
        <v>821</v>
      </c>
      <c r="C5" s="616"/>
      <c r="D5" s="579"/>
      <c r="E5" s="579"/>
      <c r="F5" s="579">
        <v>5.254696863959811E-2</v>
      </c>
      <c r="G5" s="579"/>
      <c r="H5" s="579"/>
      <c r="I5" s="579"/>
      <c r="J5" s="579"/>
      <c r="K5" s="579"/>
      <c r="L5" s="579"/>
      <c r="M5" s="9"/>
      <c r="N5" s="741"/>
      <c r="O5" s="623" t="s">
        <v>821</v>
      </c>
      <c r="P5" s="584"/>
      <c r="Q5" s="699"/>
      <c r="R5" s="571"/>
      <c r="S5" s="699"/>
      <c r="T5" s="571"/>
      <c r="U5" s="699"/>
      <c r="V5" s="571">
        <f>F5/F1</f>
        <v>1</v>
      </c>
      <c r="W5" s="699">
        <f>1/F5</f>
        <v>19.03059350309362</v>
      </c>
      <c r="X5" s="584"/>
      <c r="Y5" s="699"/>
      <c r="Z5" s="571"/>
      <c r="AA5" s="571"/>
      <c r="AB5" s="571"/>
      <c r="AC5" s="571"/>
      <c r="AD5" s="584"/>
      <c r="AE5" s="584"/>
      <c r="AF5" s="584"/>
      <c r="AG5" s="701"/>
    </row>
    <row r="6" spans="1:33" x14ac:dyDescent="0.25">
      <c r="A6" s="739"/>
      <c r="B6" s="575" t="s">
        <v>874</v>
      </c>
      <c r="C6" s="616"/>
      <c r="D6" s="579"/>
      <c r="E6" s="579"/>
      <c r="F6" s="579"/>
      <c r="G6" s="579">
        <v>3.9584999999999822E-2</v>
      </c>
      <c r="H6" s="579">
        <v>6.3542692307692147E-2</v>
      </c>
      <c r="I6" s="579">
        <v>0</v>
      </c>
      <c r="J6" s="579"/>
      <c r="K6" s="579"/>
      <c r="L6" s="579"/>
      <c r="M6" s="9"/>
      <c r="N6" s="741"/>
      <c r="O6" s="623" t="s">
        <v>874</v>
      </c>
      <c r="P6" s="584"/>
      <c r="Q6" s="699"/>
      <c r="R6" s="571"/>
      <c r="S6" s="699"/>
      <c r="T6" s="571"/>
      <c r="U6" s="699"/>
      <c r="V6" s="571"/>
      <c r="W6" s="699"/>
      <c r="X6" s="584">
        <f>G6/$G$1</f>
        <v>0.75775423964300204</v>
      </c>
      <c r="Y6" s="699">
        <f>1/G6</f>
        <v>25.262094227611584</v>
      </c>
      <c r="Z6" s="571">
        <f>H6/$H$1</f>
        <v>0.79253818284821453</v>
      </c>
      <c r="AA6" s="699">
        <f>1/H6</f>
        <v>15.737450896126811</v>
      </c>
      <c r="AB6" s="571">
        <f>I6/$I$1</f>
        <v>0</v>
      </c>
      <c r="AC6" s="571"/>
      <c r="AD6" s="584"/>
      <c r="AE6" s="584"/>
      <c r="AF6" s="584"/>
      <c r="AG6" s="701"/>
    </row>
    <row r="7" spans="1:33" x14ac:dyDescent="0.25">
      <c r="A7" s="739"/>
      <c r="B7" s="575" t="s">
        <v>875</v>
      </c>
      <c r="C7" s="616"/>
      <c r="D7" s="579"/>
      <c r="E7" s="579"/>
      <c r="F7" s="579"/>
      <c r="G7" s="579">
        <v>3.3714285714285648E-2</v>
      </c>
      <c r="H7" s="579">
        <v>3.433928571428569E-2</v>
      </c>
      <c r="I7" s="579">
        <v>4.9198011904761828E-2</v>
      </c>
      <c r="J7" s="579"/>
      <c r="K7" s="579"/>
      <c r="L7" s="579"/>
      <c r="M7" s="9"/>
      <c r="N7" s="741"/>
      <c r="O7" s="623" t="s">
        <v>875</v>
      </c>
      <c r="P7" s="584"/>
      <c r="Q7" s="699"/>
      <c r="R7" s="571"/>
      <c r="S7" s="699"/>
      <c r="T7" s="571"/>
      <c r="U7" s="699"/>
      <c r="V7" s="571"/>
      <c r="W7" s="699"/>
      <c r="X7" s="584">
        <f t="shared" ref="X7" si="1">G7/$G$1</f>
        <v>0.64537433210902018</v>
      </c>
      <c r="Y7" s="699">
        <f t="shared" ref="Y7" si="2">1/G7</f>
        <v>29.6610169491526</v>
      </c>
      <c r="Z7" s="571">
        <f t="shared" ref="Z7" si="3">H7/$H$1</f>
        <v>0.42829779651957089</v>
      </c>
      <c r="AA7" s="699">
        <f t="shared" ref="AA7" si="4">1/H7</f>
        <v>29.121164846593885</v>
      </c>
      <c r="AB7" s="571">
        <f t="shared" ref="AB7" si="5">I7/$I$1</f>
        <v>0.84880118008835015</v>
      </c>
      <c r="AC7" s="699">
        <f t="shared" ref="AC7" si="6">1/I7</f>
        <v>20.326024594973745</v>
      </c>
      <c r="AD7" s="584"/>
      <c r="AE7" s="584"/>
      <c r="AF7" s="584"/>
      <c r="AG7" s="701"/>
    </row>
    <row r="8" spans="1:33" x14ac:dyDescent="0.25">
      <c r="A8" s="739"/>
      <c r="B8" s="575" t="s">
        <v>840</v>
      </c>
      <c r="C8" s="616"/>
      <c r="D8" s="579"/>
      <c r="E8" s="579"/>
      <c r="F8" s="579"/>
      <c r="G8" s="579"/>
      <c r="H8" s="579"/>
      <c r="I8" s="579"/>
      <c r="J8" s="579"/>
      <c r="K8" s="579"/>
      <c r="L8" s="579"/>
      <c r="M8" s="9"/>
      <c r="N8" s="741"/>
      <c r="O8" s="623" t="s">
        <v>840</v>
      </c>
      <c r="P8" s="584"/>
      <c r="Q8" s="699"/>
      <c r="R8" s="571"/>
      <c r="S8" s="699"/>
      <c r="T8" s="571"/>
      <c r="U8" s="699"/>
      <c r="V8" s="571"/>
      <c r="W8" s="699"/>
      <c r="X8" s="584"/>
      <c r="Y8" s="699"/>
      <c r="Z8" s="571"/>
      <c r="AA8" s="699"/>
      <c r="AB8" s="571"/>
      <c r="AC8" s="699"/>
      <c r="AD8" s="584"/>
      <c r="AE8" s="701"/>
      <c r="AF8" s="584"/>
      <c r="AG8" s="701"/>
    </row>
    <row r="9" spans="1:33" x14ac:dyDescent="0.25">
      <c r="A9" s="739"/>
      <c r="B9" s="588" t="s">
        <v>0</v>
      </c>
      <c r="C9" s="617"/>
      <c r="D9" s="570"/>
      <c r="E9" s="570"/>
      <c r="F9" s="570"/>
      <c r="G9" s="570"/>
      <c r="H9" s="570"/>
      <c r="I9" s="570"/>
      <c r="J9" s="570"/>
      <c r="K9" s="570"/>
      <c r="L9" s="570"/>
      <c r="M9" s="9"/>
      <c r="N9" s="741"/>
      <c r="O9" s="623" t="s">
        <v>0</v>
      </c>
      <c r="P9" s="585"/>
      <c r="Q9" s="700"/>
      <c r="R9" s="572"/>
      <c r="S9" s="700"/>
      <c r="T9" s="572"/>
      <c r="U9" s="700"/>
      <c r="V9" s="572"/>
      <c r="W9" s="700"/>
      <c r="X9" s="585"/>
      <c r="Y9" s="700"/>
      <c r="Z9" s="572"/>
      <c r="AA9" s="572"/>
      <c r="AB9" s="572"/>
      <c r="AC9" s="572"/>
      <c r="AD9" s="585" t="e">
        <f>J9/$J$1</f>
        <v>#DIV/0!</v>
      </c>
      <c r="AE9" s="703" t="e">
        <f>1/J9</f>
        <v>#DIV/0!</v>
      </c>
      <c r="AF9" s="585">
        <f>K9/$K$1</f>
        <v>0</v>
      </c>
      <c r="AG9" s="703" t="e">
        <f>1/K9</f>
        <v>#DIV/0!</v>
      </c>
    </row>
    <row r="10" spans="1:33" x14ac:dyDescent="0.25">
      <c r="A10" s="740" t="s">
        <v>871</v>
      </c>
      <c r="B10" s="576" t="s">
        <v>822</v>
      </c>
      <c r="C10" s="622">
        <v>4.0980247552447779E-2</v>
      </c>
      <c r="D10" s="593">
        <v>7.0304873926074096E-2</v>
      </c>
      <c r="E10" s="593">
        <v>4.0579372027972196E-2</v>
      </c>
      <c r="F10" s="593"/>
      <c r="G10" s="593"/>
      <c r="H10" s="593"/>
      <c r="I10" s="593"/>
      <c r="J10" s="593">
        <v>0</v>
      </c>
      <c r="K10" s="593">
        <v>3.0871978021978067E-2</v>
      </c>
      <c r="L10" s="593"/>
      <c r="M10" s="9"/>
      <c r="N10" s="742" t="s">
        <v>871</v>
      </c>
      <c r="O10" s="624" t="s">
        <v>822</v>
      </c>
      <c r="P10" s="584">
        <f>C10/$C$1</f>
        <v>0.53540241736066307</v>
      </c>
      <c r="Q10" s="698">
        <f>1/C10</f>
        <v>24.40199998109258</v>
      </c>
      <c r="R10" s="583">
        <f>D10/$D$1</f>
        <v>0.73875192766788012</v>
      </c>
      <c r="S10" s="698">
        <f>1/D10</f>
        <v>14.223764927755999</v>
      </c>
      <c r="T10" s="583">
        <f>E10/$E$1</f>
        <v>0.40118420632996138</v>
      </c>
      <c r="U10" s="698">
        <f>1/E10</f>
        <v>24.643062472989463</v>
      </c>
      <c r="V10" s="571"/>
      <c r="W10" s="699"/>
      <c r="X10" s="584"/>
      <c r="Y10" s="699"/>
      <c r="Z10" s="571"/>
      <c r="AA10" s="571"/>
      <c r="AB10" s="571"/>
      <c r="AC10" s="571"/>
      <c r="AD10" s="584"/>
      <c r="AE10" s="571"/>
      <c r="AF10" s="571">
        <f>K10/K1</f>
        <v>0.85228433885796195</v>
      </c>
      <c r="AG10" s="699"/>
    </row>
    <row r="11" spans="1:33" x14ac:dyDescent="0.25">
      <c r="A11" s="739"/>
      <c r="B11" s="575" t="s">
        <v>821</v>
      </c>
      <c r="C11" s="616"/>
      <c r="D11" s="579"/>
      <c r="E11" s="579"/>
      <c r="F11" s="579">
        <v>5.1022557865187314E-2</v>
      </c>
      <c r="G11" s="579"/>
      <c r="H11" s="579"/>
      <c r="I11" s="579"/>
      <c r="J11" s="579"/>
      <c r="K11" s="579"/>
      <c r="L11" s="579"/>
      <c r="M11" s="9"/>
      <c r="N11" s="741"/>
      <c r="O11" s="623" t="s">
        <v>821</v>
      </c>
      <c r="P11" s="584"/>
      <c r="Q11" s="699"/>
      <c r="R11" s="571"/>
      <c r="S11" s="699"/>
      <c r="T11" s="571"/>
      <c r="U11" s="699"/>
      <c r="V11" s="571">
        <f>F11/F1</f>
        <v>0.97098955822045196</v>
      </c>
      <c r="W11" s="699">
        <f>1/F11</f>
        <v>19.599174205303804</v>
      </c>
      <c r="X11" s="584"/>
      <c r="Y11" s="699"/>
      <c r="Z11" s="571"/>
      <c r="AA11" s="571"/>
      <c r="AB11" s="571"/>
      <c r="AC11" s="571"/>
      <c r="AD11" s="584"/>
      <c r="AE11" s="571"/>
      <c r="AF11" s="571"/>
      <c r="AG11" s="699"/>
    </row>
    <row r="12" spans="1:33" x14ac:dyDescent="0.25">
      <c r="A12" s="739"/>
      <c r="B12" s="575" t="s">
        <v>874</v>
      </c>
      <c r="C12" s="616"/>
      <c r="D12" s="579"/>
      <c r="E12" s="579"/>
      <c r="F12" s="579"/>
      <c r="G12" s="579">
        <v>4.2215952380952187E-2</v>
      </c>
      <c r="H12" s="579">
        <v>6.617364468864452E-2</v>
      </c>
      <c r="I12" s="579">
        <v>0</v>
      </c>
      <c r="J12" s="579"/>
      <c r="K12" s="579"/>
      <c r="L12" s="579"/>
      <c r="M12" s="9"/>
      <c r="N12" s="741"/>
      <c r="O12" s="623" t="s">
        <v>874</v>
      </c>
      <c r="P12" s="584"/>
      <c r="Q12" s="699"/>
      <c r="R12" s="571"/>
      <c r="S12" s="699"/>
      <c r="T12" s="571"/>
      <c r="U12" s="699"/>
      <c r="V12" s="571"/>
      <c r="W12" s="699"/>
      <c r="X12" s="584">
        <f t="shared" ref="X12:X13" si="7">G12/$G$1</f>
        <v>0.80811713773484284</v>
      </c>
      <c r="Y12" s="699">
        <f t="shared" ref="Y12:Y13" si="8">1/G12</f>
        <v>23.687728064881924</v>
      </c>
      <c r="Z12" s="571">
        <f t="shared" ref="Z12:Z13" si="9">H12/$H$1</f>
        <v>0.82535281728427801</v>
      </c>
      <c r="AA12" s="699">
        <f t="shared" ref="AA12:AA13" si="10">1/H12</f>
        <v>15.111756420628305</v>
      </c>
      <c r="AB12" s="571">
        <f t="shared" ref="AB12:AB13" si="11">I12/$I$1</f>
        <v>0</v>
      </c>
      <c r="AC12" s="699"/>
      <c r="AD12" s="584"/>
      <c r="AE12" s="571"/>
      <c r="AF12" s="571"/>
      <c r="AG12" s="699"/>
    </row>
    <row r="13" spans="1:33" x14ac:dyDescent="0.25">
      <c r="A13" s="739"/>
      <c r="B13" s="575" t="s">
        <v>875</v>
      </c>
      <c r="C13" s="616"/>
      <c r="D13" s="579"/>
      <c r="E13" s="579"/>
      <c r="F13" s="579"/>
      <c r="G13" s="579">
        <v>3.8151785714285652E-2</v>
      </c>
      <c r="H13" s="579">
        <v>3.8776785714285687E-2</v>
      </c>
      <c r="I13" s="579">
        <v>5.7961761904761842E-2</v>
      </c>
      <c r="J13" s="579"/>
      <c r="K13" s="579"/>
      <c r="L13" s="579"/>
      <c r="M13" s="9"/>
      <c r="N13" s="741"/>
      <c r="O13" s="623" t="s">
        <v>875</v>
      </c>
      <c r="P13" s="584"/>
      <c r="Q13" s="699"/>
      <c r="R13" s="571"/>
      <c r="S13" s="699"/>
      <c r="T13" s="571"/>
      <c r="U13" s="699"/>
      <c r="V13" s="571"/>
      <c r="W13" s="699"/>
      <c r="X13" s="584">
        <f t="shared" si="7"/>
        <v>0.73031899393586974</v>
      </c>
      <c r="Y13" s="699">
        <f t="shared" si="8"/>
        <v>26.211092908963302</v>
      </c>
      <c r="Z13" s="571">
        <f t="shared" si="9"/>
        <v>0.48364465166003551</v>
      </c>
      <c r="AA13" s="699">
        <f t="shared" si="10"/>
        <v>25.788625374165342</v>
      </c>
      <c r="AB13" s="571">
        <f t="shared" si="11"/>
        <v>1</v>
      </c>
      <c r="AC13" s="699">
        <f t="shared" ref="AC13" si="12">1/I13</f>
        <v>17.252753662718543</v>
      </c>
      <c r="AD13" s="584"/>
      <c r="AE13" s="571"/>
      <c r="AF13" s="571"/>
      <c r="AG13" s="699"/>
    </row>
    <row r="14" spans="1:33" x14ac:dyDescent="0.25">
      <c r="A14" s="739"/>
      <c r="B14" s="575" t="s">
        <v>840</v>
      </c>
      <c r="C14" s="616"/>
      <c r="D14" s="579"/>
      <c r="E14" s="579"/>
      <c r="F14" s="579"/>
      <c r="G14" s="579"/>
      <c r="H14" s="579"/>
      <c r="I14" s="579"/>
      <c r="J14" s="579"/>
      <c r="K14" s="579"/>
      <c r="L14" s="579"/>
      <c r="M14" s="9"/>
      <c r="N14" s="741"/>
      <c r="O14" s="623" t="s">
        <v>840</v>
      </c>
      <c r="P14" s="584"/>
      <c r="Q14" s="699"/>
      <c r="R14" s="571"/>
      <c r="S14" s="699"/>
      <c r="T14" s="571"/>
      <c r="U14" s="699"/>
      <c r="V14" s="571"/>
      <c r="W14" s="699"/>
      <c r="X14" s="584"/>
      <c r="Y14" s="699"/>
      <c r="Z14" s="571"/>
      <c r="AA14" s="699"/>
      <c r="AB14" s="571"/>
      <c r="AC14" s="699"/>
      <c r="AD14" s="584"/>
      <c r="AE14" s="701"/>
      <c r="AF14" s="584"/>
      <c r="AG14" s="701"/>
    </row>
    <row r="15" spans="1:33" x14ac:dyDescent="0.25">
      <c r="A15" s="739"/>
      <c r="B15" s="588" t="s">
        <v>0</v>
      </c>
      <c r="C15" s="617"/>
      <c r="D15" s="570"/>
      <c r="E15" s="570"/>
      <c r="F15" s="570"/>
      <c r="G15" s="570"/>
      <c r="H15" s="570"/>
      <c r="I15" s="570"/>
      <c r="J15" s="570"/>
      <c r="K15" s="570"/>
      <c r="L15" s="570"/>
      <c r="M15" s="9"/>
      <c r="N15" s="741"/>
      <c r="O15" s="623" t="s">
        <v>0</v>
      </c>
      <c r="P15" s="585"/>
      <c r="Q15" s="700"/>
      <c r="R15" s="572"/>
      <c r="S15" s="700"/>
      <c r="T15" s="572"/>
      <c r="U15" s="700"/>
      <c r="V15" s="572"/>
      <c r="W15" s="700"/>
      <c r="X15" s="585"/>
      <c r="Y15" s="700"/>
      <c r="Z15" s="572"/>
      <c r="AA15" s="572"/>
      <c r="AB15" s="572"/>
      <c r="AC15" s="572"/>
      <c r="AD15" s="585" t="e">
        <f>J15/$J$1</f>
        <v>#DIV/0!</v>
      </c>
      <c r="AE15" s="703" t="e">
        <f>1/J15</f>
        <v>#DIV/0!</v>
      </c>
      <c r="AF15" s="585">
        <f>K15/$K$1</f>
        <v>0</v>
      </c>
      <c r="AG15" s="703" t="e">
        <f>1/K15</f>
        <v>#DIV/0!</v>
      </c>
    </row>
    <row r="16" spans="1:33" x14ac:dyDescent="0.25">
      <c r="A16" s="740" t="s">
        <v>872</v>
      </c>
      <c r="B16" s="576" t="s">
        <v>822</v>
      </c>
      <c r="C16" s="616">
        <v>5.8181020779221264E-2</v>
      </c>
      <c r="D16" s="579">
        <v>7.6807093706293558E-2</v>
      </c>
      <c r="E16" s="579">
        <v>6.6148976923077044E-2</v>
      </c>
      <c r="F16" s="579"/>
      <c r="G16" s="579"/>
      <c r="H16" s="579"/>
      <c r="I16" s="579"/>
      <c r="J16" s="579">
        <v>0</v>
      </c>
      <c r="K16" s="579">
        <v>2.9990859140859215E-2</v>
      </c>
      <c r="L16" s="579">
        <v>4.1477272727272974E-2</v>
      </c>
      <c r="M16" s="9"/>
      <c r="N16" s="742" t="s">
        <v>872</v>
      </c>
      <c r="O16" s="624" t="s">
        <v>822</v>
      </c>
      <c r="P16" s="584">
        <f>C16/$C$1</f>
        <v>0.76012862367019574</v>
      </c>
      <c r="Q16" s="698">
        <f>1/C16</f>
        <v>17.18773556405424</v>
      </c>
      <c r="R16" s="583">
        <f>D16/$D$1</f>
        <v>0.80707617218339234</v>
      </c>
      <c r="S16" s="698">
        <f>1/D16</f>
        <v>13.019630762543228</v>
      </c>
      <c r="T16" s="583">
        <f>E16/$E$1</f>
        <v>0.65397573890819349</v>
      </c>
      <c r="U16" s="698">
        <f>1/E16</f>
        <v>15.117391780115881</v>
      </c>
      <c r="V16" s="571"/>
      <c r="W16" s="699"/>
      <c r="X16" s="571"/>
      <c r="Y16" s="699"/>
      <c r="Z16" s="571"/>
      <c r="AA16" s="571"/>
      <c r="AB16" s="571"/>
      <c r="AC16" s="571"/>
      <c r="AD16" s="571"/>
      <c r="AE16" s="571"/>
      <c r="AF16" s="571">
        <f>K16/K1</f>
        <v>0.827959243053766</v>
      </c>
      <c r="AG16" s="699"/>
    </row>
    <row r="17" spans="1:33" x14ac:dyDescent="0.25">
      <c r="A17" s="739"/>
      <c r="B17" s="575" t="s">
        <v>821</v>
      </c>
      <c r="C17" s="616"/>
      <c r="D17" s="579"/>
      <c r="E17" s="579"/>
      <c r="F17" s="579">
        <v>4.2273232055429683E-2</v>
      </c>
      <c r="G17" s="579"/>
      <c r="H17" s="579"/>
      <c r="I17" s="579"/>
      <c r="J17" s="579"/>
      <c r="K17" s="579"/>
      <c r="L17" s="579"/>
      <c r="M17" s="9"/>
      <c r="N17" s="741"/>
      <c r="O17" s="623" t="s">
        <v>821</v>
      </c>
      <c r="P17" s="584"/>
      <c r="Q17" s="699"/>
      <c r="R17" s="571"/>
      <c r="S17" s="699"/>
      <c r="T17" s="571"/>
      <c r="U17" s="699"/>
      <c r="V17" s="571">
        <f>F17/F1</f>
        <v>0.80448469530882905</v>
      </c>
      <c r="W17" s="699">
        <f>1/F17</f>
        <v>23.655631504323487</v>
      </c>
      <c r="X17" s="571"/>
      <c r="Y17" s="699"/>
      <c r="Z17" s="571"/>
      <c r="AA17" s="571"/>
      <c r="AB17" s="571"/>
      <c r="AC17" s="571"/>
      <c r="AD17" s="571"/>
      <c r="AE17" s="571"/>
      <c r="AF17" s="571"/>
      <c r="AG17" s="699"/>
    </row>
    <row r="18" spans="1:33" x14ac:dyDescent="0.25">
      <c r="A18" s="739"/>
      <c r="B18" s="575" t="s">
        <v>874</v>
      </c>
      <c r="C18" s="616"/>
      <c r="D18" s="579"/>
      <c r="E18" s="579"/>
      <c r="F18" s="579"/>
      <c r="G18" s="579">
        <v>5.2239892473118138E-2</v>
      </c>
      <c r="H18" s="579">
        <v>8.0176190476190248E-2</v>
      </c>
      <c r="I18" s="579">
        <v>0</v>
      </c>
      <c r="J18" s="579"/>
      <c r="K18" s="579"/>
      <c r="L18" s="579"/>
      <c r="M18" s="9"/>
      <c r="N18" s="741"/>
      <c r="O18" s="623" t="s">
        <v>874</v>
      </c>
      <c r="P18" s="584"/>
      <c r="Q18" s="699"/>
      <c r="R18" s="571"/>
      <c r="S18" s="699"/>
      <c r="T18" s="571"/>
      <c r="U18" s="699"/>
      <c r="V18" s="571"/>
      <c r="W18" s="699"/>
      <c r="X18" s="571">
        <f t="shared" ref="X18:X19" si="13">G18/$G$1</f>
        <v>1</v>
      </c>
      <c r="Y18" s="699">
        <f t="shared" ref="Y18:Y19" si="14">1/G18</f>
        <v>19.142459003233686</v>
      </c>
      <c r="Z18" s="571">
        <f t="shared" ref="Z18:Z19" si="15">H18/$H$1</f>
        <v>1</v>
      </c>
      <c r="AA18" s="699">
        <f t="shared" ref="AA18:AA19" si="16">1/H18</f>
        <v>12.472530735879349</v>
      </c>
      <c r="AB18" s="571">
        <f t="shared" ref="AB18:AB19" si="17">I18/$I$1</f>
        <v>0</v>
      </c>
      <c r="AC18" s="699"/>
      <c r="AD18" s="571"/>
      <c r="AE18" s="571"/>
      <c r="AF18" s="571"/>
      <c r="AG18" s="699"/>
    </row>
    <row r="19" spans="1:33" x14ac:dyDescent="0.25">
      <c r="A19" s="739"/>
      <c r="B19" s="575" t="s">
        <v>875</v>
      </c>
      <c r="C19" s="616"/>
      <c r="D19" s="579"/>
      <c r="E19" s="579"/>
      <c r="F19" s="579"/>
      <c r="G19" s="579">
        <v>2.5968749999999961E-2</v>
      </c>
      <c r="H19" s="579">
        <v>2.5281249999999998E-2</v>
      </c>
      <c r="I19" s="579">
        <v>3.0639083333333313E-2</v>
      </c>
      <c r="J19" s="579"/>
      <c r="K19" s="579"/>
      <c r="L19" s="579">
        <v>0.1339285714285714</v>
      </c>
      <c r="M19" s="709">
        <f>1/L19</f>
        <v>7.4666666666666686</v>
      </c>
      <c r="N19" s="741"/>
      <c r="O19" s="623" t="s">
        <v>875</v>
      </c>
      <c r="P19" s="584"/>
      <c r="Q19" s="699"/>
      <c r="R19" s="571"/>
      <c r="S19" s="699"/>
      <c r="T19" s="571"/>
      <c r="U19" s="699"/>
      <c r="V19" s="571"/>
      <c r="W19" s="699"/>
      <c r="X19" s="571">
        <f t="shared" si="13"/>
        <v>0.49710573224022403</v>
      </c>
      <c r="Y19" s="699">
        <f t="shared" si="14"/>
        <v>38.507821901323766</v>
      </c>
      <c r="Z19" s="571">
        <f t="shared" si="15"/>
        <v>0.31532116766644974</v>
      </c>
      <c r="AA19" s="699">
        <f t="shared" si="16"/>
        <v>39.555006180469718</v>
      </c>
      <c r="AB19" s="571">
        <f t="shared" si="17"/>
        <v>0.52860855720150501</v>
      </c>
      <c r="AC19" s="699">
        <f t="shared" ref="AC19" si="18">1/I19</f>
        <v>32.63805216104705</v>
      </c>
      <c r="AD19" s="571"/>
      <c r="AE19" s="571"/>
      <c r="AF19" s="571"/>
      <c r="AG19" s="699"/>
    </row>
    <row r="20" spans="1:33" x14ac:dyDescent="0.25">
      <c r="A20" s="739"/>
      <c r="B20" s="575" t="s">
        <v>840</v>
      </c>
      <c r="C20" s="616"/>
      <c r="D20" s="579"/>
      <c r="E20" s="579"/>
      <c r="F20" s="579"/>
      <c r="G20" s="579"/>
      <c r="H20" s="579"/>
      <c r="I20" s="579"/>
      <c r="J20" s="579"/>
      <c r="K20" s="579"/>
      <c r="L20" s="579"/>
      <c r="M20" s="9"/>
      <c r="N20" s="741"/>
      <c r="O20" s="623" t="s">
        <v>840</v>
      </c>
      <c r="P20" s="584"/>
      <c r="Q20" s="699"/>
      <c r="R20" s="571"/>
      <c r="S20" s="699"/>
      <c r="T20" s="571"/>
      <c r="U20" s="699"/>
      <c r="V20" s="571"/>
      <c r="W20" s="699"/>
      <c r="X20" s="571"/>
      <c r="Y20" s="699"/>
      <c r="Z20" s="571"/>
      <c r="AA20" s="699"/>
      <c r="AB20" s="571"/>
      <c r="AC20" s="699"/>
      <c r="AD20" s="571"/>
      <c r="AE20" s="701"/>
      <c r="AF20" s="584"/>
      <c r="AG20" s="701"/>
    </row>
    <row r="21" spans="1:33" x14ac:dyDescent="0.25">
      <c r="A21" s="739"/>
      <c r="B21" s="588" t="s">
        <v>0</v>
      </c>
      <c r="C21" s="616"/>
      <c r="D21" s="579"/>
      <c r="E21" s="579"/>
      <c r="F21" s="579"/>
      <c r="G21" s="579"/>
      <c r="H21" s="579"/>
      <c r="I21" s="579"/>
      <c r="J21" s="579"/>
      <c r="K21" s="579"/>
      <c r="L21" s="579"/>
      <c r="M21" s="9"/>
      <c r="N21" s="741"/>
      <c r="O21" s="623" t="s">
        <v>0</v>
      </c>
      <c r="P21" s="585"/>
      <c r="Q21" s="700"/>
      <c r="R21" s="572"/>
      <c r="S21" s="700"/>
      <c r="T21" s="572"/>
      <c r="U21" s="700"/>
      <c r="V21" s="572"/>
      <c r="W21" s="700"/>
      <c r="X21" s="572"/>
      <c r="Y21" s="700"/>
      <c r="Z21" s="572"/>
      <c r="AA21" s="572"/>
      <c r="AB21" s="572"/>
      <c r="AC21" s="571"/>
      <c r="AD21" s="571" t="e">
        <f>J21/$J$1</f>
        <v>#DIV/0!</v>
      </c>
      <c r="AE21" s="703" t="e">
        <f>1/J21</f>
        <v>#DIV/0!</v>
      </c>
      <c r="AF21" s="585">
        <f>K21/$K$1</f>
        <v>0</v>
      </c>
      <c r="AG21" s="703" t="e">
        <f>1/K21</f>
        <v>#DIV/0!</v>
      </c>
    </row>
    <row r="22" spans="1:33" x14ac:dyDescent="0.25">
      <c r="A22" s="740" t="s">
        <v>873</v>
      </c>
      <c r="B22" s="591" t="s">
        <v>822</v>
      </c>
      <c r="C22" s="622">
        <v>7.6541020779221203E-2</v>
      </c>
      <c r="D22" s="593">
        <v>9.516709370629349E-2</v>
      </c>
      <c r="E22" s="593">
        <v>0.10114897692307692</v>
      </c>
      <c r="F22" s="593"/>
      <c r="G22" s="593"/>
      <c r="H22" s="593"/>
      <c r="I22" s="593"/>
      <c r="J22" s="593">
        <v>0</v>
      </c>
      <c r="K22" s="593">
        <v>3.3705144855144913E-2</v>
      </c>
      <c r="L22" s="593">
        <v>5.9334415584415767E-2</v>
      </c>
      <c r="M22" s="9"/>
      <c r="N22" s="742" t="s">
        <v>873</v>
      </c>
      <c r="O22" s="624" t="s">
        <v>822</v>
      </c>
      <c r="P22" s="584">
        <f>C22/$C$1</f>
        <v>1</v>
      </c>
      <c r="Q22" s="698">
        <f>1/C22</f>
        <v>13.064889778311823</v>
      </c>
      <c r="R22" s="583">
        <f>D22/$D$1</f>
        <v>1</v>
      </c>
      <c r="S22" s="698">
        <f>1/D22</f>
        <v>10.507833759074531</v>
      </c>
      <c r="T22" s="583">
        <f>E22/$E$1</f>
        <v>1</v>
      </c>
      <c r="U22" s="705">
        <f>1/E22</f>
        <v>9.8864074597659339</v>
      </c>
      <c r="V22" s="693"/>
      <c r="W22" s="702"/>
      <c r="X22" s="584"/>
      <c r="Y22" s="699"/>
      <c r="Z22" s="571"/>
      <c r="AA22" s="571"/>
      <c r="AB22" s="584"/>
      <c r="AC22" s="582"/>
      <c r="AD22" s="582"/>
      <c r="AE22" s="571"/>
      <c r="AF22" s="571">
        <f>K22/K1</f>
        <v>0.93049972627372424</v>
      </c>
      <c r="AG22" s="699"/>
    </row>
    <row r="23" spans="1:33" x14ac:dyDescent="0.25">
      <c r="A23" s="739"/>
      <c r="B23" s="592" t="s">
        <v>821</v>
      </c>
      <c r="C23" s="616"/>
      <c r="D23" s="579"/>
      <c r="E23" s="579"/>
      <c r="F23" s="579">
        <v>4.3797642829840472E-2</v>
      </c>
      <c r="G23" s="579"/>
      <c r="H23" s="579"/>
      <c r="I23" s="579"/>
      <c r="J23" s="579"/>
      <c r="K23" s="579"/>
      <c r="L23" s="579"/>
      <c r="M23" s="9"/>
      <c r="N23" s="741"/>
      <c r="O23" s="623" t="s">
        <v>821</v>
      </c>
      <c r="P23" s="584"/>
      <c r="Q23" s="699"/>
      <c r="R23" s="571"/>
      <c r="S23" s="699"/>
      <c r="T23" s="571"/>
      <c r="U23" s="706"/>
      <c r="V23" s="694">
        <f>F23/F1</f>
        <v>0.83349513708837697</v>
      </c>
      <c r="W23" s="701">
        <f>1/F23</f>
        <v>22.832278985541066</v>
      </c>
      <c r="X23" s="584"/>
      <c r="Y23" s="699"/>
      <c r="Z23" s="571"/>
      <c r="AA23" s="571"/>
      <c r="AB23" s="584"/>
      <c r="AC23" s="584"/>
      <c r="AD23" s="584"/>
      <c r="AE23" s="571"/>
      <c r="AF23" s="571"/>
      <c r="AG23" s="699"/>
    </row>
    <row r="24" spans="1:33" x14ac:dyDescent="0.25">
      <c r="A24" s="739"/>
      <c r="B24" s="592" t="s">
        <v>874</v>
      </c>
      <c r="C24" s="616"/>
      <c r="D24" s="579"/>
      <c r="E24" s="579"/>
      <c r="F24" s="579"/>
      <c r="G24" s="579">
        <v>4.8379892473118219E-2</v>
      </c>
      <c r="H24" s="579">
        <v>7.5159999999999741E-2</v>
      </c>
      <c r="I24" s="579">
        <v>0</v>
      </c>
      <c r="J24" s="579"/>
      <c r="K24" s="579"/>
      <c r="L24" s="579"/>
      <c r="M24" s="9"/>
      <c r="N24" s="741"/>
      <c r="O24" s="623" t="s">
        <v>874</v>
      </c>
      <c r="P24" s="584"/>
      <c r="Q24" s="699"/>
      <c r="R24" s="571"/>
      <c r="S24" s="699"/>
      <c r="T24" s="571"/>
      <c r="U24" s="706"/>
      <c r="V24" s="694"/>
      <c r="W24" s="701"/>
      <c r="X24" s="584">
        <f t="shared" ref="X24:X25" si="19">G24/$G$1</f>
        <v>0.92611010824751949</v>
      </c>
      <c r="Y24" s="699">
        <f t="shared" ref="Y24:Y25" si="20">1/G24</f>
        <v>20.669744161908575</v>
      </c>
      <c r="Z24" s="571">
        <f t="shared" ref="Z24:Z25" si="21">H24/$H$1</f>
        <v>0.93743541010868858</v>
      </c>
      <c r="AA24" s="699">
        <f t="shared" ref="AA24:AA25" si="22">1/H24</f>
        <v>13.30494944119217</v>
      </c>
      <c r="AB24" s="571">
        <f t="shared" ref="AB24:AB25" si="23">I24/$I$1</f>
        <v>0</v>
      </c>
      <c r="AC24" s="701"/>
      <c r="AD24" s="584"/>
      <c r="AE24" s="571"/>
      <c r="AF24" s="571"/>
      <c r="AG24" s="699"/>
    </row>
    <row r="25" spans="1:33" x14ac:dyDescent="0.25">
      <c r="A25" s="739"/>
      <c r="B25" s="592" t="s">
        <v>875</v>
      </c>
      <c r="C25" s="616"/>
      <c r="D25" s="579"/>
      <c r="E25" s="579"/>
      <c r="F25" s="579"/>
      <c r="G25" s="579">
        <v>2.3874999999999962E-2</v>
      </c>
      <c r="H25" s="579">
        <v>2.31875E-2</v>
      </c>
      <c r="I25" s="579">
        <v>2.7005333333333312E-2</v>
      </c>
      <c r="J25" s="579"/>
      <c r="K25" s="579"/>
      <c r="L25" s="579">
        <v>0.16964285714285698</v>
      </c>
      <c r="M25" s="709">
        <f>1/L25</f>
        <v>5.894736842105269</v>
      </c>
      <c r="N25" s="741"/>
      <c r="O25" s="623" t="s">
        <v>875</v>
      </c>
      <c r="P25" s="584"/>
      <c r="Q25" s="699"/>
      <c r="R25" s="571"/>
      <c r="S25" s="699"/>
      <c r="T25" s="571"/>
      <c r="U25" s="706"/>
      <c r="V25" s="694"/>
      <c r="W25" s="701"/>
      <c r="X25" s="584">
        <f t="shared" si="19"/>
        <v>0.45702620870220356</v>
      </c>
      <c r="Y25" s="699">
        <f t="shared" si="20"/>
        <v>41.884816753926771</v>
      </c>
      <c r="Z25" s="571">
        <f t="shared" si="21"/>
        <v>0.2892068064382024</v>
      </c>
      <c r="AA25" s="699">
        <f t="shared" si="22"/>
        <v>43.126684636118597</v>
      </c>
      <c r="AB25" s="571">
        <f t="shared" si="23"/>
        <v>0.46591636357960148</v>
      </c>
      <c r="AC25" s="701">
        <f t="shared" ref="AC25" si="24">1/I25</f>
        <v>37.029722523945914</v>
      </c>
      <c r="AD25" s="584"/>
      <c r="AE25" s="571"/>
      <c r="AF25" s="571"/>
      <c r="AG25" s="699"/>
    </row>
    <row r="26" spans="1:33" x14ac:dyDescent="0.25">
      <c r="A26" s="739"/>
      <c r="B26" s="592" t="s">
        <v>840</v>
      </c>
      <c r="C26" s="616"/>
      <c r="D26" s="579"/>
      <c r="E26" s="579"/>
      <c r="F26" s="579"/>
      <c r="G26" s="579"/>
      <c r="H26" s="579"/>
      <c r="I26" s="579"/>
      <c r="J26" s="579"/>
      <c r="K26" s="579"/>
      <c r="L26" s="579"/>
      <c r="M26" s="9"/>
      <c r="N26" s="741"/>
      <c r="O26" s="623" t="s">
        <v>840</v>
      </c>
      <c r="P26" s="584"/>
      <c r="Q26" s="699"/>
      <c r="R26" s="571"/>
      <c r="S26" s="699"/>
      <c r="T26" s="571"/>
      <c r="U26" s="706"/>
      <c r="V26" s="694"/>
      <c r="W26" s="584"/>
      <c r="X26" s="584"/>
      <c r="Y26" s="699"/>
      <c r="Z26" s="571"/>
      <c r="AA26" s="699"/>
      <c r="AB26" s="571"/>
      <c r="AC26" s="701"/>
      <c r="AD26" s="584"/>
      <c r="AE26" s="701"/>
      <c r="AF26" s="584"/>
      <c r="AG26" s="701"/>
    </row>
    <row r="27" spans="1:33" x14ac:dyDescent="0.25">
      <c r="A27" s="739"/>
      <c r="B27" s="588" t="s">
        <v>0</v>
      </c>
      <c r="C27" s="617"/>
      <c r="D27" s="570"/>
      <c r="E27" s="570"/>
      <c r="F27" s="570"/>
      <c r="G27" s="570"/>
      <c r="H27" s="570"/>
      <c r="I27" s="570"/>
      <c r="J27" s="570"/>
      <c r="K27" s="570"/>
      <c r="L27" s="570"/>
      <c r="M27" s="9"/>
      <c r="N27" s="741"/>
      <c r="O27" s="623" t="s">
        <v>0</v>
      </c>
      <c r="P27" s="585"/>
      <c r="Q27" s="700"/>
      <c r="R27" s="572"/>
      <c r="S27" s="700"/>
      <c r="T27" s="572"/>
      <c r="U27" s="707"/>
      <c r="V27" s="695"/>
      <c r="W27" s="585"/>
      <c r="X27" s="585"/>
      <c r="Y27" s="700"/>
      <c r="Z27" s="572"/>
      <c r="AA27" s="572"/>
      <c r="AB27" s="585"/>
      <c r="AC27" s="585"/>
      <c r="AD27" s="585" t="e">
        <f>J27/$J$1</f>
        <v>#DIV/0!</v>
      </c>
      <c r="AE27" s="703" t="e">
        <f>1/J27</f>
        <v>#DIV/0!</v>
      </c>
      <c r="AF27" s="585">
        <f>K27/$K$1</f>
        <v>0</v>
      </c>
      <c r="AG27" s="703" t="e">
        <f>1/K27</f>
        <v>#DIV/0!</v>
      </c>
    </row>
    <row r="28" spans="1:33" x14ac:dyDescent="0.25">
      <c r="Q28" s="506"/>
      <c r="S28" s="506"/>
      <c r="U28" s="506"/>
      <c r="AD28" s="9"/>
      <c r="AE28" s="9"/>
      <c r="AF28" s="9"/>
      <c r="AG28" s="9"/>
    </row>
    <row r="29" spans="1:33" x14ac:dyDescent="0.25">
      <c r="Q29" s="506"/>
      <c r="S29" s="506"/>
      <c r="U29" s="506"/>
    </row>
    <row r="30" spans="1:33" x14ac:dyDescent="0.25">
      <c r="B30" s="573" t="s">
        <v>859</v>
      </c>
      <c r="H30" s="688"/>
      <c r="I30" s="688"/>
      <c r="Q30" s="506"/>
      <c r="S30" s="506"/>
      <c r="U30" s="506"/>
    </row>
    <row r="31" spans="1:33" x14ac:dyDescent="0.25">
      <c r="B31" s="574">
        <v>42724</v>
      </c>
      <c r="G31" s="688"/>
      <c r="H31" s="688"/>
      <c r="I31" s="688"/>
      <c r="Q31" s="506"/>
      <c r="S31" s="506"/>
    </row>
    <row r="32" spans="1:33" x14ac:dyDescent="0.25">
      <c r="G32" s="688"/>
      <c r="H32" s="688"/>
      <c r="I32" s="688"/>
      <c r="Q32" s="506"/>
    </row>
    <row r="33" spans="17:17" x14ac:dyDescent="0.25">
      <c r="Q33" s="506"/>
    </row>
    <row r="34" spans="17:17" x14ac:dyDescent="0.25">
      <c r="Q34" s="506"/>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T13" sqref="T13"/>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8" t="s">
        <v>316</v>
      </c>
      <c r="C2" s="528" t="s">
        <v>182</v>
      </c>
      <c r="D2" s="528" t="s">
        <v>832</v>
      </c>
      <c r="E2" s="528" t="s">
        <v>1</v>
      </c>
      <c r="F2" s="528" t="s">
        <v>2</v>
      </c>
      <c r="G2" s="528" t="s">
        <v>839</v>
      </c>
      <c r="H2" s="528" t="s">
        <v>66</v>
      </c>
      <c r="I2" s="528" t="s">
        <v>713</v>
      </c>
      <c r="J2" s="528" t="s">
        <v>840</v>
      </c>
      <c r="K2" s="528" t="s">
        <v>0</v>
      </c>
      <c r="M2" s="634">
        <v>352</v>
      </c>
      <c r="N2" s="478" t="s">
        <v>977</v>
      </c>
      <c r="O2" s="48" t="s">
        <v>843</v>
      </c>
      <c r="P2" s="48" t="s">
        <v>978</v>
      </c>
      <c r="Q2" s="48" t="s">
        <v>843</v>
      </c>
      <c r="R2" s="48" t="s">
        <v>65</v>
      </c>
      <c r="S2" s="48" t="s">
        <v>845</v>
      </c>
      <c r="T2" s="48" t="s">
        <v>846</v>
      </c>
      <c r="U2" s="48" t="s">
        <v>845</v>
      </c>
      <c r="V2" s="48" t="s">
        <v>700</v>
      </c>
      <c r="W2" s="48" t="s">
        <v>979</v>
      </c>
      <c r="X2" s="48" t="s">
        <v>980</v>
      </c>
    </row>
    <row r="3" spans="2:25" x14ac:dyDescent="0.25">
      <c r="B3" t="s">
        <v>1</v>
      </c>
      <c r="C3" t="str">
        <f>Evaluacion!A3</f>
        <v>D. Gehmacher</v>
      </c>
      <c r="D3" s="690"/>
      <c r="E3" s="290">
        <f>Evaluacion!K3</f>
        <v>16.666666666666668</v>
      </c>
      <c r="F3" s="290">
        <f>Evaluacion!L3</f>
        <v>11.650909090909092</v>
      </c>
      <c r="G3" s="290">
        <f>Evaluacion!M3</f>
        <v>2.0199999999999996</v>
      </c>
      <c r="H3" s="290">
        <f>Evaluacion!N3</f>
        <v>2.1199999999999992</v>
      </c>
      <c r="I3" s="290">
        <f>Evaluacion!O3</f>
        <v>1.0300000000000002</v>
      </c>
      <c r="J3" s="290">
        <f>Evaluacion!P3</f>
        <v>0.14055555555555557</v>
      </c>
      <c r="K3" s="290">
        <f>Evaluacion!Q3</f>
        <v>17.849999999999998</v>
      </c>
      <c r="M3" t="s">
        <v>1</v>
      </c>
      <c r="N3" s="635">
        <v>1</v>
      </c>
      <c r="O3" s="636">
        <f>Evaluacion!X3</f>
        <v>15.499788105031158</v>
      </c>
      <c r="P3" s="636">
        <f>Evaluacion!Y3</f>
        <v>22.836712102420854</v>
      </c>
      <c r="Q3" s="636">
        <f>Evaluacion!Z3</f>
        <v>15.499788105031158</v>
      </c>
      <c r="R3" s="636">
        <v>0</v>
      </c>
      <c r="S3" s="636">
        <v>0</v>
      </c>
      <c r="T3" s="636">
        <v>0</v>
      </c>
      <c r="U3" s="636">
        <v>0</v>
      </c>
      <c r="V3" s="636">
        <v>0</v>
      </c>
      <c r="W3" s="636">
        <f>Evaluacion!T3</f>
        <v>0.54252777777777772</v>
      </c>
      <c r="X3" s="636">
        <f>Evaluacion!U3</f>
        <v>1.0015363636363637</v>
      </c>
      <c r="Y3" s="640"/>
    </row>
    <row r="4" spans="2:25" x14ac:dyDescent="0.25">
      <c r="B4" t="s">
        <v>973</v>
      </c>
      <c r="C4" t="str">
        <f>Evaluacion!A6</f>
        <v>E. Toney</v>
      </c>
      <c r="D4" s="690"/>
      <c r="E4" s="290">
        <f>Evaluacion!K6</f>
        <v>0</v>
      </c>
      <c r="F4" s="290">
        <f>Evaluacion!L6</f>
        <v>12.060000000000004</v>
      </c>
      <c r="G4" s="290">
        <f>Evaluacion!M6</f>
        <v>13.020999999999999</v>
      </c>
      <c r="H4" s="290">
        <f>Evaluacion!N6</f>
        <v>9.7100000000000062</v>
      </c>
      <c r="I4" s="290">
        <f>Evaluacion!O6</f>
        <v>9.5299999999999994</v>
      </c>
      <c r="J4" s="290">
        <f>Evaluacion!P6</f>
        <v>3.6816666666666658</v>
      </c>
      <c r="K4" s="290">
        <f>Evaluacion!Q6</f>
        <v>16.627777777777773</v>
      </c>
      <c r="M4" t="s">
        <v>973</v>
      </c>
      <c r="N4" s="635">
        <v>1</v>
      </c>
      <c r="O4" s="636">
        <f>Evaluacion!AI6</f>
        <v>13.803416720921515</v>
      </c>
      <c r="P4" s="636">
        <f>Evaluacion!AJ6</f>
        <v>6.2115375244146813</v>
      </c>
      <c r="Q4" s="636">
        <v>0</v>
      </c>
      <c r="R4" s="636">
        <f>Evaluacion!AK6</f>
        <v>2.6661072091237958</v>
      </c>
      <c r="S4" s="636">
        <f>Evaluacion!AL6</f>
        <v>7.4403837303281</v>
      </c>
      <c r="T4" s="636">
        <v>0</v>
      </c>
      <c r="U4" s="636">
        <v>0</v>
      </c>
      <c r="V4" s="636">
        <f>Evaluacion!R6</f>
        <v>4.2650000000000006</v>
      </c>
      <c r="W4" s="636">
        <f>Evaluacion!T6</f>
        <v>0.68291666666666639</v>
      </c>
      <c r="X4" s="636">
        <f>Evaluacion!U6</f>
        <v>0.98123333333333329</v>
      </c>
    </row>
    <row r="5" spans="2:25" x14ac:dyDescent="0.25">
      <c r="B5" t="s">
        <v>974</v>
      </c>
      <c r="C5" t="str">
        <f>Evaluacion!A15</f>
        <v>E. Gross</v>
      </c>
      <c r="D5" s="690"/>
      <c r="E5" s="290">
        <f>Evaluacion!K15</f>
        <v>0</v>
      </c>
      <c r="F5" s="290">
        <f>Evaluacion!L15</f>
        <v>10.149999999999997</v>
      </c>
      <c r="G5" s="290">
        <f>Evaluacion!M15</f>
        <v>12.749777777777778</v>
      </c>
      <c r="H5" s="290">
        <f>Evaluacion!N15</f>
        <v>5.1199999999999983</v>
      </c>
      <c r="I5" s="290">
        <f>Evaluacion!O15</f>
        <v>9.17</v>
      </c>
      <c r="J5" s="290">
        <f>Evaluacion!P15</f>
        <v>2.98</v>
      </c>
      <c r="K5" s="290">
        <f>Evaluacion!Q15</f>
        <v>16.959999999999997</v>
      </c>
      <c r="M5" t="s">
        <v>974</v>
      </c>
      <c r="N5" s="635">
        <v>1</v>
      </c>
      <c r="O5" s="636">
        <f>(Evaluacion!AA15+Evaluacion!AC15)/2</f>
        <v>5.0009391348706904</v>
      </c>
      <c r="P5" s="636">
        <f>Evaluacion!AB15</f>
        <v>12.922323345919096</v>
      </c>
      <c r="Q5" s="636">
        <f>O5</f>
        <v>5.0009391348706904</v>
      </c>
      <c r="R5" s="636">
        <f>Evaluacion!AD15</f>
        <v>3.6942600674398567</v>
      </c>
      <c r="S5" s="636">
        <v>0</v>
      </c>
      <c r="T5" s="636">
        <v>0</v>
      </c>
      <c r="U5" s="636">
        <v>0</v>
      </c>
      <c r="V5" s="636">
        <f>Evaluacion!R15</f>
        <v>3.9362499999999994</v>
      </c>
      <c r="W5" s="636">
        <f>Evaluacion!T15</f>
        <v>0.65779999999999994</v>
      </c>
      <c r="X5" s="636">
        <f>Evaluacion!U15</f>
        <v>0.91479999999999984</v>
      </c>
    </row>
    <row r="6" spans="2:25" x14ac:dyDescent="0.25">
      <c r="B6" t="s">
        <v>973</v>
      </c>
      <c r="C6" t="str">
        <f>Evaluacion!A9</f>
        <v>B. Pinczehelyi</v>
      </c>
      <c r="D6" s="690" t="str">
        <f>Evaluacion!D9</f>
        <v>CAB</v>
      </c>
      <c r="E6" s="290">
        <f>Evaluacion!K9</f>
        <v>0</v>
      </c>
      <c r="F6" s="290">
        <f>Evaluacion!L9</f>
        <v>14.200000000000003</v>
      </c>
      <c r="G6" s="290">
        <f>Evaluacion!M9</f>
        <v>9.283333333333335</v>
      </c>
      <c r="H6" s="290">
        <f>Evaluacion!N9</f>
        <v>14.249999999999996</v>
      </c>
      <c r="I6" s="290">
        <f>Evaluacion!O9</f>
        <v>9.3499999999999979</v>
      </c>
      <c r="J6" s="290">
        <f>Evaluacion!P9</f>
        <v>1.1428571428571428</v>
      </c>
      <c r="K6" s="290">
        <f>Evaluacion!Q9</f>
        <v>9.4</v>
      </c>
      <c r="M6" t="s">
        <v>973</v>
      </c>
      <c r="N6" s="635">
        <v>1</v>
      </c>
      <c r="O6" s="636">
        <v>0</v>
      </c>
      <c r="P6" s="636">
        <f>Evaluacion!AJ9</f>
        <v>6.925462675694388</v>
      </c>
      <c r="Q6" s="636">
        <f>Evaluacion!AI9</f>
        <v>15.389917057098641</v>
      </c>
      <c r="R6" s="636">
        <f>Evaluacion!AK9</f>
        <v>1.9725211759443546</v>
      </c>
      <c r="S6" s="636">
        <v>0</v>
      </c>
      <c r="T6" s="636">
        <f>0</f>
        <v>0</v>
      </c>
      <c r="U6" s="636">
        <f>Evaluacion!AL9</f>
        <v>9.865564379971735</v>
      </c>
      <c r="V6" s="636">
        <f>Evaluacion!R9</f>
        <v>4.4874999999999998</v>
      </c>
      <c r="W6" s="636">
        <f>Evaluacion!T9</f>
        <v>0.33914285714285713</v>
      </c>
      <c r="X6" s="636">
        <f>Evaluacion!U9</f>
        <v>0.8500000000000002</v>
      </c>
    </row>
    <row r="7" spans="2:25" x14ac:dyDescent="0.25">
      <c r="B7" t="s">
        <v>596</v>
      </c>
      <c r="C7" t="str">
        <f>Evaluacion!A13</f>
        <v>S. Buschelman</v>
      </c>
      <c r="D7" s="690" t="str">
        <f>Evaluacion!D13</f>
        <v>TEC</v>
      </c>
      <c r="E7" s="290">
        <f>Evaluacion!K13</f>
        <v>0</v>
      </c>
      <c r="F7" s="290">
        <f>Evaluacion!L13</f>
        <v>9.0936666666666657</v>
      </c>
      <c r="G7" s="290">
        <f>Evaluacion!M13</f>
        <v>13.499999999999998</v>
      </c>
      <c r="H7" s="290">
        <f>Evaluacion!N13</f>
        <v>12.725000000000001</v>
      </c>
      <c r="I7" s="290">
        <f>Evaluacion!O13</f>
        <v>9.6033333333333353</v>
      </c>
      <c r="J7" s="290">
        <f>Evaluacion!P13</f>
        <v>5.0296666666666656</v>
      </c>
      <c r="K7" s="290">
        <f>Evaluacion!Q13</f>
        <v>15.2</v>
      </c>
      <c r="M7" t="s">
        <v>596</v>
      </c>
      <c r="N7" s="635">
        <v>0.82499999999999996</v>
      </c>
      <c r="O7" s="636">
        <f>Evaluacion!BE13*N7</f>
        <v>2.868826896909539</v>
      </c>
      <c r="P7" s="636">
        <f>Evaluacion!BF13*N7</f>
        <v>3.4307620622835722</v>
      </c>
      <c r="Q7" s="636">
        <v>0</v>
      </c>
      <c r="R7" s="636">
        <f>Evaluacion!BG13*N7</f>
        <v>11.887982009114445</v>
      </c>
      <c r="S7" s="636">
        <f>Evaluacion!BH13*N7</f>
        <v>10.616284402500277</v>
      </c>
      <c r="T7" s="636">
        <f>Evaluacion!BI13*N7</f>
        <v>2.4772357882481071</v>
      </c>
      <c r="U7" s="636">
        <v>0</v>
      </c>
      <c r="V7" s="636">
        <v>0</v>
      </c>
      <c r="W7" s="636">
        <f>Evaluacion!T13*N7</f>
        <v>0.58367374999999988</v>
      </c>
      <c r="X7" s="636">
        <f>Evaluacion!U13*N7</f>
        <v>0.67629099999999998</v>
      </c>
    </row>
    <row r="8" spans="2:25" x14ac:dyDescent="0.25">
      <c r="B8" t="s">
        <v>975</v>
      </c>
      <c r="C8" t="str">
        <f>Evaluacion!A16</f>
        <v>L. Bauman</v>
      </c>
      <c r="D8" s="690"/>
      <c r="E8" s="290">
        <f>Evaluacion!K16</f>
        <v>0</v>
      </c>
      <c r="F8" s="290">
        <f>Evaluacion!L16</f>
        <v>5.2811111111111115</v>
      </c>
      <c r="G8" s="290">
        <f>Evaluacion!M16</f>
        <v>14.193842857142847</v>
      </c>
      <c r="H8" s="290">
        <f>Evaluacion!N16</f>
        <v>3.4924999999999993</v>
      </c>
      <c r="I8" s="290">
        <f>Evaluacion!O16</f>
        <v>9.0700000000000038</v>
      </c>
      <c r="J8" s="290">
        <f>Evaluacion!P16</f>
        <v>7.4318888888888894</v>
      </c>
      <c r="K8" s="290">
        <f>Evaluacion!Q16</f>
        <v>16.07</v>
      </c>
      <c r="M8" t="s">
        <v>975</v>
      </c>
      <c r="N8" s="635">
        <v>0.82499999999999996</v>
      </c>
      <c r="O8" s="636">
        <f>((Evaluacion!AX16+Evaluacion!AZ16)/2)*N8</f>
        <v>0.93382286872171882</v>
      </c>
      <c r="P8" s="636">
        <f>Evaluacion!AY16*N8</f>
        <v>2.6351262609431219</v>
      </c>
      <c r="Q8" s="636">
        <f>O8</f>
        <v>0.93382286872171882</v>
      </c>
      <c r="R8" s="636">
        <f>Evaluacion!BA16*N8</f>
        <v>13.940819342833986</v>
      </c>
      <c r="S8" s="636">
        <f>((Evaluacion!BB16+Evaluacion!BD16)/2)*N8</f>
        <v>1.8431648950348938</v>
      </c>
      <c r="T8" s="636">
        <f>Evaluacion!BC16*N8</f>
        <v>5.0684178411158172</v>
      </c>
      <c r="U8" s="636">
        <f>S8</f>
        <v>1.8431648950348938</v>
      </c>
      <c r="V8" s="636">
        <v>0</v>
      </c>
      <c r="W8" s="636">
        <f>Evaluacion!T16*N8</f>
        <v>0.70429791666666663</v>
      </c>
      <c r="X8" s="636">
        <f>Evaluacion!U16*N8</f>
        <v>0.57200916666666657</v>
      </c>
    </row>
    <row r="9" spans="2:25" x14ac:dyDescent="0.25">
      <c r="B9" t="s">
        <v>596</v>
      </c>
      <c r="C9" t="str">
        <f>Evaluacion!A14</f>
        <v>C. Rojas</v>
      </c>
      <c r="D9" s="690" t="str">
        <f>Evaluacion!D14</f>
        <v>TEC</v>
      </c>
      <c r="E9" s="290">
        <f>Evaluacion!K14</f>
        <v>0</v>
      </c>
      <c r="F9" s="290">
        <f>Evaluacion!L14</f>
        <v>8.6075555555555585</v>
      </c>
      <c r="G9" s="290">
        <f>Evaluacion!M14</f>
        <v>14.09516031746031</v>
      </c>
      <c r="H9" s="290">
        <f>Evaluacion!N14</f>
        <v>10.049999999999995</v>
      </c>
      <c r="I9" s="290">
        <f>Evaluacion!O14</f>
        <v>10.029999999999999</v>
      </c>
      <c r="J9" s="290">
        <f>Evaluacion!P14</f>
        <v>4.3999999999999995</v>
      </c>
      <c r="K9" s="290">
        <f>Evaluacion!Q14</f>
        <v>16.544444444444441</v>
      </c>
      <c r="M9" t="s">
        <v>596</v>
      </c>
      <c r="N9" s="635">
        <v>0.82499999999999996</v>
      </c>
      <c r="O9" s="636">
        <v>0</v>
      </c>
      <c r="P9" s="636">
        <f>Evaluacion!BF14*N9</f>
        <v>3.2990060634116709</v>
      </c>
      <c r="Q9" s="636">
        <f>Evaluacion!BE14*N9</f>
        <v>2.7586516219907939</v>
      </c>
      <c r="R9" s="636">
        <f>Evaluacion!BG14*N9</f>
        <v>12.340322416892349</v>
      </c>
      <c r="S9" s="636">
        <v>0</v>
      </c>
      <c r="T9" s="636">
        <f>Evaluacion!BI14*N9</f>
        <v>2.5674740146040591</v>
      </c>
      <c r="U9" s="636">
        <f>Evaluacion!BH14*N9</f>
        <v>9.4803606223361321</v>
      </c>
      <c r="V9" s="636">
        <v>0</v>
      </c>
      <c r="W9" s="636">
        <f>Evaluacion!T14*N9</f>
        <v>0.59097499999999992</v>
      </c>
      <c r="X9" s="636">
        <f>Evaluacion!U14*N9</f>
        <v>0.69352433333333341</v>
      </c>
    </row>
    <row r="10" spans="2:25" x14ac:dyDescent="0.25">
      <c r="B10" t="s">
        <v>976</v>
      </c>
      <c r="C10" t="str">
        <f>Evaluacion!A10</f>
        <v>E. Romweber</v>
      </c>
      <c r="D10" s="690" t="str">
        <f>Evaluacion!D10</f>
        <v>IMP</v>
      </c>
      <c r="E10" s="290">
        <f>Evaluacion!K10</f>
        <v>0</v>
      </c>
      <c r="F10" s="290">
        <f>Evaluacion!L10</f>
        <v>11.99</v>
      </c>
      <c r="G10" s="290">
        <f>Evaluacion!M10</f>
        <v>12.399111111111115</v>
      </c>
      <c r="H10" s="290">
        <f>Evaluacion!N10</f>
        <v>13.05</v>
      </c>
      <c r="I10" s="290">
        <f>Evaluacion!O10</f>
        <v>10.84</v>
      </c>
      <c r="J10" s="290">
        <f>Evaluacion!P10</f>
        <v>7.7700000000000005</v>
      </c>
      <c r="K10" s="290">
        <f>Evaluacion!Q10</f>
        <v>17.13</v>
      </c>
      <c r="M10" t="s">
        <v>976</v>
      </c>
      <c r="N10" s="635">
        <v>1</v>
      </c>
      <c r="O10" s="636">
        <f>Evaluacion!BT10</f>
        <v>4.2425282558821715</v>
      </c>
      <c r="P10" s="636">
        <f>Evaluacion!BU10</f>
        <v>3.6449890649128518</v>
      </c>
      <c r="Q10" s="636">
        <v>0</v>
      </c>
      <c r="R10" s="636">
        <f>Evaluacion!BV10</f>
        <v>6.9831538528315704</v>
      </c>
      <c r="S10" s="636">
        <f>Evaluacion!BW10</f>
        <v>17.18707558985016</v>
      </c>
      <c r="T10" s="636">
        <f>Evaluacion!BX10</f>
        <v>1.6684060526821924</v>
      </c>
      <c r="U10" s="636">
        <v>0</v>
      </c>
      <c r="V10" s="636">
        <v>0</v>
      </c>
      <c r="W10" s="636">
        <f>Evaluacion!T10*N10</f>
        <v>0.90239999999999987</v>
      </c>
      <c r="X10" s="636">
        <f>Evaluacion!U10*N10</f>
        <v>0.99349999999999983</v>
      </c>
    </row>
    <row r="11" spans="2:25" x14ac:dyDescent="0.25">
      <c r="B11" t="s">
        <v>976</v>
      </c>
      <c r="C11" t="str">
        <f>Evaluacion!A11</f>
        <v>K. Helms</v>
      </c>
      <c r="D11" s="690" t="str">
        <f>Evaluacion!D11</f>
        <v>TEC</v>
      </c>
      <c r="E11" s="290">
        <f>Evaluacion!K11</f>
        <v>0</v>
      </c>
      <c r="F11" s="290">
        <f>Evaluacion!L11</f>
        <v>7.11</v>
      </c>
      <c r="G11" s="290">
        <f>Evaluacion!M11</f>
        <v>10.250000000000004</v>
      </c>
      <c r="H11" s="290">
        <f>Evaluacion!N11</f>
        <v>13.305</v>
      </c>
      <c r="I11" s="290">
        <f>Evaluacion!O11</f>
        <v>10.289999999999997</v>
      </c>
      <c r="J11" s="290">
        <f>Evaluacion!P11</f>
        <v>5.4050000000000002</v>
      </c>
      <c r="K11" s="290">
        <f>Evaluacion!Q11</f>
        <v>17.300000000000004</v>
      </c>
      <c r="M11" t="s">
        <v>976</v>
      </c>
      <c r="N11" s="635">
        <v>1</v>
      </c>
      <c r="O11" s="636">
        <v>0</v>
      </c>
      <c r="P11" s="636">
        <f>Evaluacion!BU11</f>
        <v>2.4289712558798771</v>
      </c>
      <c r="Q11" s="636">
        <f>Evaluacion!BT11</f>
        <v>2.8271632650405123</v>
      </c>
      <c r="R11" s="636">
        <f>Evaluacion!BV11</f>
        <v>5.958134104202232</v>
      </c>
      <c r="S11" s="636">
        <v>0</v>
      </c>
      <c r="T11" s="636">
        <f>Evaluacion!BX11</f>
        <v>1.5893108277109222</v>
      </c>
      <c r="U11" s="636">
        <f>Evaluacion!BW11</f>
        <v>17.158318653749603</v>
      </c>
      <c r="V11" s="636">
        <v>0</v>
      </c>
      <c r="W11" s="636">
        <f>Evaluacion!T11*N11</f>
        <v>0.78925000000000023</v>
      </c>
      <c r="X11" s="636">
        <f>Evaluacion!U11*N11</f>
        <v>0.80340000000000023</v>
      </c>
    </row>
    <row r="12" spans="2:25" x14ac:dyDescent="0.25">
      <c r="B12" t="s">
        <v>67</v>
      </c>
      <c r="C12" t="str">
        <f>Evaluacion!A19</f>
        <v>J. Limon</v>
      </c>
      <c r="D12" s="690" t="str">
        <f>Evaluacion!D19</f>
        <v>RAP</v>
      </c>
      <c r="E12" s="290">
        <f>Evaluacion!K19</f>
        <v>0</v>
      </c>
      <c r="F12" s="290">
        <f>Evaluacion!L19</f>
        <v>6.8176190476190497</v>
      </c>
      <c r="G12" s="290">
        <f>Evaluacion!M19</f>
        <v>8.3125</v>
      </c>
      <c r="H12" s="290">
        <f>Evaluacion!N19</f>
        <v>8.7199999999999971</v>
      </c>
      <c r="I12" s="290">
        <f>Evaluacion!O19</f>
        <v>9.6800000000000015</v>
      </c>
      <c r="J12" s="290">
        <f>Evaluacion!P19</f>
        <v>8.5625000000000018</v>
      </c>
      <c r="K12" s="290">
        <f>Evaluacion!Q19</f>
        <v>18.639999999999993</v>
      </c>
      <c r="M12" t="s">
        <v>67</v>
      </c>
      <c r="N12" s="635">
        <v>0.94499999999999995</v>
      </c>
      <c r="O12" s="636">
        <v>0</v>
      </c>
      <c r="P12" s="636">
        <v>0</v>
      </c>
      <c r="Q12" s="636">
        <v>0</v>
      </c>
      <c r="R12" s="636">
        <f>N12*Evaluacion!CK19</f>
        <v>2.6318282112982283</v>
      </c>
      <c r="S12" s="636">
        <f>N12*Evaluacion!CH19</f>
        <v>6.7657000650551842</v>
      </c>
      <c r="T12" s="636">
        <f>N12*Evaluacion!CI19</f>
        <v>15.124995372569099</v>
      </c>
      <c r="U12" s="636">
        <f>S12</f>
        <v>6.7657000650551842</v>
      </c>
      <c r="V12" s="636">
        <v>0</v>
      </c>
      <c r="W12" s="636">
        <f>Evaluacion!T19*N12</f>
        <v>0.93302212499999981</v>
      </c>
      <c r="X12" s="636">
        <f>Evaluacion!U19*N12</f>
        <v>0.7861499999999999</v>
      </c>
    </row>
    <row r="13" spans="2:25" x14ac:dyDescent="0.25">
      <c r="B13" t="s">
        <v>738</v>
      </c>
      <c r="C13" t="str">
        <f>Evaluacion!A20</f>
        <v>L. Calosso</v>
      </c>
      <c r="D13" s="690" t="str">
        <f>Evaluacion!D20</f>
        <v>TEC</v>
      </c>
      <c r="E13" s="290">
        <f>Evaluacion!K20</f>
        <v>0</v>
      </c>
      <c r="F13" s="290">
        <f>Evaluacion!L20</f>
        <v>2</v>
      </c>
      <c r="G13" s="290">
        <f>Evaluacion!M20</f>
        <v>14.0938</v>
      </c>
      <c r="H13" s="290">
        <f>Evaluacion!N20</f>
        <v>3</v>
      </c>
      <c r="I13" s="290">
        <f>Evaluacion!O20</f>
        <v>15.01</v>
      </c>
      <c r="J13" s="290">
        <f>Evaluacion!P20</f>
        <v>10</v>
      </c>
      <c r="K13" s="290">
        <f>Evaluacion!Q20</f>
        <v>9.3000000000000007</v>
      </c>
      <c r="M13" t="s">
        <v>738</v>
      </c>
      <c r="N13" s="635">
        <f>1-0.055</f>
        <v>0.94499999999999995</v>
      </c>
      <c r="O13" s="636">
        <v>0</v>
      </c>
      <c r="P13" s="636">
        <v>0</v>
      </c>
      <c r="Q13" s="636">
        <v>0</v>
      </c>
      <c r="R13" s="636">
        <f>N13*Evaluacion!CD20</f>
        <v>6.4966438879722483</v>
      </c>
      <c r="S13" s="636">
        <f>N13*Evaluacion!CE20</f>
        <v>7.833611703510643</v>
      </c>
      <c r="T13" s="636">
        <f>N13*Evaluacion!CF20</f>
        <v>16.23250234226786</v>
      </c>
      <c r="U13" s="636">
        <f>S13</f>
        <v>7.833611703510643</v>
      </c>
      <c r="V13" s="636">
        <v>0</v>
      </c>
      <c r="W13" s="636">
        <f>Evaluacion!T20*N13</f>
        <v>0.736155</v>
      </c>
      <c r="X13" s="636">
        <f>Evaluacion!U20*N13</f>
        <v>0.33925499999999997</v>
      </c>
    </row>
    <row r="14" spans="2:25" x14ac:dyDescent="0.25">
      <c r="M14" s="288"/>
      <c r="N14" s="478"/>
      <c r="O14" s="637">
        <f>SUM(O3:O13)</f>
        <v>42.349321982336789</v>
      </c>
      <c r="P14" s="637">
        <f t="shared" ref="P14:X14" si="0">SUM(P3:P13)</f>
        <v>64.334890355880106</v>
      </c>
      <c r="Q14" s="637">
        <f t="shared" si="0"/>
        <v>42.410282052753516</v>
      </c>
      <c r="R14" s="637">
        <f t="shared" si="0"/>
        <v>68.571772277653068</v>
      </c>
      <c r="S14" s="637">
        <f t="shared" si="0"/>
        <v>51.68622038627926</v>
      </c>
      <c r="T14" s="637">
        <f t="shared" si="0"/>
        <v>44.728342239198057</v>
      </c>
      <c r="U14" s="637">
        <f t="shared" si="0"/>
        <v>52.946720319658191</v>
      </c>
      <c r="V14" s="708">
        <f t="shared" si="0"/>
        <v>12.688749999999999</v>
      </c>
      <c r="W14" s="708">
        <f t="shared" si="0"/>
        <v>7.4621610932539681</v>
      </c>
      <c r="X14" s="708">
        <f t="shared" si="0"/>
        <v>8.6116991969696972</v>
      </c>
    </row>
    <row r="15" spans="2:25" ht="15.75" x14ac:dyDescent="0.25">
      <c r="M15" s="288"/>
      <c r="N15" s="288" t="s">
        <v>981</v>
      </c>
      <c r="O15" s="639">
        <f>O14*0.34</f>
        <v>14.398769473994509</v>
      </c>
      <c r="P15" s="639">
        <f>P14*0.245</f>
        <v>15.762048137190625</v>
      </c>
      <c r="Q15" s="639">
        <f>Q14*0.34</f>
        <v>14.419495897936196</v>
      </c>
      <c r="R15" s="639">
        <f>R14*0.125</f>
        <v>8.5714715347066335</v>
      </c>
      <c r="S15" s="639">
        <f>S14*0.25</f>
        <v>12.921555096569815</v>
      </c>
      <c r="T15" s="639">
        <f>T14*0.19</f>
        <v>8.4983850254476305</v>
      </c>
      <c r="U15" s="639">
        <f>U14*0.25</f>
        <v>13.236680079914548</v>
      </c>
    </row>
    <row r="16" spans="2:25" ht="15.75" x14ac:dyDescent="0.25">
      <c r="M16" s="288"/>
      <c r="N16" s="288" t="s">
        <v>982</v>
      </c>
      <c r="O16" s="650">
        <f>O15*1.2/1.05</f>
        <v>16.45573654170801</v>
      </c>
      <c r="P16" s="650">
        <f t="shared" ref="P16:Q16" si="1">P15*1.2/1.05</f>
        <v>18.013769299646427</v>
      </c>
      <c r="Q16" s="650">
        <f t="shared" si="1"/>
        <v>16.479423883355651</v>
      </c>
      <c r="R16" s="650">
        <f>R15</f>
        <v>8.5714715347066335</v>
      </c>
      <c r="S16" s="650">
        <f>S15*0.925/1.05</f>
        <v>11.383274727930552</v>
      </c>
      <c r="T16" s="650">
        <f t="shared" ref="T16:U16" si="2">T15*0.925/1.05</f>
        <v>7.486672522418151</v>
      </c>
      <c r="U16" s="650">
        <f t="shared" si="2"/>
        <v>11.660884832305674</v>
      </c>
    </row>
    <row r="17" spans="13:21" ht="15.75" x14ac:dyDescent="0.25">
      <c r="M17" s="288"/>
      <c r="N17" s="288" t="s">
        <v>983</v>
      </c>
      <c r="O17" s="650">
        <f>O15*0.925/1.05</f>
        <v>12.684630250899925</v>
      </c>
      <c r="P17" s="650">
        <f t="shared" ref="P17:Q17" si="3">P15*0.925/1.05</f>
        <v>13.885613835144122</v>
      </c>
      <c r="Q17" s="650">
        <f t="shared" si="3"/>
        <v>12.702889243419982</v>
      </c>
      <c r="R17" s="650">
        <f>R16</f>
        <v>8.5714715347066335</v>
      </c>
      <c r="S17" s="650">
        <f>S15*1.135/1.05</f>
        <v>13.967585747244515</v>
      </c>
      <c r="T17" s="650">
        <f t="shared" ref="T17:U17" si="4">T15*1.135/1.05</f>
        <v>9.1863495275076765</v>
      </c>
      <c r="U17" s="650">
        <f t="shared" si="4"/>
        <v>14.308220848288583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8" t="s">
        <v>316</v>
      </c>
      <c r="B1" s="528" t="s">
        <v>182</v>
      </c>
      <c r="C1" s="528" t="s">
        <v>832</v>
      </c>
      <c r="D1" s="528" t="s">
        <v>1</v>
      </c>
      <c r="E1" s="528" t="s">
        <v>2</v>
      </c>
      <c r="F1" s="528" t="s">
        <v>839</v>
      </c>
      <c r="G1" s="528" t="s">
        <v>66</v>
      </c>
      <c r="H1" s="528" t="s">
        <v>713</v>
      </c>
      <c r="I1" s="528" t="s">
        <v>840</v>
      </c>
      <c r="J1" s="528" t="s">
        <v>0</v>
      </c>
      <c r="L1" s="634">
        <v>541</v>
      </c>
      <c r="M1" s="478" t="s">
        <v>977</v>
      </c>
      <c r="N1" s="48" t="s">
        <v>843</v>
      </c>
      <c r="O1" s="48" t="s">
        <v>978</v>
      </c>
      <c r="P1" s="48" t="s">
        <v>843</v>
      </c>
      <c r="Q1" s="48" t="s">
        <v>65</v>
      </c>
      <c r="R1" s="48" t="s">
        <v>845</v>
      </c>
      <c r="S1" s="48" t="s">
        <v>846</v>
      </c>
      <c r="T1" s="48" t="s">
        <v>845</v>
      </c>
      <c r="U1" s="48" t="s">
        <v>700</v>
      </c>
      <c r="V1" s="48" t="s">
        <v>979</v>
      </c>
      <c r="W1" s="48" t="s">
        <v>980</v>
      </c>
    </row>
    <row r="2" spans="1:27" x14ac:dyDescent="0.25">
      <c r="A2" t="s">
        <v>1</v>
      </c>
      <c r="B2" t="str">
        <f>Evaluacion!A3</f>
        <v>D. Gehmacher</v>
      </c>
      <c r="C2">
        <f>Evaluacion!D3</f>
        <v>0</v>
      </c>
      <c r="D2" s="290">
        <f>Evaluacion!K3</f>
        <v>16.666666666666668</v>
      </c>
      <c r="E2" s="290">
        <f>Evaluacion!L3</f>
        <v>11.650909090909092</v>
      </c>
      <c r="F2" s="290">
        <f>Evaluacion!M3</f>
        <v>2.0199999999999996</v>
      </c>
      <c r="G2" s="290">
        <f>Evaluacion!N3</f>
        <v>2.1199999999999992</v>
      </c>
      <c r="H2" s="290">
        <f>Evaluacion!O3</f>
        <v>1.0300000000000002</v>
      </c>
      <c r="I2" s="290">
        <f>Evaluacion!P3</f>
        <v>0.14055555555555557</v>
      </c>
      <c r="J2" s="290">
        <f>Evaluacion!Q3</f>
        <v>17.849999999999998</v>
      </c>
      <c r="L2" t="str">
        <f>A2</f>
        <v>POR</v>
      </c>
      <c r="M2" s="635">
        <v>1</v>
      </c>
      <c r="N2" s="636">
        <f>Evaluacion!X3</f>
        <v>15.499788105031158</v>
      </c>
      <c r="O2" s="636">
        <f>Evaluacion!Y3</f>
        <v>22.836712102420854</v>
      </c>
      <c r="P2" s="636">
        <f>Evaluacion!Z3</f>
        <v>15.499788105031158</v>
      </c>
      <c r="Q2" s="636">
        <v>0</v>
      </c>
      <c r="R2" s="636">
        <v>0</v>
      </c>
      <c r="S2" s="636">
        <v>0</v>
      </c>
      <c r="T2" s="636">
        <v>0</v>
      </c>
      <c r="U2" s="636">
        <v>0</v>
      </c>
      <c r="V2" s="636">
        <f>Evaluacion!T3</f>
        <v>0.54252777777777772</v>
      </c>
      <c r="W2" s="636">
        <f>Evaluacion!U3</f>
        <v>1.0015363636363637</v>
      </c>
      <c r="AA2" s="641"/>
    </row>
    <row r="3" spans="1:27" x14ac:dyDescent="0.25">
      <c r="A3" t="s">
        <v>973</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9.3499999999999979</v>
      </c>
      <c r="I3" s="290">
        <f>Evaluacion!P9</f>
        <v>1.1428571428571428</v>
      </c>
      <c r="J3" s="290">
        <f>Evaluacion!Q9</f>
        <v>9.4</v>
      </c>
      <c r="L3" t="str">
        <f t="shared" ref="L3:L12" si="0">A3</f>
        <v>LATN</v>
      </c>
      <c r="M3" s="635">
        <v>1</v>
      </c>
      <c r="N3" s="636">
        <f>Evaluacion!AI9</f>
        <v>15.389917057098641</v>
      </c>
      <c r="O3" s="636">
        <f>Evaluacion!AJ9</f>
        <v>6.925462675694388</v>
      </c>
      <c r="P3" s="636">
        <v>0</v>
      </c>
      <c r="Q3" s="636">
        <f>Evaluacion!AK9</f>
        <v>1.9725211759443546</v>
      </c>
      <c r="R3" s="636">
        <f>Evaluacion!AL9</f>
        <v>9.865564379971735</v>
      </c>
      <c r="S3" s="636">
        <v>0</v>
      </c>
      <c r="T3" s="636">
        <v>0</v>
      </c>
      <c r="U3" s="636">
        <f>Evaluacion!R9</f>
        <v>4.4874999999999998</v>
      </c>
      <c r="V3" s="636">
        <f>Evaluacion!T9</f>
        <v>0.33914285714285713</v>
      </c>
      <c r="W3" s="636">
        <f>Evaluacion!U9</f>
        <v>0.8500000000000002</v>
      </c>
      <c r="AA3" s="642"/>
    </row>
    <row r="4" spans="1:27" x14ac:dyDescent="0.25">
      <c r="A4" t="s">
        <v>985</v>
      </c>
      <c r="B4" t="str">
        <f>Evaluacion!A7</f>
        <v>B. Bartolache</v>
      </c>
      <c r="C4">
        <f>Evaluacion!D7</f>
        <v>0</v>
      </c>
      <c r="D4" s="290">
        <f>Evaluacion!K7</f>
        <v>0</v>
      </c>
      <c r="E4" s="290">
        <f>Evaluacion!L7</f>
        <v>11.649999999999997</v>
      </c>
      <c r="F4" s="290">
        <f>Evaluacion!M7</f>
        <v>6.6275000000000022</v>
      </c>
      <c r="G4" s="290">
        <f>Evaluacion!N7</f>
        <v>7.2200000000000015</v>
      </c>
      <c r="H4" s="290">
        <f>Evaluacion!O7</f>
        <v>9.0199999999999978</v>
      </c>
      <c r="I4" s="290">
        <f>Evaluacion!P7</f>
        <v>4.6199999999999966</v>
      </c>
      <c r="J4" s="290">
        <f>Evaluacion!Q7</f>
        <v>15.6</v>
      </c>
      <c r="L4" t="str">
        <f t="shared" si="0"/>
        <v>DCHL</v>
      </c>
      <c r="M4" s="635">
        <v>0.9</v>
      </c>
      <c r="N4" s="636">
        <f>M4*Evaluacion!AM7</f>
        <v>9.7956252261822563</v>
      </c>
      <c r="O4" s="636">
        <f>M4*Evaluacion!AN7</f>
        <v>9.1980141381127805</v>
      </c>
      <c r="P4" s="636">
        <v>0</v>
      </c>
      <c r="Q4" s="636">
        <f>M4*Evaluacion!AO7</f>
        <v>2.7632730806000496</v>
      </c>
      <c r="R4" s="636">
        <f>M4*Evaluacion!AP7</f>
        <v>1.7810410731306234</v>
      </c>
      <c r="S4" s="636">
        <v>0</v>
      </c>
      <c r="T4" s="636">
        <v>0</v>
      </c>
      <c r="U4" s="636">
        <f>Evaluacion!R7</f>
        <v>4.0862499999999988</v>
      </c>
      <c r="V4" s="636">
        <f>Evaluacion!T7*M4</f>
        <v>0.62909999999999988</v>
      </c>
      <c r="W4" s="636">
        <f>Evaluacion!U7*M4</f>
        <v>0.84060000000000001</v>
      </c>
      <c r="AA4" s="642"/>
    </row>
    <row r="5" spans="1:27" x14ac:dyDescent="0.25">
      <c r="A5" t="s">
        <v>984</v>
      </c>
      <c r="B5" t="str">
        <f>Evaluacion!A6</f>
        <v>E. Toney</v>
      </c>
      <c r="C5">
        <f>Evaluacion!D6</f>
        <v>0</v>
      </c>
      <c r="D5" s="290">
        <f>Evaluacion!K6</f>
        <v>0</v>
      </c>
      <c r="E5" s="290">
        <f>Evaluacion!L6</f>
        <v>12.060000000000004</v>
      </c>
      <c r="F5" s="290">
        <f>Evaluacion!M6</f>
        <v>13.020999999999999</v>
      </c>
      <c r="G5" s="290">
        <f>Evaluacion!N6</f>
        <v>9.7100000000000062</v>
      </c>
      <c r="H5" s="290">
        <f>Evaluacion!O6</f>
        <v>9.5299999999999994</v>
      </c>
      <c r="I5" s="290">
        <f>Evaluacion!P6</f>
        <v>3.6816666666666658</v>
      </c>
      <c r="J5" s="290">
        <f>Evaluacion!Q6</f>
        <v>16.627777777777773</v>
      </c>
      <c r="L5" t="str">
        <f t="shared" si="0"/>
        <v>DCN</v>
      </c>
      <c r="M5" s="635">
        <v>0.9</v>
      </c>
      <c r="N5" s="636">
        <f>M5*(Evaluacion!AA6+Evaluacion!AC6)/2</f>
        <v>5.2257935259749599</v>
      </c>
      <c r="O5" s="636">
        <f>M5*Evaluacion!AB6</f>
        <v>13.503342444379744</v>
      </c>
      <c r="P5" s="636">
        <f>N5</f>
        <v>5.2257935259749599</v>
      </c>
      <c r="Q5" s="636">
        <f>M5*Evaluacion!AD6</f>
        <v>3.4196417017623779</v>
      </c>
      <c r="R5" s="636">
        <v>0</v>
      </c>
      <c r="S5" s="636">
        <f>0</f>
        <v>0</v>
      </c>
      <c r="T5" s="636">
        <v>0</v>
      </c>
      <c r="U5" s="636">
        <f>Evaluacion!R6</f>
        <v>4.2650000000000006</v>
      </c>
      <c r="V5" s="636">
        <f>Evaluacion!T6*M5</f>
        <v>0.61462499999999975</v>
      </c>
      <c r="W5" s="636">
        <f>Evaluacion!U6*M5</f>
        <v>0.88310999999999995</v>
      </c>
      <c r="AA5" s="642"/>
    </row>
    <row r="6" spans="1:27" x14ac:dyDescent="0.25">
      <c r="A6" t="s">
        <v>985</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35">
        <v>0.9</v>
      </c>
      <c r="N6" s="636">
        <v>0</v>
      </c>
      <c r="O6" s="636">
        <f>M6*Evaluacion!AN5</f>
        <v>8.7084520493775894</v>
      </c>
      <c r="P6" s="636">
        <f>M6*Evaluacion!AM5</f>
        <v>9.2742554311168117</v>
      </c>
      <c r="Q6" s="636">
        <f>M6*Evaluacion!AO5</f>
        <v>2.7079172771836966</v>
      </c>
      <c r="R6" s="636">
        <v>0</v>
      </c>
      <c r="S6" s="636">
        <v>0</v>
      </c>
      <c r="T6" s="636">
        <f>M6*Evaluacion!AP5</f>
        <v>1.6452571726281715</v>
      </c>
      <c r="U6" s="636">
        <f>Evaluacion!R5</f>
        <v>3.6806944444444447</v>
      </c>
      <c r="V6" s="636">
        <f>Evaluacion!T5*M6</f>
        <v>0.61169999999999991</v>
      </c>
      <c r="W6" s="636">
        <f>Evaluacion!U5*M6</f>
        <v>0.81044999999999989</v>
      </c>
      <c r="AA6" s="642"/>
    </row>
    <row r="7" spans="1:27" x14ac:dyDescent="0.25">
      <c r="A7" t="s">
        <v>973</v>
      </c>
      <c r="B7" t="str">
        <f>Evaluacion!A10</f>
        <v>E. Romweber</v>
      </c>
      <c r="C7" t="str">
        <f>Evaluacion!D10</f>
        <v>IMP</v>
      </c>
      <c r="D7" s="290">
        <f>Evaluacion!K10</f>
        <v>0</v>
      </c>
      <c r="E7" s="290">
        <f>Evaluacion!L10</f>
        <v>11.99</v>
      </c>
      <c r="F7" s="290">
        <f>Evaluacion!M10</f>
        <v>12.399111111111115</v>
      </c>
      <c r="G7" s="290">
        <f>Evaluacion!N10</f>
        <v>13.05</v>
      </c>
      <c r="H7" s="290">
        <f>Evaluacion!O10</f>
        <v>10.84</v>
      </c>
      <c r="I7" s="290">
        <f>Evaluacion!P10</f>
        <v>7.7700000000000005</v>
      </c>
      <c r="J7" s="290">
        <f>Evaluacion!Q10</f>
        <v>17.13</v>
      </c>
      <c r="L7" t="str">
        <f t="shared" si="0"/>
        <v>LATN</v>
      </c>
      <c r="M7" s="635">
        <v>1</v>
      </c>
      <c r="N7" s="636">
        <v>0</v>
      </c>
      <c r="O7" s="636">
        <f>Evaluacion!AJ10</f>
        <v>6.1845306265324611</v>
      </c>
      <c r="P7" s="636">
        <f>Evaluacion!AI10</f>
        <v>13.743401392294359</v>
      </c>
      <c r="Q7" s="636">
        <f>Evaluacion!AK10</f>
        <v>2.5630476778524667</v>
      </c>
      <c r="R7" s="636">
        <v>0</v>
      </c>
      <c r="S7" s="636">
        <v>0</v>
      </c>
      <c r="T7" s="636">
        <f>Evaluacion!AL10</f>
        <v>9.4071061072490014</v>
      </c>
      <c r="U7" s="636">
        <f>Evaluacion!R10</f>
        <v>4.5837500000000002</v>
      </c>
      <c r="V7" s="636">
        <f>Evaluacion!T10</f>
        <v>0.90239999999999987</v>
      </c>
      <c r="W7" s="636">
        <f>Evaluacion!U10</f>
        <v>0.99349999999999983</v>
      </c>
      <c r="AA7" s="642"/>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10.049999999999995</v>
      </c>
      <c r="H8" s="290">
        <f>Evaluacion!O14</f>
        <v>10.029999999999999</v>
      </c>
      <c r="I8" s="290">
        <f>Evaluacion!P14</f>
        <v>4.3999999999999995</v>
      </c>
      <c r="J8" s="290">
        <f>Evaluacion!Q14</f>
        <v>16.544444444444441</v>
      </c>
      <c r="L8" t="str">
        <f t="shared" si="0"/>
        <v>IHL</v>
      </c>
      <c r="M8" s="635">
        <f>1-0.065</f>
        <v>0.93500000000000005</v>
      </c>
      <c r="N8" s="636">
        <f>M8*Evaluacion!BE14</f>
        <v>3.1264718382562338</v>
      </c>
      <c r="O8" s="636">
        <f>M8*Evaluacion!BF14</f>
        <v>3.7388735385332277</v>
      </c>
      <c r="P8" s="636">
        <v>0</v>
      </c>
      <c r="Q8" s="636">
        <f>Evaluacion!BG14*M8</f>
        <v>13.985698739144663</v>
      </c>
      <c r="R8" s="636">
        <f>Evaluacion!BH14*M8</f>
        <v>10.744408705314283</v>
      </c>
      <c r="S8" s="636">
        <f>Evaluacion!BI14*M8</f>
        <v>2.909803883217934</v>
      </c>
      <c r="T8" s="636">
        <v>0</v>
      </c>
      <c r="U8" s="636">
        <v>0</v>
      </c>
      <c r="V8" s="636">
        <f>Evaluacion!T14*M8</f>
        <v>0.66977166666666665</v>
      </c>
      <c r="W8" s="636">
        <f>Evaluacion!U14*M8</f>
        <v>0.78599424444444466</v>
      </c>
      <c r="AA8" s="642"/>
    </row>
    <row r="9" spans="1:27" x14ac:dyDescent="0.25">
      <c r="A9" t="s">
        <v>596</v>
      </c>
      <c r="B9" t="str">
        <f>Evaluacion!A13</f>
        <v>S. Buschelman</v>
      </c>
      <c r="C9" t="str">
        <f>Evaluacion!D13</f>
        <v>TEC</v>
      </c>
      <c r="D9" s="290">
        <f>Evaluacion!K13</f>
        <v>0</v>
      </c>
      <c r="E9" s="290">
        <f>Evaluacion!L13</f>
        <v>9.0936666666666657</v>
      </c>
      <c r="F9" s="290">
        <f>Evaluacion!M13</f>
        <v>13.499999999999998</v>
      </c>
      <c r="G9" s="290">
        <f>Evaluacion!N13</f>
        <v>12.725000000000001</v>
      </c>
      <c r="H9" s="290">
        <f>Evaluacion!O13</f>
        <v>9.6033333333333353</v>
      </c>
      <c r="I9" s="290">
        <f>Evaluacion!P13</f>
        <v>5.0296666666666656</v>
      </c>
      <c r="J9" s="290">
        <f>Evaluacion!Q13</f>
        <v>15.2</v>
      </c>
      <c r="L9" t="str">
        <f t="shared" si="0"/>
        <v>IHL</v>
      </c>
      <c r="M9" s="635">
        <f>1-0.065</f>
        <v>0.93500000000000005</v>
      </c>
      <c r="N9" s="636">
        <v>0</v>
      </c>
      <c r="O9" s="636">
        <f>M9*Evaluacion!BF13</f>
        <v>3.8881970039213822</v>
      </c>
      <c r="P9" s="636">
        <f>M9*Evaluacion!BE13</f>
        <v>3.2513371498308112</v>
      </c>
      <c r="Q9" s="636">
        <f>Evaluacion!BG13*M9</f>
        <v>13.473046276996374</v>
      </c>
      <c r="R9" s="636">
        <v>0</v>
      </c>
      <c r="S9" s="636">
        <f>Evaluacion!BI13*M9</f>
        <v>2.8075338933478546</v>
      </c>
      <c r="T9" s="636">
        <f>Evaluacion!BH13*M9</f>
        <v>12.031788989500315</v>
      </c>
      <c r="U9" s="636">
        <v>0</v>
      </c>
      <c r="V9" s="636">
        <f>Evaluacion!T13*M9</f>
        <v>0.66149691666666666</v>
      </c>
      <c r="W9" s="636">
        <f>Evaluacion!U13*M9</f>
        <v>0.76646313333333349</v>
      </c>
      <c r="AA9" s="642"/>
    </row>
    <row r="10" spans="1:27" x14ac:dyDescent="0.25">
      <c r="A10" t="s">
        <v>976</v>
      </c>
      <c r="B10" t="str">
        <f>Evaluacion!A11</f>
        <v>K. Helms</v>
      </c>
      <c r="C10" t="str">
        <f>Evaluacion!D11</f>
        <v>TEC</v>
      </c>
      <c r="D10" s="290">
        <f>Evaluacion!K11</f>
        <v>0</v>
      </c>
      <c r="E10" s="290">
        <f>Evaluacion!L11</f>
        <v>7.11</v>
      </c>
      <c r="F10" s="290">
        <f>Evaluacion!M11</f>
        <v>10.250000000000004</v>
      </c>
      <c r="G10" s="290">
        <f>Evaluacion!N11</f>
        <v>13.305</v>
      </c>
      <c r="H10" s="290">
        <f>Evaluacion!O11</f>
        <v>10.289999999999997</v>
      </c>
      <c r="I10" s="290">
        <f>Evaluacion!P11</f>
        <v>5.4050000000000002</v>
      </c>
      <c r="J10" s="290">
        <f>Evaluacion!Q11</f>
        <v>17.300000000000004</v>
      </c>
      <c r="L10" t="str">
        <f t="shared" si="0"/>
        <v>EXTN</v>
      </c>
      <c r="M10" s="635">
        <v>1</v>
      </c>
      <c r="N10" s="636">
        <f>Evaluacion!BT11</f>
        <v>2.8271632650405123</v>
      </c>
      <c r="O10" s="636">
        <f>Evaluacion!BU11</f>
        <v>2.4289712558798771</v>
      </c>
      <c r="P10" s="636">
        <v>0</v>
      </c>
      <c r="Q10" s="636">
        <f>Evaluacion!BV11</f>
        <v>5.958134104202232</v>
      </c>
      <c r="R10" s="636">
        <f>Evaluacion!BW11</f>
        <v>17.158318653749603</v>
      </c>
      <c r="S10" s="636">
        <f>Evaluacion!BX11</f>
        <v>1.5893108277109222</v>
      </c>
      <c r="T10" s="636">
        <v>0</v>
      </c>
      <c r="U10" s="636">
        <v>0</v>
      </c>
      <c r="V10" s="636">
        <f>Evaluacion!T11</f>
        <v>0.78925000000000023</v>
      </c>
      <c r="W10" s="636">
        <f>Evaluacion!U11</f>
        <v>0.80340000000000023</v>
      </c>
      <c r="AA10" s="642"/>
    </row>
    <row r="11" spans="1:27" x14ac:dyDescent="0.25">
      <c r="A11" t="s">
        <v>976</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35">
        <v>1</v>
      </c>
      <c r="N11" s="636">
        <v>0</v>
      </c>
      <c r="O11" s="636">
        <f>Evaluacion!BU12</f>
        <v>2.6513034961379072</v>
      </c>
      <c r="P11" s="636">
        <f>Evaluacion!BT12</f>
        <v>3.0859434135375641</v>
      </c>
      <c r="Q11" s="636">
        <f>Evaluacion!BV12</f>
        <v>6.6905068381988757</v>
      </c>
      <c r="R11" s="636">
        <v>0</v>
      </c>
      <c r="S11" s="636">
        <f>Evaluacion!BX12</f>
        <v>1.5713057501339622</v>
      </c>
      <c r="T11" s="636">
        <f>Evaluacion!BW12</f>
        <v>16.0214457119705</v>
      </c>
      <c r="U11" s="636">
        <v>0</v>
      </c>
      <c r="V11" s="636">
        <f>Evaluacion!T12</f>
        <v>0.8319333333333333</v>
      </c>
      <c r="W11" s="636">
        <f>Evaluacion!U12</f>
        <v>0.78290000000000004</v>
      </c>
      <c r="AA11" s="642"/>
    </row>
    <row r="12" spans="1:27" x14ac:dyDescent="0.25">
      <c r="A12" t="s">
        <v>738</v>
      </c>
      <c r="B12" t="str">
        <f>Evaluacion!A20</f>
        <v>L. Calosso</v>
      </c>
      <c r="C12" t="str">
        <f>Evaluacion!D20</f>
        <v>TEC</v>
      </c>
      <c r="D12" s="290">
        <f>Evaluacion!K20</f>
        <v>0</v>
      </c>
      <c r="E12" s="290">
        <f>Evaluacion!L20</f>
        <v>2</v>
      </c>
      <c r="F12" s="290">
        <f>Evaluacion!M20</f>
        <v>14.0938</v>
      </c>
      <c r="G12" s="290">
        <f>Evaluacion!N20</f>
        <v>3</v>
      </c>
      <c r="H12" s="290">
        <f>Evaluacion!O20</f>
        <v>15.01</v>
      </c>
      <c r="I12" s="290">
        <f>Evaluacion!P20</f>
        <v>10</v>
      </c>
      <c r="J12" s="290">
        <f>Evaluacion!Q20</f>
        <v>9.3000000000000007</v>
      </c>
      <c r="L12" t="str">
        <f t="shared" si="0"/>
        <v>DD</v>
      </c>
      <c r="M12" s="635">
        <v>1</v>
      </c>
      <c r="N12" s="636">
        <v>0</v>
      </c>
      <c r="O12" s="636">
        <v>0</v>
      </c>
      <c r="P12" s="636">
        <v>0</v>
      </c>
      <c r="Q12" s="636">
        <f>M12*Evaluacion!CD20</f>
        <v>6.8747554370076704</v>
      </c>
      <c r="R12" s="636">
        <f>M12*Evaluacion!CE20</f>
        <v>8.2895361941911574</v>
      </c>
      <c r="S12" s="636">
        <f>M12*Evaluacion!CF20</f>
        <v>17.177251155839006</v>
      </c>
      <c r="T12" s="636">
        <f>R12</f>
        <v>8.2895361941911574</v>
      </c>
      <c r="U12" s="636">
        <v>0</v>
      </c>
      <c r="V12" s="636">
        <f>Evaluacion!T20*M12</f>
        <v>0.77900000000000003</v>
      </c>
      <c r="W12" s="636">
        <f>Evaluacion!U20*M12</f>
        <v>0.35899999999999999</v>
      </c>
      <c r="AA12" s="642"/>
    </row>
    <row r="13" spans="1:27" x14ac:dyDescent="0.25">
      <c r="L13" s="288"/>
      <c r="M13" s="478"/>
      <c r="N13" s="637">
        <f>SUM(N2:N12)</f>
        <v>51.864759017583758</v>
      </c>
      <c r="O13" s="637">
        <f t="shared" ref="O13:W13" si="1">SUM(O2:O12)</f>
        <v>80.063859330990198</v>
      </c>
      <c r="P13" s="637">
        <f t="shared" si="1"/>
        <v>50.080519017785662</v>
      </c>
      <c r="Q13" s="637">
        <f t="shared" si="1"/>
        <v>60.408542308892763</v>
      </c>
      <c r="R13" s="637">
        <f t="shared" si="1"/>
        <v>47.838869006357399</v>
      </c>
      <c r="S13" s="637">
        <f t="shared" si="1"/>
        <v>26.055205510249678</v>
      </c>
      <c r="T13" s="637">
        <f t="shared" si="1"/>
        <v>47.395134175539148</v>
      </c>
      <c r="U13" s="638">
        <f t="shared" si="1"/>
        <v>21.103194444444448</v>
      </c>
      <c r="V13" s="638">
        <f t="shared" si="1"/>
        <v>7.3709475515873013</v>
      </c>
      <c r="W13" s="638">
        <f t="shared" si="1"/>
        <v>8.8769537414141428</v>
      </c>
    </row>
    <row r="14" spans="1:27" ht="15.75" x14ac:dyDescent="0.25">
      <c r="L14" s="288"/>
      <c r="M14" s="288" t="s">
        <v>981</v>
      </c>
      <c r="N14" s="639">
        <f>N13*0.34</f>
        <v>17.634018065978481</v>
      </c>
      <c r="O14" s="639">
        <f>O13*0.245</f>
        <v>19.615645536092597</v>
      </c>
      <c r="P14" s="639">
        <f>P13*0.34</f>
        <v>17.027376466047127</v>
      </c>
      <c r="Q14" s="639">
        <f>Q13*0.125</f>
        <v>7.5510677886115953</v>
      </c>
      <c r="R14" s="639">
        <f>R13*0.25</f>
        <v>11.95971725158935</v>
      </c>
      <c r="S14" s="639">
        <f>S13*0.19</f>
        <v>4.950489046947439</v>
      </c>
      <c r="T14" s="639">
        <f>T13*0.25</f>
        <v>11.848783543884787</v>
      </c>
    </row>
    <row r="15" spans="1:27" ht="15.75" x14ac:dyDescent="0.25">
      <c r="L15" s="288"/>
      <c r="M15" s="288" t="s">
        <v>982</v>
      </c>
      <c r="N15" s="650">
        <f>N14*1.2/1.05</f>
        <v>20.153163503975406</v>
      </c>
      <c r="O15" s="650">
        <f t="shared" ref="O15:P15" si="2">O14*1.2/1.05</f>
        <v>22.417880612677251</v>
      </c>
      <c r="P15" s="650">
        <f t="shared" si="2"/>
        <v>19.459858818339573</v>
      </c>
      <c r="Q15" s="650">
        <f>Q14</f>
        <v>7.5510677886115953</v>
      </c>
      <c r="R15" s="650">
        <f>R14*0.925/1.05</f>
        <v>10.535941388304904</v>
      </c>
      <c r="S15" s="650">
        <f t="shared" ref="S15:T15" si="3">S14*0.925/1.05</f>
        <v>4.36114511278703</v>
      </c>
      <c r="T15" s="650">
        <f t="shared" si="3"/>
        <v>10.438214074374693</v>
      </c>
    </row>
    <row r="16" spans="1:27" ht="15.75" x14ac:dyDescent="0.25">
      <c r="L16" s="288"/>
      <c r="M16" s="288" t="s">
        <v>983</v>
      </c>
      <c r="N16" s="650">
        <f>N14*0.925/1.05</f>
        <v>15.534730200981043</v>
      </c>
      <c r="O16" s="650">
        <f t="shared" ref="O16:P16" si="4">O14*0.925/1.05</f>
        <v>17.280449638938716</v>
      </c>
      <c r="P16" s="650">
        <f t="shared" si="4"/>
        <v>15.000307839136754</v>
      </c>
      <c r="Q16" s="650">
        <f>Q15</f>
        <v>7.5510677886115953</v>
      </c>
      <c r="R16" s="650">
        <f>R14*1.135/1.05</f>
        <v>12.927884838622774</v>
      </c>
      <c r="S16" s="650">
        <f t="shared" ref="S16:T16" si="5">S14*1.135/1.05</f>
        <v>5.3512429221765174</v>
      </c>
      <c r="T16" s="650">
        <f t="shared" si="5"/>
        <v>12.807970783151649</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Z17" sqref="Z17"/>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1" bestFit="1" customWidth="1"/>
    <col min="12" max="12" width="6.5703125" style="657" customWidth="1"/>
    <col min="13" max="13" width="8.28515625" style="651" bestFit="1" customWidth="1"/>
    <col min="14" max="14" width="5.140625"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7.7109375" customWidth="1"/>
    <col min="26" max="26" width="12.425781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0.3220095223295224</v>
      </c>
      <c r="Y2" s="659">
        <f t="shared" ref="Y2" si="0">SUM(Y4:Y24)</f>
        <v>0.42462088078588089</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6" t="s">
        <v>1</v>
      </c>
      <c r="O3" s="654" t="s">
        <v>974</v>
      </c>
      <c r="P3" s="653" t="s">
        <v>1004</v>
      </c>
      <c r="Q3" s="653" t="s">
        <v>1010</v>
      </c>
      <c r="R3" s="653" t="s">
        <v>1005</v>
      </c>
      <c r="S3" s="653" t="s">
        <v>975</v>
      </c>
      <c r="T3" s="653" t="s">
        <v>596</v>
      </c>
      <c r="U3" s="653" t="s">
        <v>1009</v>
      </c>
      <c r="V3" s="654" t="s">
        <v>738</v>
      </c>
      <c r="W3" s="654" t="s">
        <v>67</v>
      </c>
      <c r="X3" s="653" t="s">
        <v>1007</v>
      </c>
      <c r="Y3" s="656" t="s">
        <v>1008</v>
      </c>
      <c r="Z3" s="656" t="s">
        <v>1014</v>
      </c>
      <c r="AC3" t="s">
        <v>1</v>
      </c>
      <c r="AD3" t="s">
        <v>934</v>
      </c>
      <c r="AF3" t="s">
        <v>1</v>
      </c>
      <c r="AG3" t="s">
        <v>934</v>
      </c>
    </row>
    <row r="4" spans="1:33" x14ac:dyDescent="0.25">
      <c r="A4" s="665" t="str">
        <f>PLANTILLA!D17</f>
        <v>E. Gross</v>
      </c>
      <c r="B4" s="5">
        <f>PLANTILLA!E17</f>
        <v>30</v>
      </c>
      <c r="C4" s="5">
        <f ca="1">PLANTILLA!F17</f>
        <v>49</v>
      </c>
      <c r="D4" s="163">
        <f>PLANTILLA!V17</f>
        <v>0</v>
      </c>
      <c r="E4" s="163">
        <f>PLANTILLA!W17</f>
        <v>10.149999999999997</v>
      </c>
      <c r="F4" s="163">
        <f>PLANTILLA!X17</f>
        <v>12.749777777777778</v>
      </c>
      <c r="G4" s="163">
        <f>PLANTILLA!Y17</f>
        <v>5.1199999999999983</v>
      </c>
      <c r="H4" s="163">
        <f>PLANTILLA!Z17</f>
        <v>9.17</v>
      </c>
      <c r="I4" s="163">
        <f>PLANTILLA!AA17</f>
        <v>2.98</v>
      </c>
      <c r="J4" s="163">
        <f>PLANTILLA!AB17</f>
        <v>16.959999999999997</v>
      </c>
      <c r="K4" s="363">
        <f>1/10</f>
        <v>0.1</v>
      </c>
      <c r="L4" s="363"/>
      <c r="M4" s="363">
        <f t="shared" ref="M4:M24" si="1">K4/6</f>
        <v>1.6666666666666666E-2</v>
      </c>
      <c r="N4" s="159">
        <f t="shared" ref="N4:N24" si="2">K4*(0.245*0.425+0.34*0.276)/(0.245+0.34)</f>
        <v>3.3840170940170944E-2</v>
      </c>
      <c r="O4" s="159">
        <f t="shared" ref="O4:O24" si="3">K4*(0.245*1+0.34*0.516+0.34*0.258)/(0.245+0.34)</f>
        <v>8.6864957264957285E-2</v>
      </c>
      <c r="P4" s="159">
        <f t="shared" ref="P4:P24" si="4">K4*(0.245*0.725+0.34*0.378+0.34*0.189)/(0.245+0.34)</f>
        <v>6.3317094017094011E-2</v>
      </c>
      <c r="Q4" s="159">
        <f t="shared" ref="Q4:Q24" si="5">K4*(0.245*0.708+0.34*0.754)/(0.245+0.34)</f>
        <v>7.3473504273504284E-2</v>
      </c>
      <c r="R4" s="159">
        <f t="shared" ref="R4:R24" si="6">K4*(0.245*0.414+0.34*0.919)/(0.245+0.34)</f>
        <v>7.0750427350427358E-2</v>
      </c>
      <c r="S4" s="159">
        <f t="shared" ref="S4:S10" si="7">K4*(0.245*0.4+0.34*0.189+0.34*0.095)</f>
        <v>1.9456000000000001E-2</v>
      </c>
      <c r="T4" s="159">
        <f t="shared" ref="T4:T10" si="8">K4*(0.245*0.348+0.34*0.291)</f>
        <v>1.8419999999999999E-2</v>
      </c>
      <c r="U4" s="159">
        <f t="shared" ref="U4:U10" si="9">K4*(0.245*0.201+0.34*0.349)</f>
        <v>1.67905E-2</v>
      </c>
      <c r="V4" s="159">
        <v>0</v>
      </c>
      <c r="W4" s="159">
        <v>0</v>
      </c>
      <c r="X4" s="438">
        <f>O4</f>
        <v>8.6864957264957285E-2</v>
      </c>
      <c r="Y4" s="438"/>
      <c r="Z4" s="438">
        <f t="shared" ref="Z4:Z24" si="10">MAX(Y4,X4)</f>
        <v>8.6864957264957285E-2</v>
      </c>
      <c r="AC4" t="s">
        <v>973</v>
      </c>
      <c r="AD4" s="689" t="s">
        <v>1027</v>
      </c>
      <c r="AF4" t="s">
        <v>973</v>
      </c>
      <c r="AG4" s="689" t="str">
        <f>AD4</f>
        <v>B. Pinczehelyi</v>
      </c>
    </row>
    <row r="5" spans="1:33" x14ac:dyDescent="0.25">
      <c r="A5" s="665" t="str">
        <f>PLANTILLA!D9</f>
        <v>E. Toney</v>
      </c>
      <c r="B5" s="5">
        <f>PLANTILLA!E9</f>
        <v>30</v>
      </c>
      <c r="C5" s="5">
        <f ca="1">PLANTILLA!F9</f>
        <v>100</v>
      </c>
      <c r="D5" s="163">
        <f>PLANTILLA!V9</f>
        <v>0</v>
      </c>
      <c r="E5" s="163">
        <f>PLANTILLA!W9</f>
        <v>12.060000000000004</v>
      </c>
      <c r="F5" s="163">
        <f>PLANTILLA!X9</f>
        <v>13.020999999999999</v>
      </c>
      <c r="G5" s="163">
        <f>PLANTILLA!Y9</f>
        <v>9.7100000000000062</v>
      </c>
      <c r="H5" s="163">
        <f>PLANTILLA!Z9</f>
        <v>9.5299999999999994</v>
      </c>
      <c r="I5" s="163">
        <f>PLANTILLA!AA9</f>
        <v>3.6816666666666658</v>
      </c>
      <c r="J5" s="163">
        <f>PLANTILLA!AB9</f>
        <v>16.627777777777773</v>
      </c>
      <c r="K5" s="363">
        <f>1/12</f>
        <v>8.3333333333333329E-2</v>
      </c>
      <c r="L5" s="363"/>
      <c r="M5" s="363">
        <f t="shared" si="1"/>
        <v>1.3888888888888888E-2</v>
      </c>
      <c r="N5" s="159">
        <f t="shared" si="2"/>
        <v>2.8200142450142449E-2</v>
      </c>
      <c r="O5" s="159">
        <f t="shared" si="3"/>
        <v>7.2387464387464406E-2</v>
      </c>
      <c r="P5" s="159">
        <f t="shared" si="4"/>
        <v>5.2764245014245009E-2</v>
      </c>
      <c r="Q5" s="159">
        <f t="shared" si="5"/>
        <v>6.1227920227920223E-2</v>
      </c>
      <c r="R5" s="159">
        <f t="shared" si="6"/>
        <v>5.8958689458689456E-2</v>
      </c>
      <c r="S5" s="159">
        <f t="shared" si="7"/>
        <v>1.6213333333333333E-2</v>
      </c>
      <c r="T5" s="159">
        <f t="shared" si="8"/>
        <v>1.5349999999999997E-2</v>
      </c>
      <c r="U5" s="159">
        <f t="shared" si="9"/>
        <v>1.3992083333333332E-2</v>
      </c>
      <c r="V5" s="159">
        <v>0</v>
      </c>
      <c r="W5" s="159">
        <v>0</v>
      </c>
      <c r="X5" s="438">
        <f>R5</f>
        <v>5.8958689458689456E-2</v>
      </c>
      <c r="Y5" s="438">
        <f>O5</f>
        <v>7.2387464387464406E-2</v>
      </c>
      <c r="Z5" s="438">
        <f t="shared" si="10"/>
        <v>7.2387464387464406E-2</v>
      </c>
      <c r="AC5" t="s">
        <v>974</v>
      </c>
      <c r="AD5" t="s">
        <v>312</v>
      </c>
      <c r="AF5" t="s">
        <v>985</v>
      </c>
      <c r="AG5" t="s">
        <v>313</v>
      </c>
    </row>
    <row r="6" spans="1:33" x14ac:dyDescent="0.25">
      <c r="A6" s="665" t="str">
        <f>PLANTILLA!D8</f>
        <v>D. Toh</v>
      </c>
      <c r="B6" s="5">
        <f>PLANTILLA!E8</f>
        <v>31</v>
      </c>
      <c r="C6" s="5">
        <f ca="1">PLANTILLA!F8</f>
        <v>34</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1/11</f>
        <v>9.0909090909090912E-2</v>
      </c>
      <c r="L6" s="363"/>
      <c r="M6" s="363">
        <f t="shared" si="1"/>
        <v>1.5151515151515152E-2</v>
      </c>
      <c r="N6" s="159">
        <f t="shared" si="2"/>
        <v>3.0763791763791768E-2</v>
      </c>
      <c r="O6" s="159">
        <f t="shared" si="3"/>
        <v>7.8968142968142974E-2</v>
      </c>
      <c r="P6" s="159">
        <f t="shared" si="4"/>
        <v>5.7560994560994561E-2</v>
      </c>
      <c r="Q6" s="159">
        <f t="shared" si="5"/>
        <v>6.6794094794094788E-2</v>
      </c>
      <c r="R6" s="159">
        <f t="shared" si="6"/>
        <v>6.4318570318570328E-2</v>
      </c>
      <c r="S6" s="159">
        <f t="shared" si="7"/>
        <v>1.7687272727272729E-2</v>
      </c>
      <c r="T6" s="159">
        <f t="shared" si="8"/>
        <v>1.6745454545454543E-2</v>
      </c>
      <c r="U6" s="159">
        <f t="shared" si="9"/>
        <v>1.5264090909090909E-2</v>
      </c>
      <c r="V6" s="159">
        <v>0</v>
      </c>
      <c r="W6" s="159">
        <v>0</v>
      </c>
      <c r="X6" s="438"/>
      <c r="Y6" s="438">
        <f>Q6</f>
        <v>6.6794094794094788E-2</v>
      </c>
      <c r="Z6" s="438">
        <f t="shared" si="10"/>
        <v>6.6794094794094788E-2</v>
      </c>
      <c r="AC6" t="s">
        <v>973</v>
      </c>
      <c r="AD6" t="s">
        <v>309</v>
      </c>
      <c r="AF6" t="s">
        <v>984</v>
      </c>
      <c r="AG6" t="s">
        <v>309</v>
      </c>
    </row>
    <row r="7" spans="1:33" x14ac:dyDescent="0.25">
      <c r="A7" s="665" t="str">
        <f>PLANTILLA!D10</f>
        <v>B. Bartolache</v>
      </c>
      <c r="B7" s="5">
        <f>PLANTILLA!E10</f>
        <v>30</v>
      </c>
      <c r="C7" s="5">
        <f ca="1">PLANTILLA!F10</f>
        <v>85</v>
      </c>
      <c r="D7" s="163">
        <f>PLANTILLA!V10</f>
        <v>0</v>
      </c>
      <c r="E7" s="163">
        <f>PLANTILLA!W10</f>
        <v>11.649999999999997</v>
      </c>
      <c r="F7" s="163">
        <f>PLANTILLA!X10</f>
        <v>6.6275000000000022</v>
      </c>
      <c r="G7" s="163">
        <f>PLANTILLA!Y10</f>
        <v>7.2200000000000015</v>
      </c>
      <c r="H7" s="163">
        <f>PLANTILLA!Z10</f>
        <v>9.0199999999999978</v>
      </c>
      <c r="I7" s="163">
        <f>PLANTILLA!AA10</f>
        <v>4.6199999999999966</v>
      </c>
      <c r="J7" s="163">
        <f>PLANTILLA!AB10</f>
        <v>15.6</v>
      </c>
      <c r="K7" s="363">
        <f>1/11</f>
        <v>9.0909090909090912E-2</v>
      </c>
      <c r="L7" s="363"/>
      <c r="M7" s="363">
        <f t="shared" si="1"/>
        <v>1.5151515151515152E-2</v>
      </c>
      <c r="N7" s="159">
        <f t="shared" si="2"/>
        <v>3.0763791763791768E-2</v>
      </c>
      <c r="O7" s="159">
        <f t="shared" si="3"/>
        <v>7.8968142968142974E-2</v>
      </c>
      <c r="P7" s="159">
        <f t="shared" si="4"/>
        <v>5.7560994560994561E-2</v>
      </c>
      <c r="Q7" s="159">
        <f t="shared" si="5"/>
        <v>6.6794094794094788E-2</v>
      </c>
      <c r="R7" s="159">
        <f t="shared" si="6"/>
        <v>6.4318570318570328E-2</v>
      </c>
      <c r="S7" s="159">
        <f t="shared" si="7"/>
        <v>1.7687272727272729E-2</v>
      </c>
      <c r="T7" s="159">
        <f t="shared" si="8"/>
        <v>1.6745454545454543E-2</v>
      </c>
      <c r="U7" s="159">
        <f t="shared" si="9"/>
        <v>1.5264090909090909E-2</v>
      </c>
      <c r="V7" s="159">
        <v>0</v>
      </c>
      <c r="W7" s="159">
        <v>0</v>
      </c>
      <c r="X7" s="438"/>
      <c r="Y7" s="438">
        <f>Q7</f>
        <v>6.6794094794094788E-2</v>
      </c>
      <c r="Z7" s="438">
        <f t="shared" si="10"/>
        <v>6.6794094794094788E-2</v>
      </c>
      <c r="AC7" t="s">
        <v>596</v>
      </c>
      <c r="AD7" t="s">
        <v>754</v>
      </c>
      <c r="AF7" t="s">
        <v>985</v>
      </c>
      <c r="AG7" t="s">
        <v>315</v>
      </c>
    </row>
    <row r="8" spans="1:33" x14ac:dyDescent="0.25">
      <c r="A8" s="665" t="str">
        <f>PLANTILLA!D12</f>
        <v>E. Romweber</v>
      </c>
      <c r="B8" s="5">
        <f>PLANTILLA!E12</f>
        <v>30</v>
      </c>
      <c r="C8" s="5">
        <f ca="1">PLANTILLA!F12</f>
        <v>62</v>
      </c>
      <c r="D8" s="163">
        <f>PLANTILLA!V12</f>
        <v>0</v>
      </c>
      <c r="E8" s="163">
        <f>PLANTILLA!W12</f>
        <v>11.99</v>
      </c>
      <c r="F8" s="163">
        <f>PLANTILLA!X12</f>
        <v>12.399111111111115</v>
      </c>
      <c r="G8" s="163">
        <f>PLANTILLA!Y12</f>
        <v>13.05</v>
      </c>
      <c r="H8" s="163">
        <f>PLANTILLA!Z12</f>
        <v>10.84</v>
      </c>
      <c r="I8" s="163">
        <f>PLANTILLA!AA12</f>
        <v>7.7700000000000005</v>
      </c>
      <c r="J8" s="163">
        <f>PLANTILLA!AB12</f>
        <v>17.13</v>
      </c>
      <c r="K8" s="363">
        <f>1/11</f>
        <v>9.0909090909090912E-2</v>
      </c>
      <c r="L8" s="363"/>
      <c r="M8" s="363">
        <f t="shared" si="1"/>
        <v>1.5151515151515152E-2</v>
      </c>
      <c r="N8" s="159">
        <f t="shared" si="2"/>
        <v>3.0763791763791768E-2</v>
      </c>
      <c r="O8" s="159">
        <f t="shared" si="3"/>
        <v>7.8968142968142974E-2</v>
      </c>
      <c r="P8" s="159">
        <f t="shared" si="4"/>
        <v>5.7560994560994561E-2</v>
      </c>
      <c r="Q8" s="159">
        <f t="shared" si="5"/>
        <v>6.6794094794094788E-2</v>
      </c>
      <c r="R8" s="159">
        <f t="shared" si="6"/>
        <v>6.4318570318570328E-2</v>
      </c>
      <c r="S8" s="159">
        <f t="shared" si="7"/>
        <v>1.7687272727272729E-2</v>
      </c>
      <c r="T8" s="159">
        <f t="shared" si="8"/>
        <v>1.6745454545454543E-2</v>
      </c>
      <c r="U8" s="159">
        <f t="shared" si="9"/>
        <v>1.5264090909090909E-2</v>
      </c>
      <c r="V8" s="159">
        <v>0</v>
      </c>
      <c r="W8" s="159">
        <v>0</v>
      </c>
      <c r="X8" s="438">
        <f>U8</f>
        <v>1.5264090909090909E-2</v>
      </c>
      <c r="Y8" s="438">
        <f>R8</f>
        <v>6.4318570318570328E-2</v>
      </c>
      <c r="Z8" s="438">
        <f t="shared" si="10"/>
        <v>6.4318570318570328E-2</v>
      </c>
      <c r="AC8" t="s">
        <v>975</v>
      </c>
      <c r="AD8" t="s">
        <v>440</v>
      </c>
      <c r="AF8" t="s">
        <v>973</v>
      </c>
      <c r="AG8" t="s">
        <v>986</v>
      </c>
    </row>
    <row r="9" spans="1:33" x14ac:dyDescent="0.25">
      <c r="A9" s="665" t="str">
        <f>PLANTILLA!D7</f>
        <v>B. Pinczehelyi</v>
      </c>
      <c r="B9" s="5">
        <f>PLANTILLA!E7</f>
        <v>29</v>
      </c>
      <c r="C9" s="5">
        <f ca="1">PLANTILLA!F7</f>
        <v>101</v>
      </c>
      <c r="D9" s="163">
        <f>PLANTILLA!V7</f>
        <v>0</v>
      </c>
      <c r="E9" s="163">
        <f>PLANTILLA!W7</f>
        <v>14.200000000000003</v>
      </c>
      <c r="F9" s="163">
        <f>PLANTILLA!X7</f>
        <v>9.283333333333335</v>
      </c>
      <c r="G9" s="163">
        <f>PLANTILLA!Y7</f>
        <v>14.249999999999996</v>
      </c>
      <c r="H9" s="163">
        <f>PLANTILLA!Z7</f>
        <v>9.3499999999999979</v>
      </c>
      <c r="I9" s="163">
        <f>PLANTILLA!AA7</f>
        <v>1.1428571428571428</v>
      </c>
      <c r="J9" s="163">
        <f>PLANTILLA!AB7</f>
        <v>9.4</v>
      </c>
      <c r="K9" s="363">
        <f>1/20</f>
        <v>0.05</v>
      </c>
      <c r="L9" s="363"/>
      <c r="M9" s="363">
        <f t="shared" si="1"/>
        <v>8.3333333333333332E-3</v>
      </c>
      <c r="N9" s="159">
        <f t="shared" si="2"/>
        <v>1.6920085470085472E-2</v>
      </c>
      <c r="O9" s="159">
        <f t="shared" si="3"/>
        <v>4.3432478632478642E-2</v>
      </c>
      <c r="P9" s="159">
        <f t="shared" si="4"/>
        <v>3.1658547008547006E-2</v>
      </c>
      <c r="Q9" s="159">
        <f t="shared" si="5"/>
        <v>3.6736752136752142E-2</v>
      </c>
      <c r="R9" s="159">
        <f t="shared" si="6"/>
        <v>3.5375213675213679E-2</v>
      </c>
      <c r="S9" s="159">
        <f t="shared" si="7"/>
        <v>9.7280000000000005E-3</v>
      </c>
      <c r="T9" s="159">
        <f t="shared" si="8"/>
        <v>9.2099999999999994E-3</v>
      </c>
      <c r="U9" s="159">
        <f t="shared" si="9"/>
        <v>8.3952499999999999E-3</v>
      </c>
      <c r="V9" s="159">
        <v>0</v>
      </c>
      <c r="W9" s="159">
        <v>0</v>
      </c>
      <c r="X9" s="438">
        <f>R9</f>
        <v>3.5375213675213679E-2</v>
      </c>
      <c r="Y9" s="438">
        <f>R9</f>
        <v>3.5375213675213679E-2</v>
      </c>
      <c r="Z9" s="438">
        <f t="shared" si="10"/>
        <v>3.5375213675213679E-2</v>
      </c>
      <c r="AC9" t="s">
        <v>596</v>
      </c>
      <c r="AD9" t="s">
        <v>325</v>
      </c>
      <c r="AF9" t="s">
        <v>596</v>
      </c>
      <c r="AG9" t="s">
        <v>325</v>
      </c>
    </row>
    <row r="10" spans="1:33" x14ac:dyDescent="0.25">
      <c r="A10" s="665" t="str">
        <f>PLANTILLA!D18</f>
        <v>L. Bauman</v>
      </c>
      <c r="B10" s="5">
        <f>PLANTILLA!E18</f>
        <v>30</v>
      </c>
      <c r="C10" s="5">
        <f ca="1">PLANTILLA!F18</f>
        <v>24</v>
      </c>
      <c r="D10" s="163">
        <f>PLANTILLA!V18</f>
        <v>0</v>
      </c>
      <c r="E10" s="163">
        <f>PLANTILLA!W18</f>
        <v>5.2811111111111115</v>
      </c>
      <c r="F10" s="163">
        <f>PLANTILLA!X18</f>
        <v>14.193842857142847</v>
      </c>
      <c r="G10" s="163">
        <f>PLANTILLA!Y18</f>
        <v>3.4924999999999993</v>
      </c>
      <c r="H10" s="163">
        <f>PLANTILLA!Z18</f>
        <v>9.0700000000000038</v>
      </c>
      <c r="I10" s="163">
        <f>PLANTILLA!AA18</f>
        <v>7.4318888888888894</v>
      </c>
      <c r="J10" s="163">
        <f>PLANTILLA!AB18</f>
        <v>16.07</v>
      </c>
      <c r="K10" s="363">
        <f>1/6</f>
        <v>0.16666666666666666</v>
      </c>
      <c r="L10" s="363"/>
      <c r="M10" s="363">
        <f t="shared" si="1"/>
        <v>2.7777777777777776E-2</v>
      </c>
      <c r="N10" s="159">
        <f t="shared" si="2"/>
        <v>5.6400284900284897E-2</v>
      </c>
      <c r="O10" s="159">
        <f t="shared" si="3"/>
        <v>0.14477492877492881</v>
      </c>
      <c r="P10" s="159">
        <f t="shared" si="4"/>
        <v>0.10552849002849002</v>
      </c>
      <c r="Q10" s="159">
        <f t="shared" si="5"/>
        <v>0.12245584045584045</v>
      </c>
      <c r="R10" s="159">
        <f t="shared" si="6"/>
        <v>0.11791737891737891</v>
      </c>
      <c r="S10" s="159">
        <f t="shared" si="7"/>
        <v>3.2426666666666666E-2</v>
      </c>
      <c r="T10" s="159">
        <f t="shared" si="8"/>
        <v>3.0699999999999995E-2</v>
      </c>
      <c r="U10" s="159">
        <f t="shared" si="9"/>
        <v>2.7984166666666664E-2</v>
      </c>
      <c r="V10" s="159">
        <v>0</v>
      </c>
      <c r="W10" s="159">
        <v>0</v>
      </c>
      <c r="X10" s="438">
        <f>S10</f>
        <v>3.2426666666666666E-2</v>
      </c>
      <c r="Y10" s="438"/>
      <c r="Z10" s="438">
        <f t="shared" si="10"/>
        <v>3.2426666666666666E-2</v>
      </c>
      <c r="AC10" t="s">
        <v>976</v>
      </c>
      <c r="AD10" t="s">
        <v>986</v>
      </c>
      <c r="AF10" t="s">
        <v>596</v>
      </c>
      <c r="AG10" t="s">
        <v>754</v>
      </c>
    </row>
    <row r="11" spans="1:33" x14ac:dyDescent="0.25">
      <c r="A11" s="665" t="str">
        <f>PLANTILLA!D5</f>
        <v>D. Gehmacher</v>
      </c>
      <c r="B11" s="5">
        <f>PLANTILLA!E5</f>
        <v>29</v>
      </c>
      <c r="C11" s="5">
        <f ca="1">PLANTILLA!F5</f>
        <v>89</v>
      </c>
      <c r="D11" s="163">
        <f>PLANTILLA!V5</f>
        <v>16.666666666666668</v>
      </c>
      <c r="E11" s="163">
        <f>PLANTILLA!W5</f>
        <v>11.650909090909092</v>
      </c>
      <c r="F11" s="163">
        <f>PLANTILLA!X5</f>
        <v>2.0199999999999996</v>
      </c>
      <c r="G11" s="163">
        <f>PLANTILLA!Y5</f>
        <v>2.1199999999999992</v>
      </c>
      <c r="H11" s="163">
        <f>PLANTILLA!Z5</f>
        <v>1.0300000000000002</v>
      </c>
      <c r="I11" s="163">
        <f>PLANTILLA!AA5</f>
        <v>0.14055555555555557</v>
      </c>
      <c r="J11" s="163">
        <f>PLANTILLA!AB5</f>
        <v>17.849999999999998</v>
      </c>
      <c r="K11" s="363">
        <f>1/12</f>
        <v>8.3333333333333329E-2</v>
      </c>
      <c r="L11" s="363"/>
      <c r="M11" s="363">
        <f t="shared" si="1"/>
        <v>1.3888888888888888E-2</v>
      </c>
      <c r="N11" s="159">
        <f t="shared" si="2"/>
        <v>2.8200142450142449E-2</v>
      </c>
      <c r="O11" s="159">
        <f t="shared" si="3"/>
        <v>7.2387464387464406E-2</v>
      </c>
      <c r="P11" s="159">
        <f t="shared" si="4"/>
        <v>5.2764245014245009E-2</v>
      </c>
      <c r="Q11" s="159">
        <f t="shared" si="5"/>
        <v>6.1227920227920223E-2</v>
      </c>
      <c r="R11" s="159">
        <f t="shared" si="6"/>
        <v>5.8958689458689456E-2</v>
      </c>
      <c r="S11" s="159">
        <f>K11*(0.245*0.4+0.34*0.189+0.34*0.095)/(0.34+0.245)</f>
        <v>2.7715099715099716E-2</v>
      </c>
      <c r="T11" s="159">
        <f>K11*(0.245*0.348+0.34*0.291)/(0.34+0.245)</f>
        <v>2.6239316239316236E-2</v>
      </c>
      <c r="U11" s="159">
        <f>K11*(0.245*0.201+0.34*0.349)/(0.34+0.245)</f>
        <v>2.3918091168091168E-2</v>
      </c>
      <c r="V11" s="159">
        <v>0</v>
      </c>
      <c r="W11" s="159">
        <v>0</v>
      </c>
      <c r="X11" s="438">
        <f>N11</f>
        <v>2.8200142450142449E-2</v>
      </c>
      <c r="Y11" s="438">
        <f>N11</f>
        <v>2.8200142450142449E-2</v>
      </c>
      <c r="Z11" s="438">
        <f t="shared" si="10"/>
        <v>2.8200142450142449E-2</v>
      </c>
      <c r="AC11" t="s">
        <v>976</v>
      </c>
      <c r="AD11" t="s">
        <v>338</v>
      </c>
      <c r="AF11" t="s">
        <v>976</v>
      </c>
      <c r="AG11" t="s">
        <v>338</v>
      </c>
    </row>
    <row r="12" spans="1:33" x14ac:dyDescent="0.25">
      <c r="A12" s="665" t="str">
        <f>PLANTILLA!D14</f>
        <v>S. Zobbe</v>
      </c>
      <c r="B12" s="5">
        <f>PLANTILLA!E14</f>
        <v>27</v>
      </c>
      <c r="C12" s="5">
        <f ca="1">PLANTILLA!F14</f>
        <v>24</v>
      </c>
      <c r="D12" s="163">
        <f>PLANTILLA!V14</f>
        <v>0</v>
      </c>
      <c r="E12" s="163">
        <f>PLANTILLA!W14</f>
        <v>8.1199999999999992</v>
      </c>
      <c r="F12" s="163">
        <f>PLANTILLA!X14</f>
        <v>11.958412698412697</v>
      </c>
      <c r="G12" s="163">
        <f>PLANTILLA!Y14</f>
        <v>12.13</v>
      </c>
      <c r="H12" s="163">
        <f>PLANTILLA!Z14</f>
        <v>10.24</v>
      </c>
      <c r="I12" s="163">
        <f>PLANTILLA!AA14</f>
        <v>7.4766666666666666</v>
      </c>
      <c r="J12" s="163">
        <f>PLANTILLA!AB14</f>
        <v>15.270000000000001</v>
      </c>
      <c r="K12" s="363">
        <f>1/6.5</f>
        <v>0.15384615384615385</v>
      </c>
      <c r="L12" s="363"/>
      <c r="M12" s="363">
        <f t="shared" si="1"/>
        <v>2.5641025641025644E-2</v>
      </c>
      <c r="N12" s="159">
        <f t="shared" si="2"/>
        <v>5.2061801446416839E-2</v>
      </c>
      <c r="O12" s="159">
        <f t="shared" si="3"/>
        <v>0.13363839579224199</v>
      </c>
      <c r="P12" s="159">
        <f t="shared" si="4"/>
        <v>9.7410913872452348E-2</v>
      </c>
      <c r="Q12" s="159">
        <f t="shared" si="5"/>
        <v>0.11303616042077581</v>
      </c>
      <c r="R12" s="159">
        <f t="shared" si="6"/>
        <v>0.10884681130834978</v>
      </c>
      <c r="S12" s="159">
        <f t="shared" ref="S12:S24" si="11">K12*(0.245*0.4+0.34*0.189+0.34*0.095)</f>
        <v>2.9932307692307696E-2</v>
      </c>
      <c r="T12" s="159">
        <f t="shared" ref="T12:T24" si="12">K12*(0.245*0.348+0.34*0.291)</f>
        <v>2.8338461538461535E-2</v>
      </c>
      <c r="U12" s="159">
        <f t="shared" ref="U12:U24" si="13">K12*(0.245*0.201+0.34*0.349)</f>
        <v>2.5831538461538461E-2</v>
      </c>
      <c r="V12" s="159">
        <v>0</v>
      </c>
      <c r="W12" s="159">
        <v>0</v>
      </c>
      <c r="X12" s="438"/>
      <c r="Y12" s="438">
        <f>U12</f>
        <v>2.5831538461538461E-2</v>
      </c>
      <c r="Z12" s="438">
        <f t="shared" si="10"/>
        <v>2.5831538461538461E-2</v>
      </c>
      <c r="AC12" t="s">
        <v>67</v>
      </c>
      <c r="AD12" t="s">
        <v>327</v>
      </c>
      <c r="AF12" t="s">
        <v>976</v>
      </c>
      <c r="AG12" t="s">
        <v>600</v>
      </c>
    </row>
    <row r="13" spans="1:33" x14ac:dyDescent="0.25">
      <c r="A13" s="665" t="str">
        <f>PLANTILLA!D13</f>
        <v>K. Helms</v>
      </c>
      <c r="B13" s="5">
        <f>PLANTILLA!E13</f>
        <v>30</v>
      </c>
      <c r="C13" s="5">
        <f ca="1">PLANTILLA!F13</f>
        <v>9</v>
      </c>
      <c r="D13" s="163">
        <f>PLANTILLA!V13</f>
        <v>0</v>
      </c>
      <c r="E13" s="163">
        <f>PLANTILLA!W13</f>
        <v>7.11</v>
      </c>
      <c r="F13" s="163">
        <f>PLANTILLA!X13</f>
        <v>10.250000000000004</v>
      </c>
      <c r="G13" s="163">
        <f>PLANTILLA!Y13</f>
        <v>13.305</v>
      </c>
      <c r="H13" s="163">
        <f>PLANTILLA!Z13</f>
        <v>10.289999999999997</v>
      </c>
      <c r="I13" s="163">
        <f>PLANTILLA!AA13</f>
        <v>5.4050000000000002</v>
      </c>
      <c r="J13" s="163">
        <f>PLANTILLA!AB13</f>
        <v>17.300000000000004</v>
      </c>
      <c r="K13" s="363">
        <f>1/7</f>
        <v>0.14285714285714285</v>
      </c>
      <c r="L13" s="363"/>
      <c r="M13" s="363">
        <f t="shared" si="1"/>
        <v>2.3809523809523808E-2</v>
      </c>
      <c r="N13" s="159">
        <f t="shared" si="2"/>
        <v>4.8343101343101345E-2</v>
      </c>
      <c r="O13" s="159">
        <f t="shared" si="3"/>
        <v>0.12409279609279611</v>
      </c>
      <c r="P13" s="159">
        <f t="shared" si="4"/>
        <v>9.0452991452991446E-2</v>
      </c>
      <c r="Q13" s="159">
        <f t="shared" si="5"/>
        <v>0.10496214896214895</v>
      </c>
      <c r="R13" s="159">
        <f t="shared" si="6"/>
        <v>0.10107203907203907</v>
      </c>
      <c r="S13" s="159">
        <f t="shared" si="11"/>
        <v>2.7794285714285716E-2</v>
      </c>
      <c r="T13" s="159">
        <f t="shared" si="12"/>
        <v>2.631428571428571E-2</v>
      </c>
      <c r="U13" s="159">
        <f t="shared" si="13"/>
        <v>2.3986428571428568E-2</v>
      </c>
      <c r="V13" s="159">
        <v>0</v>
      </c>
      <c r="W13" s="159">
        <v>0</v>
      </c>
      <c r="X13" s="438">
        <f>U13</f>
        <v>2.3986428571428568E-2</v>
      </c>
      <c r="Y13" s="438">
        <f>U13</f>
        <v>2.3986428571428568E-2</v>
      </c>
      <c r="Z13" s="438">
        <f t="shared" si="10"/>
        <v>2.3986428571428568E-2</v>
      </c>
      <c r="AC13" t="s">
        <v>67</v>
      </c>
      <c r="AD13" t="s">
        <v>600</v>
      </c>
      <c r="AF13" t="s">
        <v>67</v>
      </c>
      <c r="AG13" t="s">
        <v>327</v>
      </c>
    </row>
    <row r="14" spans="1:33" x14ac:dyDescent="0.25">
      <c r="A14" s="666" t="str">
        <f>PLANTILLA!D15</f>
        <v>S. Buschelman</v>
      </c>
      <c r="B14" s="5">
        <f>PLANTILLA!E15</f>
        <v>29</v>
      </c>
      <c r="C14" s="5">
        <f ca="1">PLANTILLA!F15</f>
        <v>21</v>
      </c>
      <c r="D14" s="163">
        <f>PLANTILLA!V15</f>
        <v>0</v>
      </c>
      <c r="E14" s="163">
        <f>PLANTILLA!W15</f>
        <v>9.0936666666666657</v>
      </c>
      <c r="F14" s="163">
        <f>PLANTILLA!X15</f>
        <v>13.499999999999998</v>
      </c>
      <c r="G14" s="163">
        <f>PLANTILLA!Y15</f>
        <v>12.725000000000001</v>
      </c>
      <c r="H14" s="163">
        <f>PLANTILLA!Z15</f>
        <v>9.6033333333333353</v>
      </c>
      <c r="I14" s="163">
        <f>PLANTILLA!AA15</f>
        <v>5.0296666666666656</v>
      </c>
      <c r="J14" s="163">
        <f>PLANTILLA!AB15</f>
        <v>15.2</v>
      </c>
      <c r="K14" s="363">
        <f>1/9</f>
        <v>0.1111111111111111</v>
      </c>
      <c r="L14" s="363"/>
      <c r="M14" s="363">
        <f t="shared" si="1"/>
        <v>1.8518518518518517E-2</v>
      </c>
      <c r="N14" s="159">
        <f t="shared" si="2"/>
        <v>3.7600189933523265E-2</v>
      </c>
      <c r="O14" s="159">
        <f t="shared" si="3"/>
        <v>9.6516619183285857E-2</v>
      </c>
      <c r="P14" s="159">
        <f t="shared" si="4"/>
        <v>7.0352326685660022E-2</v>
      </c>
      <c r="Q14" s="159">
        <f t="shared" si="5"/>
        <v>8.1637226970560306E-2</v>
      </c>
      <c r="R14" s="159">
        <f t="shared" si="6"/>
        <v>7.8611585944919279E-2</v>
      </c>
      <c r="S14" s="159">
        <f t="shared" si="11"/>
        <v>2.1617777777777777E-2</v>
      </c>
      <c r="T14" s="159">
        <f t="shared" si="12"/>
        <v>2.0466666666666664E-2</v>
      </c>
      <c r="U14" s="159">
        <f t="shared" si="13"/>
        <v>1.8656111111111109E-2</v>
      </c>
      <c r="V14" s="159">
        <v>0</v>
      </c>
      <c r="W14" s="159">
        <v>0</v>
      </c>
      <c r="X14" s="438">
        <f>T14</f>
        <v>2.0466666666666664E-2</v>
      </c>
      <c r="Y14" s="438">
        <f>T14</f>
        <v>2.0466666666666664E-2</v>
      </c>
      <c r="Z14" s="438">
        <f t="shared" si="10"/>
        <v>2.0466666666666664E-2</v>
      </c>
    </row>
    <row r="15" spans="1:33" x14ac:dyDescent="0.25">
      <c r="A15" s="666" t="str">
        <f>PLANTILLA!D16</f>
        <v>C. Rojas</v>
      </c>
      <c r="B15" s="5">
        <f>PLANTILLA!E16</f>
        <v>31</v>
      </c>
      <c r="C15" s="5">
        <f ca="1">PLANTILLA!F16</f>
        <v>55</v>
      </c>
      <c r="D15" s="163">
        <f>PLANTILLA!V16</f>
        <v>0</v>
      </c>
      <c r="E15" s="163">
        <f>PLANTILLA!W16</f>
        <v>8.6075555555555585</v>
      </c>
      <c r="F15" s="163">
        <f>PLANTILLA!X16</f>
        <v>14.09516031746031</v>
      </c>
      <c r="G15" s="163">
        <f>PLANTILLA!Y16</f>
        <v>10.049999999999995</v>
      </c>
      <c r="H15" s="163">
        <f>PLANTILLA!Z16</f>
        <v>10.029999999999999</v>
      </c>
      <c r="I15" s="163">
        <f>PLANTILLA!AA16</f>
        <v>4.3999999999999995</v>
      </c>
      <c r="J15" s="163">
        <f>PLANTILLA!AB16</f>
        <v>16.544444444444441</v>
      </c>
      <c r="K15" s="363">
        <f>1/9</f>
        <v>0.1111111111111111</v>
      </c>
      <c r="L15" s="363"/>
      <c r="M15" s="363">
        <f t="shared" si="1"/>
        <v>1.8518518518518517E-2</v>
      </c>
      <c r="N15" s="159">
        <f t="shared" si="2"/>
        <v>3.7600189933523265E-2</v>
      </c>
      <c r="O15" s="159">
        <f t="shared" si="3"/>
        <v>9.6516619183285857E-2</v>
      </c>
      <c r="P15" s="159">
        <f t="shared" si="4"/>
        <v>7.0352326685660022E-2</v>
      </c>
      <c r="Q15" s="159">
        <f t="shared" si="5"/>
        <v>8.1637226970560306E-2</v>
      </c>
      <c r="R15" s="159">
        <f t="shared" si="6"/>
        <v>7.8611585944919279E-2</v>
      </c>
      <c r="S15" s="159">
        <f t="shared" si="11"/>
        <v>2.1617777777777777E-2</v>
      </c>
      <c r="T15" s="159">
        <f t="shared" si="12"/>
        <v>2.0466666666666664E-2</v>
      </c>
      <c r="U15" s="159">
        <f t="shared" si="13"/>
        <v>1.8656111111111109E-2</v>
      </c>
      <c r="V15" s="159">
        <v>0</v>
      </c>
      <c r="W15" s="159">
        <v>0</v>
      </c>
      <c r="X15" s="438">
        <f>T15</f>
        <v>2.0466666666666664E-2</v>
      </c>
      <c r="Y15" s="438">
        <f>T15</f>
        <v>2.0466666666666664E-2</v>
      </c>
      <c r="Z15" s="438">
        <f t="shared" si="10"/>
        <v>2.0466666666666664E-2</v>
      </c>
    </row>
    <row r="16" spans="1:33" x14ac:dyDescent="0.25">
      <c r="A16" s="666" t="str">
        <f>PLANTILLA!D11</f>
        <v>F. Lasprilla</v>
      </c>
      <c r="B16" s="5">
        <f>PLANTILLA!E11</f>
        <v>26</v>
      </c>
      <c r="C16" s="5">
        <f ca="1">PLANTILLA!F11</f>
        <v>108</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1/7</f>
        <v>0.14285714285714285</v>
      </c>
      <c r="L16" s="363"/>
      <c r="M16" s="363">
        <f t="shared" si="1"/>
        <v>2.3809523809523808E-2</v>
      </c>
      <c r="N16" s="159">
        <f t="shared" si="2"/>
        <v>4.8343101343101345E-2</v>
      </c>
      <c r="O16" s="159">
        <f t="shared" si="3"/>
        <v>0.12409279609279611</v>
      </c>
      <c r="P16" s="159">
        <f t="shared" si="4"/>
        <v>9.0452991452991446E-2</v>
      </c>
      <c r="Q16" s="159">
        <f t="shared" si="5"/>
        <v>0.10496214896214895</v>
      </c>
      <c r="R16" s="159">
        <f t="shared" si="6"/>
        <v>0.10107203907203907</v>
      </c>
      <c r="S16" s="159">
        <f t="shared" si="11"/>
        <v>2.7794285714285716E-2</v>
      </c>
      <c r="T16" s="159">
        <f t="shared" si="12"/>
        <v>2.631428571428571E-2</v>
      </c>
      <c r="U16" s="159">
        <f t="shared" si="13"/>
        <v>2.3986428571428568E-2</v>
      </c>
      <c r="V16" s="159">
        <v>0</v>
      </c>
      <c r="W16" s="159">
        <v>0</v>
      </c>
      <c r="X16" s="438"/>
      <c r="Y16" s="438"/>
      <c r="Z16" s="438">
        <f t="shared" si="10"/>
        <v>0</v>
      </c>
    </row>
    <row r="17" spans="1:26" x14ac:dyDescent="0.25">
      <c r="A17" s="312" t="str">
        <f>PLANTILLA!D19</f>
        <v>W. Gelifini</v>
      </c>
      <c r="B17" s="5">
        <f>PLANTILLA!E19</f>
        <v>28</v>
      </c>
      <c r="C17" s="5">
        <f ca="1">PLANTILLA!F19</f>
        <v>86</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1/5</f>
        <v>0.2</v>
      </c>
      <c r="L17" s="363"/>
      <c r="M17" s="363">
        <f t="shared" si="1"/>
        <v>3.3333333333333333E-2</v>
      </c>
      <c r="N17" s="159">
        <f t="shared" si="2"/>
        <v>6.7680341880341888E-2</v>
      </c>
      <c r="O17" s="159">
        <f t="shared" si="3"/>
        <v>0.17372991452991457</v>
      </c>
      <c r="P17" s="159">
        <f t="shared" si="4"/>
        <v>0.12663418803418802</v>
      </c>
      <c r="Q17" s="159">
        <f t="shared" si="5"/>
        <v>0.14694700854700857</v>
      </c>
      <c r="R17" s="159">
        <f t="shared" si="6"/>
        <v>0.14150085470085472</v>
      </c>
      <c r="S17" s="159">
        <f t="shared" si="11"/>
        <v>3.8912000000000002E-2</v>
      </c>
      <c r="T17" s="159">
        <f t="shared" si="12"/>
        <v>3.6839999999999998E-2</v>
      </c>
      <c r="U17" s="159">
        <f t="shared" si="13"/>
        <v>3.3581E-2</v>
      </c>
      <c r="V17" s="159">
        <v>0</v>
      </c>
      <c r="W17" s="159">
        <v>0</v>
      </c>
      <c r="X17" s="438"/>
      <c r="Y17" s="438"/>
      <c r="Z17" s="438">
        <f t="shared" si="10"/>
        <v>0</v>
      </c>
    </row>
    <row r="18" spans="1:26" x14ac:dyDescent="0.25">
      <c r="A18" s="312" t="str">
        <f>PLANTILLA!D21</f>
        <v>J. Limon</v>
      </c>
      <c r="B18" s="5">
        <f>PLANTILLA!E21</f>
        <v>29</v>
      </c>
      <c r="C18" s="5">
        <f ca="1">PLANTILLA!F21</f>
        <v>61</v>
      </c>
      <c r="D18" s="163">
        <f>PLANTILLA!V21</f>
        <v>0</v>
      </c>
      <c r="E18" s="163">
        <f>PLANTILLA!W21</f>
        <v>6.8176190476190497</v>
      </c>
      <c r="F18" s="163">
        <f>PLANTILLA!X21</f>
        <v>8.3125</v>
      </c>
      <c r="G18" s="163">
        <f>PLANTILLA!Y21</f>
        <v>8.7199999999999971</v>
      </c>
      <c r="H18" s="163">
        <f>PLANTILLA!Z21</f>
        <v>9.6800000000000015</v>
      </c>
      <c r="I18" s="163">
        <f>PLANTILLA!AA21</f>
        <v>8.5625000000000018</v>
      </c>
      <c r="J18" s="163">
        <f>PLANTILLA!AB21</f>
        <v>18.639999999999993</v>
      </c>
      <c r="K18" s="363">
        <f>1/6</f>
        <v>0.16666666666666666</v>
      </c>
      <c r="L18" s="363"/>
      <c r="M18" s="363">
        <f t="shared" si="1"/>
        <v>2.7777777777777776E-2</v>
      </c>
      <c r="N18" s="159">
        <f t="shared" si="2"/>
        <v>5.6400284900284897E-2</v>
      </c>
      <c r="O18" s="159">
        <f t="shared" si="3"/>
        <v>0.14477492877492881</v>
      </c>
      <c r="P18" s="159">
        <f t="shared" si="4"/>
        <v>0.10552849002849002</v>
      </c>
      <c r="Q18" s="159">
        <f t="shared" si="5"/>
        <v>0.12245584045584045</v>
      </c>
      <c r="R18" s="159">
        <f t="shared" si="6"/>
        <v>0.11791737891737891</v>
      </c>
      <c r="S18" s="159">
        <f t="shared" si="11"/>
        <v>3.2426666666666666E-2</v>
      </c>
      <c r="T18" s="159">
        <f t="shared" si="12"/>
        <v>3.0699999999999995E-2</v>
      </c>
      <c r="U18" s="159">
        <f t="shared" si="13"/>
        <v>2.7984166666666664E-2</v>
      </c>
      <c r="V18" s="159">
        <v>0</v>
      </c>
      <c r="W18" s="159">
        <v>0</v>
      </c>
      <c r="X18" s="438"/>
      <c r="Y18" s="438"/>
      <c r="Z18" s="438">
        <f t="shared" si="10"/>
        <v>0</v>
      </c>
    </row>
    <row r="19" spans="1:26" x14ac:dyDescent="0.25">
      <c r="A19" s="312" t="str">
        <f>PLANTILLA!D23</f>
        <v>P .Trivadi</v>
      </c>
      <c r="B19" s="5">
        <f>PLANTILLA!E23</f>
        <v>26</v>
      </c>
      <c r="C19" s="5">
        <f ca="1">PLANTILLA!F23</f>
        <v>92</v>
      </c>
      <c r="D19" s="163">
        <f>PLANTILLA!V23</f>
        <v>0</v>
      </c>
      <c r="E19" s="163">
        <f>PLANTILLA!W23</f>
        <v>4</v>
      </c>
      <c r="F19" s="163">
        <f>PLANTILLA!X23</f>
        <v>5.5138722222222212</v>
      </c>
      <c r="G19" s="163">
        <f>PLANTILLA!Y23</f>
        <v>5.47</v>
      </c>
      <c r="H19" s="163">
        <f>PLANTILLA!Z23</f>
        <v>10.799999999999999</v>
      </c>
      <c r="I19" s="163">
        <f>PLANTILLA!AA23</f>
        <v>8.384500000000001</v>
      </c>
      <c r="J19" s="163">
        <f>PLANTILLA!AB23</f>
        <v>13.566666666666668</v>
      </c>
      <c r="K19" s="363">
        <f>1/4</f>
        <v>0.25</v>
      </c>
      <c r="L19" s="363"/>
      <c r="M19" s="363">
        <f t="shared" si="1"/>
        <v>4.1666666666666664E-2</v>
      </c>
      <c r="N19" s="159">
        <f t="shared" si="2"/>
        <v>8.460042735042736E-2</v>
      </c>
      <c r="O19" s="159">
        <f t="shared" si="3"/>
        <v>0.21716239316239319</v>
      </c>
      <c r="P19" s="159">
        <f t="shared" si="4"/>
        <v>0.15829273504273506</v>
      </c>
      <c r="Q19" s="159">
        <f t="shared" si="5"/>
        <v>0.18368376068376069</v>
      </c>
      <c r="R19" s="159">
        <f t="shared" si="6"/>
        <v>0.17687606837606837</v>
      </c>
      <c r="S19" s="159">
        <f t="shared" si="11"/>
        <v>4.8640000000000003E-2</v>
      </c>
      <c r="T19" s="159">
        <f t="shared" si="12"/>
        <v>4.6049999999999994E-2</v>
      </c>
      <c r="U19" s="159">
        <f t="shared" si="13"/>
        <v>4.197625E-2</v>
      </c>
      <c r="V19" s="159">
        <v>0</v>
      </c>
      <c r="W19" s="159">
        <v>0</v>
      </c>
      <c r="X19" s="438"/>
      <c r="Y19" s="438"/>
      <c r="Z19" s="438">
        <f t="shared" si="10"/>
        <v>0</v>
      </c>
    </row>
    <row r="20" spans="1:26" x14ac:dyDescent="0.25">
      <c r="A20" s="312" t="str">
        <f>PLANTILLA!D6</f>
        <v>T. Hammond</v>
      </c>
      <c r="B20" s="5">
        <f>PLANTILLA!E6</f>
        <v>33</v>
      </c>
      <c r="C20" s="5">
        <f ca="1">PLANTILLA!F6</f>
        <v>98</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1/10</f>
        <v>0.1</v>
      </c>
      <c r="L20" s="363"/>
      <c r="M20" s="363">
        <f t="shared" si="1"/>
        <v>1.6666666666666666E-2</v>
      </c>
      <c r="N20" s="159">
        <f t="shared" si="2"/>
        <v>3.3840170940170944E-2</v>
      </c>
      <c r="O20" s="159">
        <f t="shared" si="3"/>
        <v>8.6864957264957285E-2</v>
      </c>
      <c r="P20" s="159">
        <f t="shared" si="4"/>
        <v>6.3317094017094011E-2</v>
      </c>
      <c r="Q20" s="159">
        <f t="shared" si="5"/>
        <v>7.3473504273504284E-2</v>
      </c>
      <c r="R20" s="159">
        <f t="shared" si="6"/>
        <v>7.0750427350427358E-2</v>
      </c>
      <c r="S20" s="159">
        <f t="shared" si="11"/>
        <v>1.9456000000000001E-2</v>
      </c>
      <c r="T20" s="159">
        <f t="shared" si="12"/>
        <v>1.8419999999999999E-2</v>
      </c>
      <c r="U20" s="159">
        <f t="shared" si="13"/>
        <v>1.67905E-2</v>
      </c>
      <c r="V20" s="159">
        <v>0</v>
      </c>
      <c r="W20" s="159">
        <v>0</v>
      </c>
      <c r="X20" s="438"/>
      <c r="Y20" s="438"/>
      <c r="Z20" s="438">
        <f t="shared" si="10"/>
        <v>0</v>
      </c>
    </row>
    <row r="21" spans="1:26" x14ac:dyDescent="0.25">
      <c r="A21" s="312"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1/9</f>
        <v>0.1111111111111111</v>
      </c>
      <c r="L21" s="363"/>
      <c r="M21" s="363">
        <f t="shared" si="1"/>
        <v>1.8518518518518517E-2</v>
      </c>
      <c r="N21" s="159">
        <f t="shared" si="2"/>
        <v>3.7600189933523265E-2</v>
      </c>
      <c r="O21" s="159">
        <f t="shared" si="3"/>
        <v>9.6516619183285857E-2</v>
      </c>
      <c r="P21" s="159">
        <f t="shared" si="4"/>
        <v>7.0352326685660022E-2</v>
      </c>
      <c r="Q21" s="159">
        <f t="shared" si="5"/>
        <v>8.1637226970560306E-2</v>
      </c>
      <c r="R21" s="159">
        <f t="shared" si="6"/>
        <v>7.8611585944919279E-2</v>
      </c>
      <c r="S21" s="159">
        <f t="shared" si="11"/>
        <v>2.1617777777777777E-2</v>
      </c>
      <c r="T21" s="159">
        <f t="shared" si="12"/>
        <v>2.0466666666666664E-2</v>
      </c>
      <c r="U21" s="159">
        <f t="shared" si="13"/>
        <v>1.8656111111111109E-2</v>
      </c>
      <c r="V21" s="159">
        <v>0</v>
      </c>
      <c r="W21" s="159">
        <v>0</v>
      </c>
      <c r="X21" s="438"/>
      <c r="Y21" s="438"/>
      <c r="Z21" s="438">
        <f t="shared" si="10"/>
        <v>0</v>
      </c>
    </row>
    <row r="22" spans="1:26" x14ac:dyDescent="0.25">
      <c r="A22" s="416"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1/5</f>
        <v>0.2</v>
      </c>
      <c r="L22" s="363"/>
      <c r="M22" s="363">
        <f t="shared" si="1"/>
        <v>3.3333333333333333E-2</v>
      </c>
      <c r="N22" s="159">
        <f t="shared" si="2"/>
        <v>6.7680341880341888E-2</v>
      </c>
      <c r="O22" s="159">
        <f t="shared" si="3"/>
        <v>0.17372991452991457</v>
      </c>
      <c r="P22" s="159">
        <f t="shared" si="4"/>
        <v>0.12663418803418802</v>
      </c>
      <c r="Q22" s="159">
        <f t="shared" si="5"/>
        <v>0.14694700854700857</v>
      </c>
      <c r="R22" s="159">
        <f t="shared" si="6"/>
        <v>0.14150085470085472</v>
      </c>
      <c r="S22" s="159">
        <f t="shared" si="11"/>
        <v>3.8912000000000002E-2</v>
      </c>
      <c r="T22" s="159">
        <f t="shared" si="12"/>
        <v>3.6839999999999998E-2</v>
      </c>
      <c r="U22" s="159">
        <f t="shared" si="13"/>
        <v>3.3581E-2</v>
      </c>
      <c r="V22" s="159">
        <v>0</v>
      </c>
      <c r="W22" s="159">
        <v>0</v>
      </c>
      <c r="X22" s="438"/>
      <c r="Y22" s="438"/>
      <c r="Z22" s="438">
        <f t="shared" si="10"/>
        <v>0</v>
      </c>
    </row>
    <row r="23" spans="1:26" x14ac:dyDescent="0.25">
      <c r="A23" s="416" t="str">
        <f>PLANTILLA!D20</f>
        <v>M. Amico</v>
      </c>
      <c r="B23" s="5">
        <f>PLANTILLA!E20</f>
        <v>28</v>
      </c>
      <c r="C23" s="5">
        <f ca="1">PLANTILLA!F20</f>
        <v>93</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1/3</f>
        <v>0.33333333333333331</v>
      </c>
      <c r="L23" s="363"/>
      <c r="M23" s="363">
        <f t="shared" si="1"/>
        <v>5.5555555555555552E-2</v>
      </c>
      <c r="N23" s="159">
        <f t="shared" si="2"/>
        <v>0.11280056980056979</v>
      </c>
      <c r="O23" s="159">
        <f t="shared" si="3"/>
        <v>0.28954985754985763</v>
      </c>
      <c r="P23" s="159">
        <f t="shared" si="4"/>
        <v>0.21105698005698004</v>
      </c>
      <c r="Q23" s="159">
        <f t="shared" si="5"/>
        <v>0.24491168091168089</v>
      </c>
      <c r="R23" s="159">
        <f t="shared" si="6"/>
        <v>0.23583475783475782</v>
      </c>
      <c r="S23" s="159">
        <f t="shared" si="11"/>
        <v>6.4853333333333332E-2</v>
      </c>
      <c r="T23" s="159">
        <f t="shared" si="12"/>
        <v>6.1399999999999989E-2</v>
      </c>
      <c r="U23" s="159">
        <f t="shared" si="13"/>
        <v>5.5968333333333328E-2</v>
      </c>
      <c r="V23" s="159">
        <v>0</v>
      </c>
      <c r="W23" s="159">
        <v>0</v>
      </c>
      <c r="X23" s="438"/>
      <c r="Y23" s="438"/>
      <c r="Z23" s="438">
        <f t="shared" si="10"/>
        <v>0</v>
      </c>
    </row>
    <row r="24" spans="1:26" x14ac:dyDescent="0.25">
      <c r="A24" s="416" t="str">
        <f>PLANTILLA!D22</f>
        <v>L. Calosso</v>
      </c>
      <c r="B24" s="5">
        <f>PLANTILLA!E22</f>
        <v>30</v>
      </c>
      <c r="C24" s="5">
        <f ca="1">PLANTILLA!F22</f>
        <v>18</v>
      </c>
      <c r="D24" s="163">
        <f>PLANTILLA!V22</f>
        <v>0</v>
      </c>
      <c r="E24" s="163">
        <f>PLANTILLA!W22</f>
        <v>2</v>
      </c>
      <c r="F24" s="163">
        <f>PLANTILLA!X22</f>
        <v>14.0938</v>
      </c>
      <c r="G24" s="163">
        <f>PLANTILLA!Y22</f>
        <v>3</v>
      </c>
      <c r="H24" s="163">
        <f>PLANTILLA!Z22</f>
        <v>15.01</v>
      </c>
      <c r="I24" s="163">
        <f>PLANTILLA!AA22</f>
        <v>10</v>
      </c>
      <c r="J24" s="163">
        <f>PLANTILLA!AB22</f>
        <v>9.3000000000000007</v>
      </c>
      <c r="K24" s="363">
        <f>1/3</f>
        <v>0.33333333333333331</v>
      </c>
      <c r="L24" s="363"/>
      <c r="M24" s="363">
        <f t="shared" si="1"/>
        <v>5.5555555555555552E-2</v>
      </c>
      <c r="N24" s="159">
        <f t="shared" si="2"/>
        <v>0.11280056980056979</v>
      </c>
      <c r="O24" s="159">
        <f t="shared" si="3"/>
        <v>0.28954985754985763</v>
      </c>
      <c r="P24" s="159">
        <f t="shared" si="4"/>
        <v>0.21105698005698004</v>
      </c>
      <c r="Q24" s="159">
        <f t="shared" si="5"/>
        <v>0.24491168091168089</v>
      </c>
      <c r="R24" s="159">
        <f t="shared" si="6"/>
        <v>0.23583475783475782</v>
      </c>
      <c r="S24" s="159">
        <f t="shared" si="11"/>
        <v>6.4853333333333332E-2</v>
      </c>
      <c r="T24" s="159">
        <f t="shared" si="12"/>
        <v>6.1399999999999989E-2</v>
      </c>
      <c r="U24" s="159">
        <f t="shared" si="13"/>
        <v>5.5968333333333328E-2</v>
      </c>
      <c r="V24" s="159">
        <v>0</v>
      </c>
      <c r="W24" s="159">
        <v>0</v>
      </c>
      <c r="X24" s="438"/>
      <c r="Y24" s="438"/>
      <c r="Z24" s="438">
        <f t="shared" si="10"/>
        <v>0</v>
      </c>
    </row>
    <row r="28" spans="1:26" x14ac:dyDescent="0.25">
      <c r="A28" s="317"/>
    </row>
  </sheetData>
  <sortState ref="A4:AB24">
    <sortCondition descending="1" ref="Z4:Z24"/>
    <sortCondition descending="1" ref="X4:X24"/>
    <sortCondition descending="1" ref="Y4:Y24"/>
  </sortState>
  <conditionalFormatting sqref="D4:J24">
    <cfRule type="colorScale" priority="3">
      <colorScale>
        <cfvo type="min"/>
        <cfvo type="max"/>
        <color rgb="FFFCFCFF"/>
        <color rgb="FFF8696B"/>
      </colorScale>
    </cfRule>
  </conditionalFormatting>
  <conditionalFormatting sqref="K4:W24">
    <cfRule type="colorScale" priority="697">
      <colorScale>
        <cfvo type="min"/>
        <cfvo type="max"/>
        <color rgb="FFFFEF9C"/>
        <color rgb="FF63BE7B"/>
      </colorScale>
    </cfRule>
  </conditionalFormatting>
  <conditionalFormatting sqref="X4:Z24">
    <cfRule type="dataBar" priority="1280">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X4:Z24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zoomScaleNormal="100" workbookViewId="0">
      <selection activeCell="F11" sqref="F11"/>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6" bestFit="1" customWidth="1"/>
    <col min="9" max="9" width="4.85546875" bestFit="1" customWidth="1"/>
    <col min="10" max="10" width="6" bestFit="1" customWidth="1"/>
    <col min="11" max="12" width="6.5703125" style="651" bestFit="1" customWidth="1"/>
    <col min="13" max="13" width="8.28515625" style="651"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7109375" bestFit="1" customWidth="1"/>
    <col min="24" max="25" width="6.42578125" bestFit="1" customWidth="1"/>
    <col min="26" max="26" width="11.8554687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0.50958034290271137</v>
      </c>
      <c r="Y2" s="659">
        <f t="shared" ref="Y2" si="0">SUM(Y4:Y24)</f>
        <v>0.44119384635832004</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1003</v>
      </c>
      <c r="N3" s="654" t="s">
        <v>1</v>
      </c>
      <c r="O3" s="654" t="s">
        <v>974</v>
      </c>
      <c r="P3" s="653" t="s">
        <v>1004</v>
      </c>
      <c r="Q3" s="653" t="s">
        <v>1010</v>
      </c>
      <c r="R3" s="653" t="s">
        <v>1005</v>
      </c>
      <c r="S3" s="653" t="s">
        <v>975</v>
      </c>
      <c r="T3" s="653" t="s">
        <v>596</v>
      </c>
      <c r="U3" s="653" t="s">
        <v>1009</v>
      </c>
      <c r="V3" s="654" t="s">
        <v>738</v>
      </c>
      <c r="W3" s="658" t="s">
        <v>67</v>
      </c>
      <c r="X3" s="656" t="s">
        <v>1007</v>
      </c>
      <c r="Y3" s="656" t="s">
        <v>1008</v>
      </c>
      <c r="Z3" s="656" t="s">
        <v>1014</v>
      </c>
      <c r="AC3" t="s">
        <v>1</v>
      </c>
      <c r="AD3" t="s">
        <v>934</v>
      </c>
      <c r="AF3" t="s">
        <v>1</v>
      </c>
      <c r="AG3" t="s">
        <v>934</v>
      </c>
    </row>
    <row r="4" spans="1:33" x14ac:dyDescent="0.25">
      <c r="A4" s="665" t="str">
        <f>PLANTILLA!D18</f>
        <v>L. Bauman</v>
      </c>
      <c r="B4" s="5">
        <f>PLANTILLA!E18</f>
        <v>30</v>
      </c>
      <c r="C4" s="5">
        <f ca="1">PLANTILLA!F18</f>
        <v>24</v>
      </c>
      <c r="D4" s="163">
        <f>PLANTILLA!V18</f>
        <v>0</v>
      </c>
      <c r="E4" s="163">
        <f>PLANTILLA!W18</f>
        <v>5.2811111111111115</v>
      </c>
      <c r="F4" s="163">
        <f>PLANTILLA!X18</f>
        <v>14.193842857142847</v>
      </c>
      <c r="G4" s="163">
        <f>PLANTILLA!Y18</f>
        <v>3.4924999999999993</v>
      </c>
      <c r="H4" s="163">
        <f>PLANTILLA!Z18</f>
        <v>9.0700000000000038</v>
      </c>
      <c r="I4" s="163">
        <f>PLANTILLA!AA18</f>
        <v>7.4318888888888894</v>
      </c>
      <c r="J4" s="163">
        <f>PLANTILLA!AB18</f>
        <v>16.07</v>
      </c>
      <c r="K4" s="655">
        <f>1/12</f>
        <v>8.3333333333333329E-2</v>
      </c>
      <c r="L4" s="363">
        <f t="shared" ref="L4:L18" si="1">K4*0.5</f>
        <v>4.1666666666666664E-2</v>
      </c>
      <c r="M4" s="363">
        <f t="shared" ref="M4:M18" si="2">K4*0.125</f>
        <v>1.0416666666666666E-2</v>
      </c>
      <c r="N4" s="159">
        <v>0</v>
      </c>
      <c r="O4" s="159">
        <f t="shared" ref="O4:O18" si="3">K4*0.236</f>
        <v>1.9666666666666666E-2</v>
      </c>
      <c r="P4" s="159">
        <f t="shared" ref="P4:P18" si="4">K4*0.363</f>
        <v>3.0249999999999999E-2</v>
      </c>
      <c r="Q4" s="159">
        <f t="shared" ref="Q4:Q18" si="5">K4*0.165</f>
        <v>1.375E-2</v>
      </c>
      <c r="R4" s="159">
        <f t="shared" ref="R4:R18" si="6">K4*0.167</f>
        <v>1.3916666666666667E-2</v>
      </c>
      <c r="S4" s="159">
        <f t="shared" ref="S4:S18" si="7">K4*1</f>
        <v>8.3333333333333329E-2</v>
      </c>
      <c r="T4" s="159">
        <f t="shared" ref="T4:T18" si="8">K4*0.881</f>
        <v>7.3416666666666658E-2</v>
      </c>
      <c r="U4" s="159">
        <f t="shared" ref="U4:U18" si="9">K4*0.455</f>
        <v>3.7916666666666668E-2</v>
      </c>
      <c r="V4" s="159">
        <f t="shared" ref="V4:V18" si="10">K4*0.406</f>
        <v>3.3833333333333333E-2</v>
      </c>
      <c r="W4" s="159">
        <f t="shared" ref="W4:W18" si="11">K4*0.25</f>
        <v>2.0833333333333332E-2</v>
      </c>
      <c r="X4" s="438">
        <f>S4</f>
        <v>8.3333333333333329E-2</v>
      </c>
      <c r="Y4" s="438"/>
      <c r="Z4" s="438">
        <f t="shared" ref="Z4:Z24" si="12">MAX(Y4,X4)</f>
        <v>8.3333333333333329E-2</v>
      </c>
      <c r="AC4" t="s">
        <v>973</v>
      </c>
      <c r="AD4" s="689" t="s">
        <v>1027</v>
      </c>
      <c r="AF4" t="s">
        <v>973</v>
      </c>
      <c r="AG4" s="689" t="str">
        <f>AD4</f>
        <v>B. Pinczehelyi</v>
      </c>
    </row>
    <row r="5" spans="1:33" x14ac:dyDescent="0.25">
      <c r="A5" s="665" t="str">
        <f>PLANTILLA!D15</f>
        <v>S. Buschelman</v>
      </c>
      <c r="B5" s="5">
        <f>PLANTILLA!E15</f>
        <v>29</v>
      </c>
      <c r="C5" s="5">
        <f ca="1">PLANTILLA!F15</f>
        <v>21</v>
      </c>
      <c r="D5" s="163">
        <f>PLANTILLA!V15</f>
        <v>0</v>
      </c>
      <c r="E5" s="163">
        <f>PLANTILLA!W15</f>
        <v>9.0936666666666657</v>
      </c>
      <c r="F5" s="163">
        <f>PLANTILLA!X15</f>
        <v>13.499999999999998</v>
      </c>
      <c r="G5" s="163">
        <f>PLANTILLA!Y15</f>
        <v>12.725000000000001</v>
      </c>
      <c r="H5" s="163">
        <f>PLANTILLA!Z15</f>
        <v>9.6033333333333353</v>
      </c>
      <c r="I5" s="163">
        <f>PLANTILLA!AA15</f>
        <v>5.0296666666666656</v>
      </c>
      <c r="J5" s="163">
        <f>PLANTILLA!AB15</f>
        <v>15.2</v>
      </c>
      <c r="K5" s="655">
        <f>1/11</f>
        <v>9.0909090909090912E-2</v>
      </c>
      <c r="L5" s="363">
        <f t="shared" si="1"/>
        <v>4.5454545454545456E-2</v>
      </c>
      <c r="M5" s="363">
        <f t="shared" si="2"/>
        <v>1.1363636363636364E-2</v>
      </c>
      <c r="N5" s="159">
        <v>0</v>
      </c>
      <c r="O5" s="159">
        <f t="shared" si="3"/>
        <v>2.1454545454545455E-2</v>
      </c>
      <c r="P5" s="159">
        <f t="shared" si="4"/>
        <v>3.3000000000000002E-2</v>
      </c>
      <c r="Q5" s="159">
        <f t="shared" si="5"/>
        <v>1.5000000000000001E-2</v>
      </c>
      <c r="R5" s="159">
        <f t="shared" si="6"/>
        <v>1.5181818181818183E-2</v>
      </c>
      <c r="S5" s="159">
        <f t="shared" si="7"/>
        <v>9.0909090909090912E-2</v>
      </c>
      <c r="T5" s="159">
        <f t="shared" si="8"/>
        <v>8.0090909090909088E-2</v>
      </c>
      <c r="U5" s="159">
        <f t="shared" si="9"/>
        <v>4.1363636363636366E-2</v>
      </c>
      <c r="V5" s="159">
        <f t="shared" si="10"/>
        <v>3.6909090909090912E-2</v>
      </c>
      <c r="W5" s="159">
        <f t="shared" si="11"/>
        <v>2.2727272727272728E-2</v>
      </c>
      <c r="X5" s="438">
        <f>T5</f>
        <v>8.0090909090909088E-2</v>
      </c>
      <c r="Y5" s="438">
        <f>T5</f>
        <v>8.0090909090909088E-2</v>
      </c>
      <c r="Z5" s="438">
        <f t="shared" si="12"/>
        <v>8.0090909090909088E-2</v>
      </c>
      <c r="AC5" t="s">
        <v>974</v>
      </c>
      <c r="AD5" t="s">
        <v>312</v>
      </c>
      <c r="AF5" t="s">
        <v>985</v>
      </c>
      <c r="AG5" t="s">
        <v>313</v>
      </c>
    </row>
    <row r="6" spans="1:33" x14ac:dyDescent="0.25">
      <c r="A6" s="665" t="str">
        <f>PLANTILLA!D16</f>
        <v>C. Rojas</v>
      </c>
      <c r="B6" s="5">
        <f>PLANTILLA!E16</f>
        <v>31</v>
      </c>
      <c r="C6" s="5">
        <f ca="1">PLANTILLA!F16</f>
        <v>55</v>
      </c>
      <c r="D6" s="163">
        <f>PLANTILLA!V16</f>
        <v>0</v>
      </c>
      <c r="E6" s="163">
        <f>PLANTILLA!W16</f>
        <v>8.6075555555555585</v>
      </c>
      <c r="F6" s="163">
        <f>PLANTILLA!X16</f>
        <v>14.09516031746031</v>
      </c>
      <c r="G6" s="163">
        <f>PLANTILLA!Y16</f>
        <v>10.049999999999995</v>
      </c>
      <c r="H6" s="163">
        <f>PLANTILLA!Z16</f>
        <v>10.029999999999999</v>
      </c>
      <c r="I6" s="163">
        <f>PLANTILLA!AA16</f>
        <v>4.3999999999999995</v>
      </c>
      <c r="J6" s="163">
        <f>PLANTILLA!AB16</f>
        <v>16.544444444444441</v>
      </c>
      <c r="K6" s="655">
        <f>1/12</f>
        <v>8.3333333333333329E-2</v>
      </c>
      <c r="L6" s="363">
        <f t="shared" si="1"/>
        <v>4.1666666666666664E-2</v>
      </c>
      <c r="M6" s="363">
        <f t="shared" si="2"/>
        <v>1.0416666666666666E-2</v>
      </c>
      <c r="N6" s="159">
        <v>0</v>
      </c>
      <c r="O6" s="159">
        <f t="shared" si="3"/>
        <v>1.9666666666666666E-2</v>
      </c>
      <c r="P6" s="159">
        <f t="shared" si="4"/>
        <v>3.0249999999999999E-2</v>
      </c>
      <c r="Q6" s="159">
        <f t="shared" si="5"/>
        <v>1.375E-2</v>
      </c>
      <c r="R6" s="159">
        <f t="shared" si="6"/>
        <v>1.3916666666666667E-2</v>
      </c>
      <c r="S6" s="159">
        <f t="shared" si="7"/>
        <v>8.3333333333333329E-2</v>
      </c>
      <c r="T6" s="159">
        <f t="shared" si="8"/>
        <v>7.3416666666666658E-2</v>
      </c>
      <c r="U6" s="159">
        <f t="shared" si="9"/>
        <v>3.7916666666666668E-2</v>
      </c>
      <c r="V6" s="159">
        <f t="shared" si="10"/>
        <v>3.3833333333333333E-2</v>
      </c>
      <c r="W6" s="159">
        <f t="shared" si="11"/>
        <v>2.0833333333333332E-2</v>
      </c>
      <c r="X6" s="438">
        <f>T6</f>
        <v>7.3416666666666658E-2</v>
      </c>
      <c r="Y6" s="438">
        <f>T6</f>
        <v>7.3416666666666658E-2</v>
      </c>
      <c r="Z6" s="438">
        <f t="shared" si="12"/>
        <v>7.3416666666666658E-2</v>
      </c>
      <c r="AC6" t="s">
        <v>973</v>
      </c>
      <c r="AD6" t="s">
        <v>309</v>
      </c>
      <c r="AF6" t="s">
        <v>984</v>
      </c>
      <c r="AG6" t="s">
        <v>309</v>
      </c>
    </row>
    <row r="7" spans="1:33" x14ac:dyDescent="0.25">
      <c r="A7" s="665" t="str">
        <f>PLANTILLA!D21</f>
        <v>J. Limon</v>
      </c>
      <c r="B7" s="5">
        <f>PLANTILLA!E21</f>
        <v>29</v>
      </c>
      <c r="C7" s="5">
        <f ca="1">PLANTILLA!F21</f>
        <v>61</v>
      </c>
      <c r="D7" s="163">
        <f>PLANTILLA!V21</f>
        <v>0</v>
      </c>
      <c r="E7" s="163">
        <f>PLANTILLA!W21</f>
        <v>6.8176190476190497</v>
      </c>
      <c r="F7" s="163">
        <f>PLANTILLA!X21</f>
        <v>8.3125</v>
      </c>
      <c r="G7" s="163">
        <f>PLANTILLA!Y21</f>
        <v>8.7199999999999971</v>
      </c>
      <c r="H7" s="163">
        <f>PLANTILLA!Z21</f>
        <v>9.6800000000000015</v>
      </c>
      <c r="I7" s="163">
        <f>PLANTILLA!AA21</f>
        <v>8.5625000000000018</v>
      </c>
      <c r="J7" s="163">
        <f>PLANTILLA!AB21</f>
        <v>18.639999999999993</v>
      </c>
      <c r="K7" s="655">
        <f>1/6</f>
        <v>0.16666666666666666</v>
      </c>
      <c r="L7" s="363">
        <f t="shared" si="1"/>
        <v>8.3333333333333329E-2</v>
      </c>
      <c r="M7" s="363">
        <f t="shared" si="2"/>
        <v>2.0833333333333332E-2</v>
      </c>
      <c r="N7" s="159">
        <v>0</v>
      </c>
      <c r="O7" s="159">
        <f t="shared" si="3"/>
        <v>3.9333333333333331E-2</v>
      </c>
      <c r="P7" s="159">
        <f t="shared" si="4"/>
        <v>6.0499999999999998E-2</v>
      </c>
      <c r="Q7" s="159">
        <f t="shared" si="5"/>
        <v>2.75E-2</v>
      </c>
      <c r="R7" s="159">
        <f t="shared" si="6"/>
        <v>2.7833333333333335E-2</v>
      </c>
      <c r="S7" s="159">
        <f t="shared" si="7"/>
        <v>0.16666666666666666</v>
      </c>
      <c r="T7" s="159">
        <f t="shared" si="8"/>
        <v>0.14683333333333332</v>
      </c>
      <c r="U7" s="159">
        <f t="shared" si="9"/>
        <v>7.5833333333333336E-2</v>
      </c>
      <c r="V7" s="159">
        <f t="shared" si="10"/>
        <v>6.7666666666666667E-2</v>
      </c>
      <c r="W7" s="159">
        <f t="shared" si="11"/>
        <v>4.1666666666666664E-2</v>
      </c>
      <c r="X7" s="438">
        <f>V7</f>
        <v>6.7666666666666667E-2</v>
      </c>
      <c r="Y7" s="438">
        <f>V7</f>
        <v>6.7666666666666667E-2</v>
      </c>
      <c r="Z7" s="438">
        <f t="shared" si="12"/>
        <v>6.7666666666666667E-2</v>
      </c>
      <c r="AC7" t="s">
        <v>596</v>
      </c>
      <c r="AD7" t="s">
        <v>754</v>
      </c>
      <c r="AF7" t="s">
        <v>985</v>
      </c>
      <c r="AG7" t="s">
        <v>315</v>
      </c>
    </row>
    <row r="8" spans="1:33" x14ac:dyDescent="0.25">
      <c r="A8" s="665" t="str">
        <f>PLANTILLA!D13</f>
        <v>K. Helms</v>
      </c>
      <c r="B8" s="5">
        <f>PLANTILLA!E13</f>
        <v>30</v>
      </c>
      <c r="C8" s="5">
        <f ca="1">PLANTILLA!F13</f>
        <v>9</v>
      </c>
      <c r="D8" s="163">
        <f>PLANTILLA!V13</f>
        <v>0</v>
      </c>
      <c r="E8" s="163">
        <f>PLANTILLA!W13</f>
        <v>7.11</v>
      </c>
      <c r="F8" s="163">
        <f>PLANTILLA!X13</f>
        <v>10.250000000000004</v>
      </c>
      <c r="G8" s="163">
        <f>PLANTILLA!Y13</f>
        <v>13.305</v>
      </c>
      <c r="H8" s="163">
        <f>PLANTILLA!Z13</f>
        <v>10.289999999999997</v>
      </c>
      <c r="I8" s="163">
        <f>PLANTILLA!AA13</f>
        <v>5.4050000000000002</v>
      </c>
      <c r="J8" s="163">
        <f>PLANTILLA!AB13</f>
        <v>17.300000000000004</v>
      </c>
      <c r="K8" s="655">
        <f>1/8</f>
        <v>0.125</v>
      </c>
      <c r="L8" s="363">
        <f t="shared" si="1"/>
        <v>6.25E-2</v>
      </c>
      <c r="M8" s="363">
        <f t="shared" si="2"/>
        <v>1.5625E-2</v>
      </c>
      <c r="N8" s="159">
        <v>0</v>
      </c>
      <c r="O8" s="159">
        <f t="shared" si="3"/>
        <v>2.9499999999999998E-2</v>
      </c>
      <c r="P8" s="159">
        <f t="shared" si="4"/>
        <v>4.5374999999999999E-2</v>
      </c>
      <c r="Q8" s="159">
        <f t="shared" si="5"/>
        <v>2.0625000000000001E-2</v>
      </c>
      <c r="R8" s="159">
        <f t="shared" si="6"/>
        <v>2.0875000000000001E-2</v>
      </c>
      <c r="S8" s="159">
        <f t="shared" si="7"/>
        <v>0.125</v>
      </c>
      <c r="T8" s="159">
        <f t="shared" si="8"/>
        <v>0.110125</v>
      </c>
      <c r="U8" s="159">
        <f t="shared" si="9"/>
        <v>5.6875000000000002E-2</v>
      </c>
      <c r="V8" s="159">
        <f t="shared" si="10"/>
        <v>5.0750000000000003E-2</v>
      </c>
      <c r="W8" s="159">
        <f t="shared" si="11"/>
        <v>3.125E-2</v>
      </c>
      <c r="X8" s="438">
        <f>U8</f>
        <v>5.6875000000000002E-2</v>
      </c>
      <c r="Y8" s="438">
        <f>U8</f>
        <v>5.6875000000000002E-2</v>
      </c>
      <c r="Z8" s="438">
        <f t="shared" si="12"/>
        <v>5.6875000000000002E-2</v>
      </c>
      <c r="AC8" t="s">
        <v>975</v>
      </c>
      <c r="AD8" t="s">
        <v>440</v>
      </c>
      <c r="AF8" t="s">
        <v>973</v>
      </c>
      <c r="AG8" t="s">
        <v>986</v>
      </c>
    </row>
    <row r="9" spans="1:33" x14ac:dyDescent="0.25">
      <c r="A9" s="665" t="str">
        <f>PLANTILLA!D14</f>
        <v>S. Zobbe</v>
      </c>
      <c r="B9" s="5">
        <f>PLANTILLA!E14</f>
        <v>27</v>
      </c>
      <c r="C9" s="5">
        <f ca="1">PLANTILLA!F14</f>
        <v>24</v>
      </c>
      <c r="D9" s="163">
        <f>PLANTILLA!V14</f>
        <v>0</v>
      </c>
      <c r="E9" s="163">
        <f>PLANTILLA!W14</f>
        <v>8.1199999999999992</v>
      </c>
      <c r="F9" s="163">
        <f>PLANTILLA!X14</f>
        <v>11.958412698412697</v>
      </c>
      <c r="G9" s="163">
        <f>PLANTILLA!Y14</f>
        <v>12.13</v>
      </c>
      <c r="H9" s="163">
        <f>PLANTILLA!Z14</f>
        <v>10.24</v>
      </c>
      <c r="I9" s="163">
        <f>PLANTILLA!AA14</f>
        <v>7.4766666666666666</v>
      </c>
      <c r="J9" s="163">
        <f>PLANTILLA!AB14</f>
        <v>15.270000000000001</v>
      </c>
      <c r="K9" s="655">
        <f>1/9</f>
        <v>0.1111111111111111</v>
      </c>
      <c r="L9" s="363">
        <f t="shared" si="1"/>
        <v>5.5555555555555552E-2</v>
      </c>
      <c r="M9" s="363">
        <f t="shared" si="2"/>
        <v>1.3888888888888888E-2</v>
      </c>
      <c r="N9" s="159">
        <v>0</v>
      </c>
      <c r="O9" s="159">
        <f t="shared" si="3"/>
        <v>2.622222222222222E-2</v>
      </c>
      <c r="P9" s="159">
        <f t="shared" si="4"/>
        <v>4.0333333333333332E-2</v>
      </c>
      <c r="Q9" s="159">
        <f t="shared" si="5"/>
        <v>1.8333333333333333E-2</v>
      </c>
      <c r="R9" s="159">
        <f t="shared" si="6"/>
        <v>1.8555555555555554E-2</v>
      </c>
      <c r="S9" s="159">
        <f t="shared" si="7"/>
        <v>0.1111111111111111</v>
      </c>
      <c r="T9" s="159">
        <f t="shared" si="8"/>
        <v>9.7888888888888886E-2</v>
      </c>
      <c r="U9" s="159">
        <f t="shared" si="9"/>
        <v>5.0555555555555555E-2</v>
      </c>
      <c r="V9" s="159">
        <f t="shared" si="10"/>
        <v>4.5111111111111109E-2</v>
      </c>
      <c r="W9" s="159">
        <f t="shared" si="11"/>
        <v>2.7777777777777776E-2</v>
      </c>
      <c r="X9" s="438">
        <f>V9</f>
        <v>4.5111111111111109E-2</v>
      </c>
      <c r="Y9" s="438">
        <f>U9</f>
        <v>5.0555555555555555E-2</v>
      </c>
      <c r="Z9" s="438">
        <f t="shared" si="12"/>
        <v>5.0555555555555555E-2</v>
      </c>
      <c r="AC9" t="s">
        <v>596</v>
      </c>
      <c r="AD9" t="s">
        <v>325</v>
      </c>
      <c r="AF9" t="s">
        <v>596</v>
      </c>
      <c r="AG9" t="s">
        <v>325</v>
      </c>
    </row>
    <row r="10" spans="1:33" x14ac:dyDescent="0.25">
      <c r="A10" s="667" t="str">
        <f>PLANTILLA!D12</f>
        <v>E. Romweber</v>
      </c>
      <c r="B10" s="5">
        <f>PLANTILLA!E12</f>
        <v>30</v>
      </c>
      <c r="C10" s="5">
        <f ca="1">PLANTILLA!F12</f>
        <v>62</v>
      </c>
      <c r="D10" s="163">
        <f>PLANTILLA!V12</f>
        <v>0</v>
      </c>
      <c r="E10" s="163">
        <f>PLANTILLA!W12</f>
        <v>11.99</v>
      </c>
      <c r="F10" s="163">
        <f>PLANTILLA!X12</f>
        <v>12.399111111111115</v>
      </c>
      <c r="G10" s="163">
        <f>PLANTILLA!Y12</f>
        <v>13.05</v>
      </c>
      <c r="H10" s="163">
        <f>PLANTILLA!Z12</f>
        <v>10.84</v>
      </c>
      <c r="I10" s="163">
        <f>PLANTILLA!AA12</f>
        <v>7.7700000000000005</v>
      </c>
      <c r="J10" s="163">
        <f>PLANTILLA!AB12</f>
        <v>17.13</v>
      </c>
      <c r="K10" s="655">
        <f>1/9.5</f>
        <v>0.10526315789473684</v>
      </c>
      <c r="L10" s="363">
        <f t="shared" si="1"/>
        <v>5.2631578947368418E-2</v>
      </c>
      <c r="M10" s="363">
        <f t="shared" si="2"/>
        <v>1.3157894736842105E-2</v>
      </c>
      <c r="N10" s="159">
        <v>0</v>
      </c>
      <c r="O10" s="159">
        <f t="shared" si="3"/>
        <v>2.4842105263157891E-2</v>
      </c>
      <c r="P10" s="159">
        <f t="shared" si="4"/>
        <v>3.8210526315789473E-2</v>
      </c>
      <c r="Q10" s="159">
        <f t="shared" si="5"/>
        <v>1.7368421052631578E-2</v>
      </c>
      <c r="R10" s="159">
        <f t="shared" si="6"/>
        <v>1.7578947368421052E-2</v>
      </c>
      <c r="S10" s="159">
        <f t="shared" si="7"/>
        <v>0.10526315789473684</v>
      </c>
      <c r="T10" s="159">
        <f t="shared" si="8"/>
        <v>9.2736842105263159E-2</v>
      </c>
      <c r="U10" s="159">
        <f t="shared" si="9"/>
        <v>4.7894736842105261E-2</v>
      </c>
      <c r="V10" s="159">
        <f t="shared" si="10"/>
        <v>4.2736842105263156E-2</v>
      </c>
      <c r="W10" s="159">
        <f t="shared" si="11"/>
        <v>2.6315789473684209E-2</v>
      </c>
      <c r="X10" s="438">
        <f>U10</f>
        <v>4.7894736842105261E-2</v>
      </c>
      <c r="Y10" s="438">
        <f>R10</f>
        <v>1.7578947368421052E-2</v>
      </c>
      <c r="Z10" s="438">
        <f t="shared" si="12"/>
        <v>4.7894736842105261E-2</v>
      </c>
      <c r="AC10" t="s">
        <v>976</v>
      </c>
      <c r="AD10" t="s">
        <v>986</v>
      </c>
      <c r="AF10" t="s">
        <v>596</v>
      </c>
      <c r="AG10" t="s">
        <v>754</v>
      </c>
    </row>
    <row r="11" spans="1:33" x14ac:dyDescent="0.25">
      <c r="A11" s="667" t="str">
        <f>PLANTILLA!D8</f>
        <v>D. Toh</v>
      </c>
      <c r="B11" s="5">
        <f>PLANTILLA!E8</f>
        <v>31</v>
      </c>
      <c r="C11" s="5">
        <f ca="1">PLANTILLA!F8</f>
        <v>34</v>
      </c>
      <c r="D11" s="163">
        <f>PLANTILLA!V8</f>
        <v>0</v>
      </c>
      <c r="E11" s="163">
        <f>PLANTILLA!W8</f>
        <v>11</v>
      </c>
      <c r="F11" s="163">
        <f>PLANTILLA!X8</f>
        <v>6.1594444444444418</v>
      </c>
      <c r="G11" s="163">
        <f>PLANTILLA!Y8</f>
        <v>5.98</v>
      </c>
      <c r="H11" s="163">
        <f>PLANTILLA!Z8</f>
        <v>7.7227777777777789</v>
      </c>
      <c r="I11" s="163">
        <f>PLANTILLA!AA8</f>
        <v>4.383333333333332</v>
      </c>
      <c r="J11" s="163">
        <f>PLANTILLA!AB8</f>
        <v>15.349999999999998</v>
      </c>
      <c r="K11" s="655">
        <f>1/6</f>
        <v>0.16666666666666666</v>
      </c>
      <c r="L11" s="363">
        <f t="shared" si="1"/>
        <v>8.3333333333333329E-2</v>
      </c>
      <c r="M11" s="363">
        <f t="shared" si="2"/>
        <v>2.0833333333333332E-2</v>
      </c>
      <c r="N11" s="159">
        <v>0</v>
      </c>
      <c r="O11" s="159">
        <f t="shared" si="3"/>
        <v>3.9333333333333331E-2</v>
      </c>
      <c r="P11" s="159">
        <f t="shared" si="4"/>
        <v>6.0499999999999998E-2</v>
      </c>
      <c r="Q11" s="159">
        <f t="shared" si="5"/>
        <v>2.75E-2</v>
      </c>
      <c r="R11" s="159">
        <f t="shared" si="6"/>
        <v>2.7833333333333335E-2</v>
      </c>
      <c r="S11" s="159">
        <f t="shared" si="7"/>
        <v>0.16666666666666666</v>
      </c>
      <c r="T11" s="159">
        <f t="shared" si="8"/>
        <v>0.14683333333333332</v>
      </c>
      <c r="U11" s="159">
        <f t="shared" si="9"/>
        <v>7.5833333333333336E-2</v>
      </c>
      <c r="V11" s="159">
        <f t="shared" si="10"/>
        <v>6.7666666666666667E-2</v>
      </c>
      <c r="W11" s="159">
        <f t="shared" si="11"/>
        <v>4.1666666666666664E-2</v>
      </c>
      <c r="X11" s="438"/>
      <c r="Y11" s="438">
        <f>Q11</f>
        <v>2.75E-2</v>
      </c>
      <c r="Z11" s="438">
        <f t="shared" si="12"/>
        <v>2.75E-2</v>
      </c>
      <c r="AC11" t="s">
        <v>976</v>
      </c>
      <c r="AD11" t="s">
        <v>338</v>
      </c>
      <c r="AF11" t="s">
        <v>976</v>
      </c>
      <c r="AG11" t="s">
        <v>338</v>
      </c>
    </row>
    <row r="12" spans="1:33" x14ac:dyDescent="0.25">
      <c r="A12" s="667" t="str">
        <f>PLANTILLA!D10</f>
        <v>B. Bartolache</v>
      </c>
      <c r="B12" s="5">
        <f>PLANTILLA!E10</f>
        <v>30</v>
      </c>
      <c r="C12" s="5">
        <f ca="1">PLANTILLA!F10</f>
        <v>85</v>
      </c>
      <c r="D12" s="163">
        <f>PLANTILLA!V10</f>
        <v>0</v>
      </c>
      <c r="E12" s="163">
        <f>PLANTILLA!W10</f>
        <v>11.649999999999997</v>
      </c>
      <c r="F12" s="163">
        <f>PLANTILLA!X10</f>
        <v>6.6275000000000022</v>
      </c>
      <c r="G12" s="163">
        <f>PLANTILLA!Y10</f>
        <v>7.2200000000000015</v>
      </c>
      <c r="H12" s="163">
        <f>PLANTILLA!Z10</f>
        <v>9.0199999999999978</v>
      </c>
      <c r="I12" s="163">
        <f>PLANTILLA!AA10</f>
        <v>4.6199999999999966</v>
      </c>
      <c r="J12" s="163">
        <f>PLANTILLA!AB10</f>
        <v>15.6</v>
      </c>
      <c r="K12" s="655">
        <f>1/6</f>
        <v>0.16666666666666666</v>
      </c>
      <c r="L12" s="363">
        <f t="shared" si="1"/>
        <v>8.3333333333333329E-2</v>
      </c>
      <c r="M12" s="363">
        <f t="shared" si="2"/>
        <v>2.0833333333333332E-2</v>
      </c>
      <c r="N12" s="159">
        <v>0</v>
      </c>
      <c r="O12" s="159">
        <f t="shared" si="3"/>
        <v>3.9333333333333331E-2</v>
      </c>
      <c r="P12" s="159">
        <f t="shared" si="4"/>
        <v>6.0499999999999998E-2</v>
      </c>
      <c r="Q12" s="159">
        <f t="shared" si="5"/>
        <v>2.75E-2</v>
      </c>
      <c r="R12" s="159">
        <f t="shared" si="6"/>
        <v>2.7833333333333335E-2</v>
      </c>
      <c r="S12" s="159">
        <f t="shared" si="7"/>
        <v>0.16666666666666666</v>
      </c>
      <c r="T12" s="159">
        <f t="shared" si="8"/>
        <v>0.14683333333333332</v>
      </c>
      <c r="U12" s="159">
        <f t="shared" si="9"/>
        <v>7.5833333333333336E-2</v>
      </c>
      <c r="V12" s="159">
        <f t="shared" si="10"/>
        <v>6.7666666666666667E-2</v>
      </c>
      <c r="W12" s="159">
        <f t="shared" si="11"/>
        <v>4.1666666666666664E-2</v>
      </c>
      <c r="X12" s="438"/>
      <c r="Y12" s="438">
        <f>Q12</f>
        <v>2.75E-2</v>
      </c>
      <c r="Z12" s="438">
        <f t="shared" si="12"/>
        <v>2.75E-2</v>
      </c>
      <c r="AC12" t="s">
        <v>67</v>
      </c>
      <c r="AD12" t="s">
        <v>327</v>
      </c>
      <c r="AF12" t="s">
        <v>976</v>
      </c>
      <c r="AG12" t="s">
        <v>600</v>
      </c>
    </row>
    <row r="13" spans="1:33" x14ac:dyDescent="0.25">
      <c r="A13" s="667" t="str">
        <f>PLANTILLA!D17</f>
        <v>E. Gross</v>
      </c>
      <c r="B13" s="5">
        <f>PLANTILLA!E17</f>
        <v>30</v>
      </c>
      <c r="C13" s="5">
        <f ca="1">PLANTILLA!F17</f>
        <v>49</v>
      </c>
      <c r="D13" s="163">
        <f>PLANTILLA!V17</f>
        <v>0</v>
      </c>
      <c r="E13" s="163">
        <f>PLANTILLA!W17</f>
        <v>10.149999999999997</v>
      </c>
      <c r="F13" s="163">
        <f>PLANTILLA!X17</f>
        <v>12.749777777777778</v>
      </c>
      <c r="G13" s="163">
        <f>PLANTILLA!Y17</f>
        <v>5.1199999999999983</v>
      </c>
      <c r="H13" s="163">
        <f>PLANTILLA!Z17</f>
        <v>9.17</v>
      </c>
      <c r="I13" s="163">
        <f>PLANTILLA!AA17</f>
        <v>2.98</v>
      </c>
      <c r="J13" s="163">
        <f>PLANTILLA!AB17</f>
        <v>16.959999999999997</v>
      </c>
      <c r="K13" s="655">
        <f>1/11</f>
        <v>9.0909090909090912E-2</v>
      </c>
      <c r="L13" s="363">
        <f t="shared" si="1"/>
        <v>4.5454545454545456E-2</v>
      </c>
      <c r="M13" s="363">
        <f t="shared" si="2"/>
        <v>1.1363636363636364E-2</v>
      </c>
      <c r="N13" s="159">
        <v>0</v>
      </c>
      <c r="O13" s="159">
        <f t="shared" si="3"/>
        <v>2.1454545454545455E-2</v>
      </c>
      <c r="P13" s="159">
        <f t="shared" si="4"/>
        <v>3.3000000000000002E-2</v>
      </c>
      <c r="Q13" s="159">
        <f t="shared" si="5"/>
        <v>1.5000000000000001E-2</v>
      </c>
      <c r="R13" s="159">
        <f t="shared" si="6"/>
        <v>1.5181818181818183E-2</v>
      </c>
      <c r="S13" s="159">
        <f t="shared" si="7"/>
        <v>9.0909090909090912E-2</v>
      </c>
      <c r="T13" s="159">
        <f t="shared" si="8"/>
        <v>8.0090909090909088E-2</v>
      </c>
      <c r="U13" s="159">
        <f t="shared" si="9"/>
        <v>4.1363636363636366E-2</v>
      </c>
      <c r="V13" s="159">
        <f t="shared" si="10"/>
        <v>3.6909090909090912E-2</v>
      </c>
      <c r="W13" s="159">
        <f t="shared" si="11"/>
        <v>2.2727272727272728E-2</v>
      </c>
      <c r="X13" s="438">
        <f>O13</f>
        <v>2.1454545454545455E-2</v>
      </c>
      <c r="Y13" s="438"/>
      <c r="Z13" s="438">
        <f t="shared" si="12"/>
        <v>2.1454545454545455E-2</v>
      </c>
      <c r="AC13" t="s">
        <v>67</v>
      </c>
      <c r="AD13" t="s">
        <v>600</v>
      </c>
      <c r="AF13" t="s">
        <v>67</v>
      </c>
      <c r="AG13" t="s">
        <v>327</v>
      </c>
    </row>
    <row r="14" spans="1:33" x14ac:dyDescent="0.25">
      <c r="A14" s="668" t="str">
        <f>PLANTILLA!D9</f>
        <v>E. Toney</v>
      </c>
      <c r="B14" s="5">
        <f>PLANTILLA!E9</f>
        <v>30</v>
      </c>
      <c r="C14" s="5">
        <f ca="1">PLANTILLA!F9</f>
        <v>100</v>
      </c>
      <c r="D14" s="163">
        <f>PLANTILLA!V9</f>
        <v>0</v>
      </c>
      <c r="E14" s="163">
        <f>PLANTILLA!W9</f>
        <v>12.060000000000004</v>
      </c>
      <c r="F14" s="163">
        <f>PLANTILLA!X9</f>
        <v>13.020999999999999</v>
      </c>
      <c r="G14" s="163">
        <f>PLANTILLA!Y9</f>
        <v>9.7100000000000062</v>
      </c>
      <c r="H14" s="163">
        <f>PLANTILLA!Z9</f>
        <v>9.5299999999999994</v>
      </c>
      <c r="I14" s="163">
        <f>PLANTILLA!AA9</f>
        <v>3.6816666666666658</v>
      </c>
      <c r="J14" s="163">
        <f>PLANTILLA!AB9</f>
        <v>16.627777777777773</v>
      </c>
      <c r="K14" s="655">
        <f>1/11</f>
        <v>9.0909090909090912E-2</v>
      </c>
      <c r="L14" s="363">
        <f t="shared" si="1"/>
        <v>4.5454545454545456E-2</v>
      </c>
      <c r="M14" s="363">
        <f t="shared" si="2"/>
        <v>1.1363636363636364E-2</v>
      </c>
      <c r="N14" s="159">
        <v>0</v>
      </c>
      <c r="O14" s="159">
        <f t="shared" si="3"/>
        <v>2.1454545454545455E-2</v>
      </c>
      <c r="P14" s="159">
        <f t="shared" si="4"/>
        <v>3.3000000000000002E-2</v>
      </c>
      <c r="Q14" s="159">
        <f t="shared" si="5"/>
        <v>1.5000000000000001E-2</v>
      </c>
      <c r="R14" s="159">
        <f t="shared" si="6"/>
        <v>1.5181818181818183E-2</v>
      </c>
      <c r="S14" s="159">
        <f t="shared" si="7"/>
        <v>9.0909090909090912E-2</v>
      </c>
      <c r="T14" s="159">
        <f t="shared" si="8"/>
        <v>8.0090909090909088E-2</v>
      </c>
      <c r="U14" s="159">
        <f t="shared" si="9"/>
        <v>4.1363636363636366E-2</v>
      </c>
      <c r="V14" s="159">
        <f t="shared" si="10"/>
        <v>3.6909090909090912E-2</v>
      </c>
      <c r="W14" s="159">
        <f t="shared" si="11"/>
        <v>2.2727272727272728E-2</v>
      </c>
      <c r="X14" s="438">
        <f>R14</f>
        <v>1.5181818181818183E-2</v>
      </c>
      <c r="Y14" s="438">
        <f>O14</f>
        <v>2.1454545454545455E-2</v>
      </c>
      <c r="Z14" s="438">
        <f t="shared" si="12"/>
        <v>2.1454545454545455E-2</v>
      </c>
    </row>
    <row r="15" spans="1:33" x14ac:dyDescent="0.25">
      <c r="A15" s="668" t="str">
        <f>PLANTILLA!D7</f>
        <v>B. Pinczehelyi</v>
      </c>
      <c r="B15" s="5">
        <f>PLANTILLA!E7</f>
        <v>29</v>
      </c>
      <c r="C15" s="5">
        <f ca="1">PLANTILLA!F7</f>
        <v>101</v>
      </c>
      <c r="D15" s="163">
        <f>PLANTILLA!V7</f>
        <v>0</v>
      </c>
      <c r="E15" s="163">
        <f>PLANTILLA!W7</f>
        <v>14.200000000000003</v>
      </c>
      <c r="F15" s="163">
        <f>PLANTILLA!X7</f>
        <v>9.283333333333335</v>
      </c>
      <c r="G15" s="163">
        <f>PLANTILLA!Y7</f>
        <v>14.249999999999996</v>
      </c>
      <c r="H15" s="163">
        <f>PLANTILLA!Z7</f>
        <v>9.3499999999999979</v>
      </c>
      <c r="I15" s="163">
        <f>PLANTILLA!AA7</f>
        <v>1.1428571428571428</v>
      </c>
      <c r="J15" s="163">
        <f>PLANTILLA!AB7</f>
        <v>9.4</v>
      </c>
      <c r="K15" s="655">
        <f>1/9</f>
        <v>0.1111111111111111</v>
      </c>
      <c r="L15" s="363">
        <f t="shared" si="1"/>
        <v>5.5555555555555552E-2</v>
      </c>
      <c r="M15" s="363">
        <f t="shared" si="2"/>
        <v>1.3888888888888888E-2</v>
      </c>
      <c r="N15" s="159">
        <v>0</v>
      </c>
      <c r="O15" s="159">
        <f t="shared" si="3"/>
        <v>2.622222222222222E-2</v>
      </c>
      <c r="P15" s="159">
        <f t="shared" si="4"/>
        <v>4.0333333333333332E-2</v>
      </c>
      <c r="Q15" s="159">
        <f t="shared" si="5"/>
        <v>1.8333333333333333E-2</v>
      </c>
      <c r="R15" s="159">
        <f t="shared" si="6"/>
        <v>1.8555555555555554E-2</v>
      </c>
      <c r="S15" s="159">
        <f t="shared" si="7"/>
        <v>0.1111111111111111</v>
      </c>
      <c r="T15" s="159">
        <f t="shared" si="8"/>
        <v>9.7888888888888886E-2</v>
      </c>
      <c r="U15" s="159">
        <f t="shared" si="9"/>
        <v>5.0555555555555555E-2</v>
      </c>
      <c r="V15" s="159">
        <f t="shared" si="10"/>
        <v>4.5111111111111109E-2</v>
      </c>
      <c r="W15" s="159">
        <f t="shared" si="11"/>
        <v>2.7777777777777776E-2</v>
      </c>
      <c r="X15" s="438">
        <f>R15</f>
        <v>1.8555555555555554E-2</v>
      </c>
      <c r="Y15" s="438">
        <f>X15</f>
        <v>1.8555555555555554E-2</v>
      </c>
      <c r="Z15" s="438">
        <f t="shared" si="12"/>
        <v>1.8555555555555554E-2</v>
      </c>
    </row>
    <row r="16" spans="1:33" x14ac:dyDescent="0.25">
      <c r="A16" s="668" t="str">
        <f>PLANTILLA!D19</f>
        <v>W. Gelifini</v>
      </c>
      <c r="B16" s="5">
        <f>PLANTILLA!E19</f>
        <v>28</v>
      </c>
      <c r="C16" s="5">
        <f ca="1">PLANTILLA!F19</f>
        <v>86</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655">
        <f>1/8</f>
        <v>0.125</v>
      </c>
      <c r="L16" s="363">
        <f t="shared" si="1"/>
        <v>6.25E-2</v>
      </c>
      <c r="M16" s="363">
        <f t="shared" si="2"/>
        <v>1.5625E-2</v>
      </c>
      <c r="N16" s="159">
        <v>0</v>
      </c>
      <c r="O16" s="159">
        <f t="shared" si="3"/>
        <v>2.9499999999999998E-2</v>
      </c>
      <c r="P16" s="159">
        <f t="shared" si="4"/>
        <v>4.5374999999999999E-2</v>
      </c>
      <c r="Q16" s="159">
        <f t="shared" si="5"/>
        <v>2.0625000000000001E-2</v>
      </c>
      <c r="R16" s="159">
        <f t="shared" si="6"/>
        <v>2.0875000000000001E-2</v>
      </c>
      <c r="S16" s="159">
        <f t="shared" si="7"/>
        <v>0.125</v>
      </c>
      <c r="T16" s="159">
        <f t="shared" si="8"/>
        <v>0.110125</v>
      </c>
      <c r="U16" s="159">
        <f t="shared" si="9"/>
        <v>5.6875000000000002E-2</v>
      </c>
      <c r="V16" s="159">
        <f t="shared" si="10"/>
        <v>5.0750000000000003E-2</v>
      </c>
      <c r="W16" s="159">
        <f t="shared" si="11"/>
        <v>3.125E-2</v>
      </c>
      <c r="X16" s="438"/>
      <c r="Y16" s="438"/>
      <c r="Z16" s="438">
        <f t="shared" si="12"/>
        <v>0</v>
      </c>
    </row>
    <row r="17" spans="1:26" x14ac:dyDescent="0.25">
      <c r="A17" s="668" t="str">
        <f>PLANTILLA!D23</f>
        <v>P .Trivadi</v>
      </c>
      <c r="B17" s="5">
        <f>PLANTILLA!E23</f>
        <v>26</v>
      </c>
      <c r="C17" s="5">
        <f ca="1">PLANTILLA!F23</f>
        <v>92</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655">
        <f>1/5</f>
        <v>0.2</v>
      </c>
      <c r="L17" s="363">
        <f t="shared" si="1"/>
        <v>0.1</v>
      </c>
      <c r="M17" s="363">
        <f t="shared" si="2"/>
        <v>2.5000000000000001E-2</v>
      </c>
      <c r="N17" s="159">
        <v>0</v>
      </c>
      <c r="O17" s="159">
        <f t="shared" si="3"/>
        <v>4.7199999999999999E-2</v>
      </c>
      <c r="P17" s="159">
        <f t="shared" si="4"/>
        <v>7.2599999999999998E-2</v>
      </c>
      <c r="Q17" s="159">
        <f t="shared" si="5"/>
        <v>3.3000000000000002E-2</v>
      </c>
      <c r="R17" s="159">
        <f t="shared" si="6"/>
        <v>3.3400000000000006E-2</v>
      </c>
      <c r="S17" s="159">
        <f t="shared" si="7"/>
        <v>0.2</v>
      </c>
      <c r="T17" s="159">
        <f t="shared" si="8"/>
        <v>0.17620000000000002</v>
      </c>
      <c r="U17" s="159">
        <f t="shared" si="9"/>
        <v>9.1000000000000011E-2</v>
      </c>
      <c r="V17" s="159">
        <f t="shared" si="10"/>
        <v>8.1200000000000008E-2</v>
      </c>
      <c r="W17" s="159">
        <f t="shared" si="11"/>
        <v>0.05</v>
      </c>
      <c r="X17" s="438"/>
      <c r="Y17" s="438"/>
      <c r="Z17" s="438">
        <f t="shared" si="12"/>
        <v>0</v>
      </c>
    </row>
    <row r="18" spans="1:26" x14ac:dyDescent="0.25">
      <c r="A18" s="668" t="str">
        <f>PLANTILLA!D11</f>
        <v>F. Lasprilla</v>
      </c>
      <c r="B18" s="5">
        <f>PLANTILLA!E11</f>
        <v>26</v>
      </c>
      <c r="C18" s="5">
        <f ca="1">PLANTILLA!F11</f>
        <v>108</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655">
        <f>1/5.5</f>
        <v>0.18181818181818182</v>
      </c>
      <c r="L18" s="363">
        <f t="shared" si="1"/>
        <v>9.0909090909090912E-2</v>
      </c>
      <c r="M18" s="363">
        <f t="shared" si="2"/>
        <v>2.2727272727272728E-2</v>
      </c>
      <c r="N18" s="159">
        <v>0</v>
      </c>
      <c r="O18" s="159">
        <f t="shared" si="3"/>
        <v>4.2909090909090911E-2</v>
      </c>
      <c r="P18" s="159">
        <f t="shared" si="4"/>
        <v>6.6000000000000003E-2</v>
      </c>
      <c r="Q18" s="159">
        <f t="shared" si="5"/>
        <v>3.0000000000000002E-2</v>
      </c>
      <c r="R18" s="159">
        <f t="shared" si="6"/>
        <v>3.0363636363636367E-2</v>
      </c>
      <c r="S18" s="159">
        <f t="shared" si="7"/>
        <v>0.18181818181818182</v>
      </c>
      <c r="T18" s="159">
        <f t="shared" si="8"/>
        <v>0.16018181818181818</v>
      </c>
      <c r="U18" s="159">
        <f t="shared" si="9"/>
        <v>8.2727272727272733E-2</v>
      </c>
      <c r="V18" s="159">
        <f t="shared" si="10"/>
        <v>7.3818181818181824E-2</v>
      </c>
      <c r="W18" s="159">
        <f t="shared" si="11"/>
        <v>4.5454545454545456E-2</v>
      </c>
      <c r="X18" s="438"/>
      <c r="Y18" s="438"/>
      <c r="Z18" s="438">
        <f t="shared" si="12"/>
        <v>0</v>
      </c>
    </row>
    <row r="19" spans="1:26" x14ac:dyDescent="0.25">
      <c r="A19" s="5" t="str">
        <f>PLANTILLA!D5</f>
        <v>D. Gehmacher</v>
      </c>
      <c r="B19" s="5">
        <f>PLANTILLA!E5</f>
        <v>29</v>
      </c>
      <c r="C19" s="5">
        <f ca="1">PLANTILLA!F5</f>
        <v>89</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c r="L19"/>
      <c r="M19"/>
      <c r="N19"/>
      <c r="X19" s="438"/>
      <c r="Y19" s="438"/>
      <c r="Z19" s="438">
        <f t="shared" si="12"/>
        <v>0</v>
      </c>
    </row>
    <row r="20" spans="1:26" x14ac:dyDescent="0.25">
      <c r="A20" s="5" t="str">
        <f>PLANTILLA!D6</f>
        <v>T. Hammond</v>
      </c>
      <c r="B20" s="5">
        <f>PLANTILLA!E6</f>
        <v>33</v>
      </c>
      <c r="C20" s="5">
        <f ca="1">PLANTILLA!F6</f>
        <v>98</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1/5</f>
        <v>0.2</v>
      </c>
      <c r="L20" s="363">
        <f>K20*0.5</f>
        <v>0.1</v>
      </c>
      <c r="M20" s="363">
        <f>K20*0.125</f>
        <v>2.5000000000000001E-2</v>
      </c>
      <c r="N20" s="159">
        <v>0</v>
      </c>
      <c r="O20" s="159">
        <f>K20*0.236</f>
        <v>4.7199999999999999E-2</v>
      </c>
      <c r="P20" s="159">
        <f>K20*0.363</f>
        <v>7.2599999999999998E-2</v>
      </c>
      <c r="Q20" s="159">
        <f>K20*0.165</f>
        <v>3.3000000000000002E-2</v>
      </c>
      <c r="R20" s="159">
        <f>K20*0.167</f>
        <v>3.3400000000000006E-2</v>
      </c>
      <c r="S20" s="159">
        <f>K20*1</f>
        <v>0.2</v>
      </c>
      <c r="T20" s="159">
        <f>K20*0.881</f>
        <v>0.17620000000000002</v>
      </c>
      <c r="U20" s="159">
        <f>K20*0.455</f>
        <v>9.1000000000000011E-2</v>
      </c>
      <c r="V20" s="159">
        <f>K20*0.406</f>
        <v>8.1200000000000008E-2</v>
      </c>
      <c r="W20" s="159">
        <f>K20*0.25</f>
        <v>0.05</v>
      </c>
      <c r="X20" s="438"/>
      <c r="Y20" s="438"/>
      <c r="Z20" s="438">
        <f t="shared" si="12"/>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1/6</f>
        <v>0.16666666666666666</v>
      </c>
      <c r="L21" s="363">
        <f>K21*0.5</f>
        <v>8.3333333333333329E-2</v>
      </c>
      <c r="M21" s="363">
        <f>K21*0.125</f>
        <v>2.0833333333333332E-2</v>
      </c>
      <c r="N21" s="159">
        <v>0</v>
      </c>
      <c r="O21" s="159">
        <f>K21*0.236</f>
        <v>3.9333333333333331E-2</v>
      </c>
      <c r="P21" s="159">
        <f>K21*0.363</f>
        <v>6.0499999999999998E-2</v>
      </c>
      <c r="Q21" s="159">
        <f>K21*0.165</f>
        <v>2.75E-2</v>
      </c>
      <c r="R21" s="159">
        <f>K21*0.167</f>
        <v>2.7833333333333335E-2</v>
      </c>
      <c r="S21" s="159">
        <f>K21*1</f>
        <v>0.16666666666666666</v>
      </c>
      <c r="T21" s="159">
        <f>K21*0.881</f>
        <v>0.14683333333333332</v>
      </c>
      <c r="U21" s="159">
        <f>K21*0.455</f>
        <v>7.5833333333333336E-2</v>
      </c>
      <c r="V21" s="159">
        <f>K21*0.406</f>
        <v>6.7666666666666667E-2</v>
      </c>
      <c r="W21" s="159">
        <f>K21*0.25</f>
        <v>4.1666666666666664E-2</v>
      </c>
      <c r="X21" s="438"/>
      <c r="Y21" s="438"/>
      <c r="Z21" s="438">
        <f t="shared" si="12"/>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655">
        <f>1/6</f>
        <v>0.16666666666666666</v>
      </c>
      <c r="L22" s="363">
        <f>K22*0.5</f>
        <v>8.3333333333333329E-2</v>
      </c>
      <c r="M22" s="363">
        <f>K22*0.125</f>
        <v>2.0833333333333332E-2</v>
      </c>
      <c r="N22" s="159">
        <v>0</v>
      </c>
      <c r="O22" s="159">
        <f>K22*0.236</f>
        <v>3.9333333333333331E-2</v>
      </c>
      <c r="P22" s="159">
        <f>K22*0.363</f>
        <v>6.0499999999999998E-2</v>
      </c>
      <c r="Q22" s="159">
        <f>K22*0.165</f>
        <v>2.75E-2</v>
      </c>
      <c r="R22" s="159">
        <f>K22*0.167</f>
        <v>2.7833333333333335E-2</v>
      </c>
      <c r="S22" s="159">
        <f>K22*1</f>
        <v>0.16666666666666666</v>
      </c>
      <c r="T22" s="159">
        <f>K22*0.881</f>
        <v>0.14683333333333332</v>
      </c>
      <c r="U22" s="159">
        <f>K22*0.455</f>
        <v>7.5833333333333336E-2</v>
      </c>
      <c r="V22" s="159">
        <f>K22*0.406</f>
        <v>6.7666666666666667E-2</v>
      </c>
      <c r="W22" s="159">
        <f>K22*0.25</f>
        <v>4.1666666666666664E-2</v>
      </c>
      <c r="X22" s="438"/>
      <c r="Y22" s="438"/>
      <c r="Z22" s="438">
        <f t="shared" si="12"/>
        <v>0</v>
      </c>
    </row>
    <row r="23" spans="1:26" x14ac:dyDescent="0.25">
      <c r="A23" s="5" t="str">
        <f>PLANTILLA!D20</f>
        <v>M. Amico</v>
      </c>
      <c r="B23" s="5">
        <f>PLANTILLA!E20</f>
        <v>28</v>
      </c>
      <c r="C23" s="5">
        <f ca="1">PLANTILLA!F20</f>
        <v>93</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655">
        <f>1/7</f>
        <v>0.14285714285714285</v>
      </c>
      <c r="L23" s="363">
        <f>K23*0.5</f>
        <v>7.1428571428571425E-2</v>
      </c>
      <c r="M23" s="363">
        <f>K23*0.125</f>
        <v>1.7857142857142856E-2</v>
      </c>
      <c r="N23" s="159">
        <v>0</v>
      </c>
      <c r="O23" s="159">
        <f>K23*0.236</f>
        <v>3.3714285714285711E-2</v>
      </c>
      <c r="P23" s="159">
        <f>K23*0.363</f>
        <v>5.1857142857142852E-2</v>
      </c>
      <c r="Q23" s="159">
        <f>K23*0.165</f>
        <v>2.357142857142857E-2</v>
      </c>
      <c r="R23" s="159">
        <f>K23*0.167</f>
        <v>2.3857142857142858E-2</v>
      </c>
      <c r="S23" s="159">
        <f>K23*1</f>
        <v>0.14285714285714285</v>
      </c>
      <c r="T23" s="159">
        <f>K23*0.881</f>
        <v>0.12585714285714286</v>
      </c>
      <c r="U23" s="159">
        <f>K23*0.455</f>
        <v>6.5000000000000002E-2</v>
      </c>
      <c r="V23" s="159">
        <f>K23*0.406</f>
        <v>5.8000000000000003E-2</v>
      </c>
      <c r="W23" s="159">
        <f>K23*0.25</f>
        <v>3.5714285714285712E-2</v>
      </c>
      <c r="X23" s="438"/>
      <c r="Y23" s="438"/>
      <c r="Z23" s="438">
        <f t="shared" si="12"/>
        <v>0</v>
      </c>
    </row>
    <row r="24" spans="1:26" x14ac:dyDescent="0.25">
      <c r="A24" s="5" t="str">
        <f>PLANTILLA!D22</f>
        <v>L. Calosso</v>
      </c>
      <c r="B24" s="5">
        <f>PLANTILLA!E22</f>
        <v>30</v>
      </c>
      <c r="C24" s="5">
        <f ca="1">PLANTILLA!F22</f>
        <v>18</v>
      </c>
      <c r="D24" s="163">
        <f>PLANTILLA!V22</f>
        <v>0</v>
      </c>
      <c r="E24" s="163">
        <f>PLANTILLA!W22</f>
        <v>2</v>
      </c>
      <c r="F24" s="163">
        <f>PLANTILLA!X22</f>
        <v>14.0938</v>
      </c>
      <c r="G24" s="163">
        <f>PLANTILLA!Y22</f>
        <v>3</v>
      </c>
      <c r="H24" s="163">
        <f>PLANTILLA!Z22</f>
        <v>15.01</v>
      </c>
      <c r="I24" s="163">
        <f>PLANTILLA!AA22</f>
        <v>10</v>
      </c>
      <c r="J24" s="163">
        <f>PLANTILLA!AB22</f>
        <v>9.3000000000000007</v>
      </c>
      <c r="K24" s="655">
        <f>1/4</f>
        <v>0.25</v>
      </c>
      <c r="L24" s="363">
        <f>K24*0.5</f>
        <v>0.125</v>
      </c>
      <c r="M24" s="363">
        <f>K24*0.125</f>
        <v>3.125E-2</v>
      </c>
      <c r="N24" s="159">
        <v>0</v>
      </c>
      <c r="O24" s="159">
        <f>K24*0.236</f>
        <v>5.8999999999999997E-2</v>
      </c>
      <c r="P24" s="159">
        <f>K24*0.363</f>
        <v>9.0749999999999997E-2</v>
      </c>
      <c r="Q24" s="159">
        <f>K24*0.165</f>
        <v>4.1250000000000002E-2</v>
      </c>
      <c r="R24" s="159">
        <f>K24*0.167</f>
        <v>4.1750000000000002E-2</v>
      </c>
      <c r="S24" s="159">
        <f>K24*1</f>
        <v>0.25</v>
      </c>
      <c r="T24" s="159">
        <f>K24*0.881</f>
        <v>0.22025</v>
      </c>
      <c r="U24" s="159">
        <f>K24*0.455</f>
        <v>0.11375</v>
      </c>
      <c r="V24" s="159">
        <f>K24*0.406</f>
        <v>0.10150000000000001</v>
      </c>
      <c r="W24" s="159">
        <f>K24*0.25</f>
        <v>6.25E-2</v>
      </c>
      <c r="X24" s="438"/>
      <c r="Y24" s="438"/>
      <c r="Z24" s="438">
        <f t="shared" si="12"/>
        <v>0</v>
      </c>
    </row>
    <row r="28" spans="1:26" x14ac:dyDescent="0.25">
      <c r="A28" s="317"/>
    </row>
  </sheetData>
  <sortState ref="A4:AB24">
    <sortCondition descending="1" ref="Z4:Z24"/>
    <sortCondition descending="1" ref="X4:X24"/>
    <sortCondition descending="1" ref="Y4:Y24"/>
  </sortState>
  <conditionalFormatting sqref="D4:J24">
    <cfRule type="colorScale" priority="6">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X4:X24">
    <cfRule type="dataBar" priority="2">
      <dataBar>
        <cfvo type="min"/>
        <cfvo type="max"/>
        <color rgb="FF008AEF"/>
      </dataBar>
      <extLst>
        <ext xmlns:x14="http://schemas.microsoft.com/office/spreadsheetml/2009/9/main" uri="{B025F937-C7B1-47D3-B67F-A62EFF666E3E}">
          <x14:id>{AF3F29F3-5112-4F46-8047-24FA2A710116}</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L16" sqref="L16"/>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9.7109375" customWidth="1"/>
    <col min="26" max="26" width="14.1406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42585</v>
      </c>
      <c r="X2" s="659">
        <f>SUM(X4:X24)</f>
        <v>0.27968019480519479</v>
      </c>
      <c r="Y2" s="659">
        <f>SUM(Y4:Y24)</f>
        <v>0.17742004870129871</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C3" t="s">
        <v>1</v>
      </c>
      <c r="AD3" t="s">
        <v>934</v>
      </c>
      <c r="AF3" t="s">
        <v>1</v>
      </c>
      <c r="AG3" t="s">
        <v>934</v>
      </c>
    </row>
    <row r="4" spans="1:33" x14ac:dyDescent="0.25">
      <c r="A4" s="665" t="str">
        <f>PLANTILLA!D14</f>
        <v>S. Zobbe</v>
      </c>
      <c r="B4" s="5">
        <f>PLANTILLA!E14</f>
        <v>27</v>
      </c>
      <c r="C4" s="5">
        <f ca="1">PLANTILLA!F14</f>
        <v>24</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c r="M4" s="363">
        <f t="shared" ref="M4:M18" si="0">K4/6</f>
        <v>2.3809523809523808E-2</v>
      </c>
      <c r="N4" s="163">
        <v>0</v>
      </c>
      <c r="O4" s="159">
        <v>0</v>
      </c>
      <c r="P4" s="159">
        <v>0</v>
      </c>
      <c r="Q4" s="159">
        <v>0</v>
      </c>
      <c r="R4" s="159">
        <v>0</v>
      </c>
      <c r="S4" s="159">
        <f t="shared" ref="S4:S18" si="1">K4*(0.19*0.341+0.25*0.253+0.25*0.127)/(0.19+0.25)</f>
        <v>5.1879870129870123E-2</v>
      </c>
      <c r="T4" s="159">
        <f t="shared" ref="T4:T18" si="2">K4*(0.19*0.241+0.25*0.315)/(0.19+0.25)</f>
        <v>4.0435064935064928E-2</v>
      </c>
      <c r="U4" s="159">
        <f t="shared" ref="U4:U18" si="3">K4*(0.19*0.121+0.25*0.244)/(0.19+0.25)</f>
        <v>2.7269480519480516E-2</v>
      </c>
      <c r="V4" s="159">
        <f>K4*(0.19*0.543+0.25*0.25)/(0.19+0.25)</f>
        <v>5.3788961038961046E-2</v>
      </c>
      <c r="W4" s="159">
        <f t="shared" ref="W4:W18" si="4">K4*(0.19*0.369+0.25*0.142)/(0.19+0.25)</f>
        <v>3.4288961038961042E-2</v>
      </c>
      <c r="X4" s="438">
        <f>V4</f>
        <v>5.3788961038961046E-2</v>
      </c>
      <c r="Y4" s="438">
        <f>U4</f>
        <v>2.7269480519480516E-2</v>
      </c>
      <c r="Z4" s="438">
        <f t="shared" ref="Z4:Z24" si="5">MAX(Y4,X4)</f>
        <v>5.3788961038961046E-2</v>
      </c>
      <c r="AC4" t="s">
        <v>973</v>
      </c>
      <c r="AD4" s="689" t="s">
        <v>1027</v>
      </c>
      <c r="AF4" t="s">
        <v>973</v>
      </c>
      <c r="AG4" s="689" t="str">
        <f>AD4</f>
        <v>B. Pinczehelyi</v>
      </c>
    </row>
    <row r="5" spans="1:33" x14ac:dyDescent="0.25">
      <c r="A5" s="665" t="str">
        <f>PLANTILLA!D18</f>
        <v>L. Bauman</v>
      </c>
      <c r="B5" s="5">
        <f>PLANTILLA!E18</f>
        <v>30</v>
      </c>
      <c r="C5" s="5">
        <f ca="1">PLANTILLA!F18</f>
        <v>24</v>
      </c>
      <c r="D5" s="163">
        <f>PLANTILLA!V18</f>
        <v>0</v>
      </c>
      <c r="E5" s="163">
        <f>PLANTILLA!W18</f>
        <v>5.2811111111111115</v>
      </c>
      <c r="F5" s="163">
        <f>PLANTILLA!X18</f>
        <v>14.193842857142847</v>
      </c>
      <c r="G5" s="163">
        <f>PLANTILLA!Y18</f>
        <v>3.4924999999999993</v>
      </c>
      <c r="H5" s="163">
        <f>PLANTILLA!Z18</f>
        <v>9.0700000000000038</v>
      </c>
      <c r="I5" s="163">
        <f>PLANTILLA!AA18</f>
        <v>7.4318888888888894</v>
      </c>
      <c r="J5" s="163">
        <f>PLANTILLA!AB18</f>
        <v>16.07</v>
      </c>
      <c r="K5" s="363">
        <f>1/7</f>
        <v>0.14285714285714285</v>
      </c>
      <c r="L5" s="363"/>
      <c r="M5" s="363">
        <f t="shared" si="0"/>
        <v>2.3809523809523808E-2</v>
      </c>
      <c r="N5" s="163">
        <v>0</v>
      </c>
      <c r="O5" s="159">
        <v>0</v>
      </c>
      <c r="P5" s="159">
        <v>0</v>
      </c>
      <c r="Q5" s="159">
        <v>0</v>
      </c>
      <c r="R5" s="159">
        <v>0</v>
      </c>
      <c r="S5" s="159">
        <f t="shared" si="1"/>
        <v>5.1879870129870123E-2</v>
      </c>
      <c r="T5" s="159">
        <f t="shared" si="2"/>
        <v>4.0435064935064928E-2</v>
      </c>
      <c r="U5" s="159">
        <f t="shared" si="3"/>
        <v>2.7269480519480516E-2</v>
      </c>
      <c r="V5" s="159">
        <f>K5*(0.19*0.543+0.25*0.25)/(0.19+0.25)</f>
        <v>5.3788961038961046E-2</v>
      </c>
      <c r="W5" s="159">
        <f t="shared" si="4"/>
        <v>3.4288961038961042E-2</v>
      </c>
      <c r="X5" s="438">
        <f>S5</f>
        <v>5.1879870129870123E-2</v>
      </c>
      <c r="Y5" s="438"/>
      <c r="Z5" s="438">
        <f t="shared" si="5"/>
        <v>5.1879870129870123E-2</v>
      </c>
      <c r="AC5" t="s">
        <v>974</v>
      </c>
      <c r="AD5" t="s">
        <v>312</v>
      </c>
      <c r="AF5" t="s">
        <v>985</v>
      </c>
      <c r="AG5" t="s">
        <v>313</v>
      </c>
    </row>
    <row r="6" spans="1:33" x14ac:dyDescent="0.25">
      <c r="A6" s="665" t="str">
        <f>PLANTILLA!D21</f>
        <v>J. Limon</v>
      </c>
      <c r="B6" s="5">
        <f>PLANTILLA!E21</f>
        <v>29</v>
      </c>
      <c r="C6" s="5">
        <f ca="1">PLANTILLA!F21</f>
        <v>61</v>
      </c>
      <c r="D6" s="163">
        <f>PLANTILLA!V21</f>
        <v>0</v>
      </c>
      <c r="E6" s="163">
        <f>PLANTILLA!W21</f>
        <v>6.8176190476190497</v>
      </c>
      <c r="F6" s="163">
        <f>PLANTILLA!X21</f>
        <v>8.3125</v>
      </c>
      <c r="G6" s="163">
        <f>PLANTILLA!Y21</f>
        <v>8.7199999999999971</v>
      </c>
      <c r="H6" s="163">
        <f>PLANTILLA!Z21</f>
        <v>9.6800000000000015</v>
      </c>
      <c r="I6" s="163">
        <f>PLANTILLA!AA21</f>
        <v>8.5625000000000018</v>
      </c>
      <c r="J6" s="163">
        <f>PLANTILLA!AB21</f>
        <v>18.639999999999993</v>
      </c>
      <c r="K6" s="363">
        <f>1/8</f>
        <v>0.125</v>
      </c>
      <c r="L6" s="363"/>
      <c r="M6" s="363">
        <f t="shared" si="0"/>
        <v>2.0833333333333332E-2</v>
      </c>
      <c r="N6" s="163">
        <v>0</v>
      </c>
      <c r="O6" s="159">
        <v>0</v>
      </c>
      <c r="P6" s="159">
        <v>0</v>
      </c>
      <c r="Q6" s="159">
        <v>0</v>
      </c>
      <c r="R6" s="159">
        <v>0</v>
      </c>
      <c r="S6" s="159">
        <f t="shared" si="1"/>
        <v>4.5394886363636359E-2</v>
      </c>
      <c r="T6" s="159">
        <f t="shared" si="2"/>
        <v>3.5380681818181818E-2</v>
      </c>
      <c r="U6" s="159">
        <f t="shared" si="3"/>
        <v>2.3860795454545454E-2</v>
      </c>
      <c r="V6" s="159">
        <f>K6*(0.19*0.543+0.25*0.25)/(0.19+0.25)</f>
        <v>4.7065340909090911E-2</v>
      </c>
      <c r="W6" s="159">
        <f t="shared" si="4"/>
        <v>3.0002840909090913E-2</v>
      </c>
      <c r="X6" s="438">
        <f>V6</f>
        <v>4.7065340909090911E-2</v>
      </c>
      <c r="Y6" s="438">
        <f>V6</f>
        <v>4.7065340909090911E-2</v>
      </c>
      <c r="Z6" s="438">
        <f t="shared" si="5"/>
        <v>4.7065340909090911E-2</v>
      </c>
      <c r="AC6" t="s">
        <v>973</v>
      </c>
      <c r="AD6" t="s">
        <v>309</v>
      </c>
      <c r="AF6" t="s">
        <v>984</v>
      </c>
      <c r="AG6" t="s">
        <v>309</v>
      </c>
    </row>
    <row r="7" spans="1:33" x14ac:dyDescent="0.25">
      <c r="A7" s="665" t="str">
        <f>PLANTILLA!D15</f>
        <v>S. Buschelman</v>
      </c>
      <c r="B7" s="5">
        <f>PLANTILLA!E15</f>
        <v>29</v>
      </c>
      <c r="C7" s="5">
        <f ca="1">PLANTILLA!F15</f>
        <v>21</v>
      </c>
      <c r="D7" s="163">
        <f>PLANTILLA!V15</f>
        <v>0</v>
      </c>
      <c r="E7" s="163">
        <f>PLANTILLA!W15</f>
        <v>9.0936666666666657</v>
      </c>
      <c r="F7" s="163">
        <f>PLANTILLA!X15</f>
        <v>13.499999999999998</v>
      </c>
      <c r="G7" s="163">
        <f>PLANTILLA!Y15</f>
        <v>12.725000000000001</v>
      </c>
      <c r="H7" s="163">
        <f>PLANTILLA!Z15</f>
        <v>9.6033333333333353</v>
      </c>
      <c r="I7" s="163">
        <f>PLANTILLA!AA15</f>
        <v>5.0296666666666656</v>
      </c>
      <c r="J7" s="163">
        <f>PLANTILLA!AB15</f>
        <v>15.2</v>
      </c>
      <c r="K7" s="363">
        <f>1/7</f>
        <v>0.14285714285714285</v>
      </c>
      <c r="L7" s="363"/>
      <c r="M7" s="363">
        <f t="shared" si="0"/>
        <v>2.3809523809523808E-2</v>
      </c>
      <c r="N7" s="163">
        <v>0</v>
      </c>
      <c r="O7" s="159">
        <v>0</v>
      </c>
      <c r="P7" s="159">
        <v>0</v>
      </c>
      <c r="Q7" s="159">
        <v>0</v>
      </c>
      <c r="R7" s="159">
        <v>0</v>
      </c>
      <c r="S7" s="159">
        <f t="shared" si="1"/>
        <v>5.1879870129870123E-2</v>
      </c>
      <c r="T7" s="159">
        <f t="shared" si="2"/>
        <v>4.0435064935064928E-2</v>
      </c>
      <c r="U7" s="159">
        <f t="shared" si="3"/>
        <v>2.7269480519480516E-2</v>
      </c>
      <c r="V7" s="159">
        <f>K7*(0.19*0.543+0.25*0.324)/(0.19+0.25)</f>
        <v>5.9795454545454547E-2</v>
      </c>
      <c r="W7" s="159">
        <f t="shared" si="4"/>
        <v>3.4288961038961042E-2</v>
      </c>
      <c r="X7" s="438">
        <f>T7</f>
        <v>4.0435064935064928E-2</v>
      </c>
      <c r="Y7" s="438">
        <f>T7</f>
        <v>4.0435064935064928E-2</v>
      </c>
      <c r="Z7" s="438">
        <f t="shared" si="5"/>
        <v>4.0435064935064928E-2</v>
      </c>
      <c r="AC7" t="s">
        <v>596</v>
      </c>
      <c r="AD7" t="s">
        <v>754</v>
      </c>
      <c r="AF7" t="s">
        <v>985</v>
      </c>
      <c r="AG7" t="s">
        <v>315</v>
      </c>
    </row>
    <row r="8" spans="1:33" x14ac:dyDescent="0.25">
      <c r="A8" s="665" t="str">
        <f>PLANTILLA!D16</f>
        <v>C. Rojas</v>
      </c>
      <c r="B8" s="5">
        <f>PLANTILLA!E16</f>
        <v>31</v>
      </c>
      <c r="C8" s="5">
        <f ca="1">PLANTILLA!F16</f>
        <v>55</v>
      </c>
      <c r="D8" s="163">
        <f>PLANTILLA!V16</f>
        <v>0</v>
      </c>
      <c r="E8" s="163">
        <f>PLANTILLA!W16</f>
        <v>8.6075555555555585</v>
      </c>
      <c r="F8" s="163">
        <f>PLANTILLA!X16</f>
        <v>14.09516031746031</v>
      </c>
      <c r="G8" s="163">
        <f>PLANTILLA!Y16</f>
        <v>10.049999999999995</v>
      </c>
      <c r="H8" s="163">
        <f>PLANTILLA!Z16</f>
        <v>10.029999999999999</v>
      </c>
      <c r="I8" s="163">
        <f>PLANTILLA!AA16</f>
        <v>4.3999999999999995</v>
      </c>
      <c r="J8" s="163">
        <f>PLANTILLA!AB16</f>
        <v>16.544444444444441</v>
      </c>
      <c r="K8" s="363">
        <f>1/8</f>
        <v>0.125</v>
      </c>
      <c r="L8" s="363"/>
      <c r="M8" s="363">
        <f t="shared" si="0"/>
        <v>2.0833333333333332E-2</v>
      </c>
      <c r="N8" s="163">
        <v>0</v>
      </c>
      <c r="O8" s="159">
        <v>0</v>
      </c>
      <c r="P8" s="159">
        <v>0</v>
      </c>
      <c r="Q8" s="159">
        <v>0</v>
      </c>
      <c r="R8" s="159">
        <v>0</v>
      </c>
      <c r="S8" s="159">
        <f t="shared" si="1"/>
        <v>4.5394886363636359E-2</v>
      </c>
      <c r="T8" s="159">
        <f t="shared" si="2"/>
        <v>3.5380681818181818E-2</v>
      </c>
      <c r="U8" s="159">
        <f t="shared" si="3"/>
        <v>2.3860795454545454E-2</v>
      </c>
      <c r="V8" s="159">
        <f>K8*(0.19*0.543+0.25*0.324)/(0.19+0.25)</f>
        <v>5.232102272727273E-2</v>
      </c>
      <c r="W8" s="159">
        <f t="shared" si="4"/>
        <v>3.0002840909090913E-2</v>
      </c>
      <c r="X8" s="438">
        <f>T8</f>
        <v>3.5380681818181818E-2</v>
      </c>
      <c r="Y8" s="438">
        <f>T8</f>
        <v>3.5380681818181818E-2</v>
      </c>
      <c r="Z8" s="438">
        <f t="shared" si="5"/>
        <v>3.5380681818181818E-2</v>
      </c>
      <c r="AC8" t="s">
        <v>975</v>
      </c>
      <c r="AD8" t="s">
        <v>440</v>
      </c>
      <c r="AF8" t="s">
        <v>973</v>
      </c>
      <c r="AG8" t="s">
        <v>986</v>
      </c>
    </row>
    <row r="9" spans="1:33" x14ac:dyDescent="0.25">
      <c r="A9" s="665" t="str">
        <f>PLANTILLA!D13</f>
        <v>K. Helms</v>
      </c>
      <c r="B9" s="5">
        <f>PLANTILLA!E13</f>
        <v>30</v>
      </c>
      <c r="C9" s="5">
        <f ca="1">PLANTILLA!F13</f>
        <v>9</v>
      </c>
      <c r="D9" s="163">
        <f>PLANTILLA!V13</f>
        <v>0</v>
      </c>
      <c r="E9" s="163">
        <f>PLANTILLA!W13</f>
        <v>7.11</v>
      </c>
      <c r="F9" s="163">
        <f>PLANTILLA!X13</f>
        <v>10.250000000000004</v>
      </c>
      <c r="G9" s="163">
        <f>PLANTILLA!Y13</f>
        <v>13.305</v>
      </c>
      <c r="H9" s="163">
        <f>PLANTILLA!Z13</f>
        <v>10.289999999999997</v>
      </c>
      <c r="I9" s="163">
        <f>PLANTILLA!AA13</f>
        <v>5.4050000000000002</v>
      </c>
      <c r="J9" s="163">
        <f>PLANTILLA!AB13</f>
        <v>17.300000000000004</v>
      </c>
      <c r="K9" s="363">
        <f>1/7</f>
        <v>0.14285714285714285</v>
      </c>
      <c r="L9" s="363"/>
      <c r="M9" s="363">
        <f t="shared" si="0"/>
        <v>2.3809523809523808E-2</v>
      </c>
      <c r="N9" s="163">
        <v>0</v>
      </c>
      <c r="O9" s="159">
        <v>0</v>
      </c>
      <c r="P9" s="159">
        <v>0</v>
      </c>
      <c r="Q9" s="159">
        <v>0</v>
      </c>
      <c r="R9" s="159">
        <v>0</v>
      </c>
      <c r="S9" s="159">
        <f t="shared" si="1"/>
        <v>5.1879870129870123E-2</v>
      </c>
      <c r="T9" s="159">
        <f t="shared" si="2"/>
        <v>4.0435064935064928E-2</v>
      </c>
      <c r="U9" s="159">
        <f t="shared" si="3"/>
        <v>2.7269480519480516E-2</v>
      </c>
      <c r="V9" s="159">
        <f>K9*(0.19*0.543+0.25*0.324)/(0.19+0.25)</f>
        <v>5.9795454545454547E-2</v>
      </c>
      <c r="W9" s="159">
        <f t="shared" si="4"/>
        <v>3.4288961038961042E-2</v>
      </c>
      <c r="X9" s="438">
        <f>U9</f>
        <v>2.7269480519480516E-2</v>
      </c>
      <c r="Y9" s="438">
        <f>U9</f>
        <v>2.7269480519480516E-2</v>
      </c>
      <c r="Z9" s="438">
        <f t="shared" si="5"/>
        <v>2.7269480519480516E-2</v>
      </c>
      <c r="AC9" t="s">
        <v>596</v>
      </c>
      <c r="AD9" t="s">
        <v>325</v>
      </c>
      <c r="AF9" t="s">
        <v>596</v>
      </c>
      <c r="AG9" t="s">
        <v>325</v>
      </c>
    </row>
    <row r="10" spans="1:33" x14ac:dyDescent="0.25">
      <c r="A10" s="665" t="str">
        <f>PLANTILLA!D12</f>
        <v>E. Romweber</v>
      </c>
      <c r="B10" s="5">
        <f>PLANTILLA!E12</f>
        <v>30</v>
      </c>
      <c r="C10" s="5">
        <f ca="1">PLANTILLA!F12</f>
        <v>62</v>
      </c>
      <c r="D10" s="163">
        <f>PLANTILLA!V12</f>
        <v>0</v>
      </c>
      <c r="E10" s="163">
        <f>PLANTILLA!W12</f>
        <v>11.99</v>
      </c>
      <c r="F10" s="163">
        <f>PLANTILLA!X12</f>
        <v>12.399111111111115</v>
      </c>
      <c r="G10" s="163">
        <f>PLANTILLA!Y12</f>
        <v>13.05</v>
      </c>
      <c r="H10" s="163">
        <f>PLANTILLA!Z12</f>
        <v>10.84</v>
      </c>
      <c r="I10" s="163">
        <f>PLANTILLA!AA12</f>
        <v>7.7700000000000005</v>
      </c>
      <c r="J10" s="163">
        <f>PLANTILLA!AB12</f>
        <v>17.13</v>
      </c>
      <c r="K10" s="363">
        <f>1/8</f>
        <v>0.125</v>
      </c>
      <c r="L10" s="363"/>
      <c r="M10" s="363">
        <f t="shared" si="0"/>
        <v>2.0833333333333332E-2</v>
      </c>
      <c r="N10" s="163">
        <v>0</v>
      </c>
      <c r="O10" s="159">
        <v>0</v>
      </c>
      <c r="P10" s="159">
        <v>0</v>
      </c>
      <c r="Q10" s="159">
        <v>0</v>
      </c>
      <c r="R10" s="159">
        <v>0</v>
      </c>
      <c r="S10" s="159">
        <f t="shared" si="1"/>
        <v>4.5394886363636359E-2</v>
      </c>
      <c r="T10" s="159">
        <f t="shared" si="2"/>
        <v>3.5380681818181818E-2</v>
      </c>
      <c r="U10" s="159">
        <f t="shared" si="3"/>
        <v>2.3860795454545454E-2</v>
      </c>
      <c r="V10" s="159">
        <f t="shared" ref="V10:V18" si="6">K10*(0.19*0.543+0.25*0.25)/(0.19+0.25)</f>
        <v>4.7065340909090911E-2</v>
      </c>
      <c r="W10" s="159">
        <f t="shared" si="4"/>
        <v>3.0002840909090913E-2</v>
      </c>
      <c r="X10" s="438">
        <f>U10</f>
        <v>2.3860795454545454E-2</v>
      </c>
      <c r="Y10" s="438"/>
      <c r="Z10" s="438">
        <f t="shared" si="5"/>
        <v>2.3860795454545454E-2</v>
      </c>
      <c r="AC10" t="s">
        <v>976</v>
      </c>
      <c r="AD10" t="s">
        <v>986</v>
      </c>
      <c r="AF10" t="s">
        <v>596</v>
      </c>
      <c r="AG10" t="s">
        <v>754</v>
      </c>
    </row>
    <row r="11" spans="1:33" x14ac:dyDescent="0.25">
      <c r="A11" s="665" t="str">
        <f>PLANTILLA!D9</f>
        <v>E. Toney</v>
      </c>
      <c r="B11" s="5">
        <f>PLANTILLA!E9</f>
        <v>30</v>
      </c>
      <c r="C11" s="5">
        <f ca="1">PLANTILLA!F9</f>
        <v>100</v>
      </c>
      <c r="D11" s="163">
        <f>PLANTILLA!V9</f>
        <v>0</v>
      </c>
      <c r="E11" s="163">
        <f>PLANTILLA!W9</f>
        <v>12.060000000000004</v>
      </c>
      <c r="F11" s="163">
        <f>PLANTILLA!X9</f>
        <v>13.020999999999999</v>
      </c>
      <c r="G11" s="163">
        <f>PLANTILLA!Y9</f>
        <v>9.7100000000000062</v>
      </c>
      <c r="H11" s="163">
        <f>PLANTILLA!Z9</f>
        <v>9.5299999999999994</v>
      </c>
      <c r="I11" s="163">
        <f>PLANTILLA!AA9</f>
        <v>3.6816666666666658</v>
      </c>
      <c r="J11" s="163">
        <f>PLANTILLA!AB9</f>
        <v>16.627777777777773</v>
      </c>
      <c r="K11" s="363">
        <f>1/7</f>
        <v>0.14285714285714285</v>
      </c>
      <c r="L11" s="363"/>
      <c r="M11" s="363">
        <f t="shared" si="0"/>
        <v>2.3809523809523808E-2</v>
      </c>
      <c r="N11" s="163">
        <v>0</v>
      </c>
      <c r="O11" s="159">
        <v>0</v>
      </c>
      <c r="P11" s="159">
        <v>0</v>
      </c>
      <c r="Q11" s="159">
        <v>0</v>
      </c>
      <c r="R11" s="159">
        <v>0</v>
      </c>
      <c r="S11" s="159">
        <f t="shared" si="1"/>
        <v>5.1879870129870123E-2</v>
      </c>
      <c r="T11" s="159">
        <f t="shared" si="2"/>
        <v>4.0435064935064928E-2</v>
      </c>
      <c r="U11" s="159">
        <f t="shared" si="3"/>
        <v>2.7269480519480516E-2</v>
      </c>
      <c r="V11" s="159">
        <f t="shared" si="6"/>
        <v>5.3788961038961046E-2</v>
      </c>
      <c r="W11" s="159">
        <f t="shared" si="4"/>
        <v>3.4288961038961042E-2</v>
      </c>
      <c r="X11" s="438"/>
      <c r="Y11" s="438"/>
      <c r="Z11" s="438">
        <f t="shared" si="5"/>
        <v>0</v>
      </c>
      <c r="AC11" t="s">
        <v>976</v>
      </c>
      <c r="AD11" t="s">
        <v>338</v>
      </c>
      <c r="AF11" t="s">
        <v>976</v>
      </c>
      <c r="AG11" t="s">
        <v>338</v>
      </c>
    </row>
    <row r="12" spans="1:33" x14ac:dyDescent="0.25">
      <c r="A12" s="665" t="str">
        <f>PLANTILLA!D17</f>
        <v>E. Gross</v>
      </c>
      <c r="B12" s="5">
        <f>PLANTILLA!E17</f>
        <v>30</v>
      </c>
      <c r="C12" s="5">
        <f ca="1">PLANTILLA!F17</f>
        <v>49</v>
      </c>
      <c r="D12" s="163">
        <f>PLANTILLA!V17</f>
        <v>0</v>
      </c>
      <c r="E12" s="163">
        <f>PLANTILLA!W17</f>
        <v>10.149999999999997</v>
      </c>
      <c r="F12" s="163">
        <f>PLANTILLA!X17</f>
        <v>12.749777777777778</v>
      </c>
      <c r="G12" s="163">
        <f>PLANTILLA!Y17</f>
        <v>5.1199999999999983</v>
      </c>
      <c r="H12" s="163">
        <f>PLANTILLA!Z17</f>
        <v>9.17</v>
      </c>
      <c r="I12" s="163">
        <f>PLANTILLA!AA17</f>
        <v>2.98</v>
      </c>
      <c r="J12" s="163">
        <f>PLANTILLA!AB17</f>
        <v>16.959999999999997</v>
      </c>
      <c r="K12" s="363">
        <f>1/7</f>
        <v>0.14285714285714285</v>
      </c>
      <c r="L12" s="363"/>
      <c r="M12" s="363">
        <f t="shared" si="0"/>
        <v>2.3809523809523808E-2</v>
      </c>
      <c r="N12" s="163">
        <v>0</v>
      </c>
      <c r="O12" s="159">
        <v>0</v>
      </c>
      <c r="P12" s="159">
        <v>0</v>
      </c>
      <c r="Q12" s="159">
        <v>0</v>
      </c>
      <c r="R12" s="159">
        <v>0</v>
      </c>
      <c r="S12" s="159">
        <f t="shared" si="1"/>
        <v>5.1879870129870123E-2</v>
      </c>
      <c r="T12" s="159">
        <f t="shared" si="2"/>
        <v>4.0435064935064928E-2</v>
      </c>
      <c r="U12" s="159">
        <f t="shared" si="3"/>
        <v>2.7269480519480516E-2</v>
      </c>
      <c r="V12" s="159">
        <f t="shared" si="6"/>
        <v>5.3788961038961046E-2</v>
      </c>
      <c r="W12" s="159">
        <f t="shared" si="4"/>
        <v>3.4288961038961042E-2</v>
      </c>
      <c r="X12" s="438"/>
      <c r="Y12" s="438"/>
      <c r="Z12" s="438">
        <f t="shared" si="5"/>
        <v>0</v>
      </c>
      <c r="AC12" t="s">
        <v>67</v>
      </c>
      <c r="AD12" t="s">
        <v>327</v>
      </c>
      <c r="AF12" t="s">
        <v>976</v>
      </c>
      <c r="AG12" t="s">
        <v>600</v>
      </c>
    </row>
    <row r="13" spans="1:33" x14ac:dyDescent="0.25">
      <c r="A13" s="665" t="str">
        <f>PLANTILLA!D7</f>
        <v>B. Pinczehelyi</v>
      </c>
      <c r="B13" s="5">
        <f>PLANTILLA!E7</f>
        <v>29</v>
      </c>
      <c r="C13" s="5">
        <f ca="1">PLANTILLA!F7</f>
        <v>101</v>
      </c>
      <c r="D13" s="163">
        <f>PLANTILLA!V7</f>
        <v>0</v>
      </c>
      <c r="E13" s="163">
        <f>PLANTILLA!W7</f>
        <v>14.200000000000003</v>
      </c>
      <c r="F13" s="163">
        <f>PLANTILLA!X7</f>
        <v>9.283333333333335</v>
      </c>
      <c r="G13" s="163">
        <f>PLANTILLA!Y7</f>
        <v>14.249999999999996</v>
      </c>
      <c r="H13" s="163">
        <f>PLANTILLA!Z7</f>
        <v>9.3499999999999979</v>
      </c>
      <c r="I13" s="163">
        <f>PLANTILLA!AA7</f>
        <v>1.1428571428571428</v>
      </c>
      <c r="J13" s="163">
        <f>PLANTILLA!AB7</f>
        <v>9.4</v>
      </c>
      <c r="K13" s="363">
        <f>1/7</f>
        <v>0.14285714285714285</v>
      </c>
      <c r="L13" s="363"/>
      <c r="M13" s="363">
        <f t="shared" si="0"/>
        <v>2.3809523809523808E-2</v>
      </c>
      <c r="N13" s="163">
        <v>0</v>
      </c>
      <c r="O13" s="159">
        <v>0</v>
      </c>
      <c r="P13" s="159">
        <v>0</v>
      </c>
      <c r="Q13" s="159">
        <v>0</v>
      </c>
      <c r="R13" s="159">
        <v>0</v>
      </c>
      <c r="S13" s="159">
        <f t="shared" si="1"/>
        <v>5.1879870129870123E-2</v>
      </c>
      <c r="T13" s="159">
        <f t="shared" si="2"/>
        <v>4.0435064935064928E-2</v>
      </c>
      <c r="U13" s="159">
        <f t="shared" si="3"/>
        <v>2.7269480519480516E-2</v>
      </c>
      <c r="V13" s="159">
        <f t="shared" si="6"/>
        <v>5.3788961038961046E-2</v>
      </c>
      <c r="W13" s="159">
        <f t="shared" si="4"/>
        <v>3.4288961038961042E-2</v>
      </c>
      <c r="X13" s="438"/>
      <c r="Y13" s="438"/>
      <c r="Z13" s="438">
        <f t="shared" si="5"/>
        <v>0</v>
      </c>
      <c r="AC13" t="s">
        <v>67</v>
      </c>
      <c r="AD13" t="s">
        <v>600</v>
      </c>
      <c r="AF13" t="s">
        <v>67</v>
      </c>
      <c r="AG13" t="s">
        <v>327</v>
      </c>
    </row>
    <row r="14" spans="1:33" x14ac:dyDescent="0.25">
      <c r="A14" s="665" t="str">
        <f>PLANTILLA!D8</f>
        <v>D. Toh</v>
      </c>
      <c r="B14" s="5">
        <f>PLANTILLA!E8</f>
        <v>31</v>
      </c>
      <c r="C14" s="5">
        <f ca="1">PLANTILLA!F8</f>
        <v>34</v>
      </c>
      <c r="D14" s="163">
        <f>PLANTILLA!V8</f>
        <v>0</v>
      </c>
      <c r="E14" s="163">
        <f>PLANTILLA!W8</f>
        <v>11</v>
      </c>
      <c r="F14" s="163">
        <f>PLANTILLA!X8</f>
        <v>6.1594444444444418</v>
      </c>
      <c r="G14" s="163">
        <f>PLANTILLA!Y8</f>
        <v>5.98</v>
      </c>
      <c r="H14" s="163">
        <f>PLANTILLA!Z8</f>
        <v>7.7227777777777789</v>
      </c>
      <c r="I14" s="163">
        <f>PLANTILLA!AA8</f>
        <v>4.383333333333332</v>
      </c>
      <c r="J14" s="163">
        <f>PLANTILLA!AB8</f>
        <v>15.349999999999998</v>
      </c>
      <c r="K14" s="363">
        <f>1/6</f>
        <v>0.16666666666666666</v>
      </c>
      <c r="L14" s="363"/>
      <c r="M14" s="363">
        <f t="shared" si="0"/>
        <v>2.7777777777777776E-2</v>
      </c>
      <c r="N14" s="163">
        <v>0</v>
      </c>
      <c r="O14" s="159">
        <v>0</v>
      </c>
      <c r="P14" s="159">
        <v>0</v>
      </c>
      <c r="Q14" s="159">
        <v>0</v>
      </c>
      <c r="R14" s="159">
        <v>0</v>
      </c>
      <c r="S14" s="159">
        <f t="shared" si="1"/>
        <v>6.0526515151515144E-2</v>
      </c>
      <c r="T14" s="159">
        <f t="shared" si="2"/>
        <v>4.7174242424242424E-2</v>
      </c>
      <c r="U14" s="159">
        <f t="shared" si="3"/>
        <v>3.1814393939393934E-2</v>
      </c>
      <c r="V14" s="159">
        <f t="shared" si="6"/>
        <v>6.2753787878787881E-2</v>
      </c>
      <c r="W14" s="159">
        <f t="shared" si="4"/>
        <v>4.0003787878787882E-2</v>
      </c>
      <c r="X14" s="438"/>
      <c r="Y14" s="438"/>
      <c r="Z14" s="438">
        <f t="shared" si="5"/>
        <v>0</v>
      </c>
    </row>
    <row r="15" spans="1:33" x14ac:dyDescent="0.25">
      <c r="A15" s="665" t="str">
        <f>PLANTILLA!D10</f>
        <v>B. Bartolache</v>
      </c>
      <c r="B15" s="5">
        <f>PLANTILLA!E10</f>
        <v>30</v>
      </c>
      <c r="C15" s="5">
        <f ca="1">PLANTILLA!F10</f>
        <v>85</v>
      </c>
      <c r="D15" s="163">
        <f>PLANTILLA!V10</f>
        <v>0</v>
      </c>
      <c r="E15" s="163">
        <f>PLANTILLA!W10</f>
        <v>11.649999999999997</v>
      </c>
      <c r="F15" s="163">
        <f>PLANTILLA!X10</f>
        <v>6.6275000000000022</v>
      </c>
      <c r="G15" s="163">
        <f>PLANTILLA!Y10</f>
        <v>7.2200000000000015</v>
      </c>
      <c r="H15" s="163">
        <f>PLANTILLA!Z10</f>
        <v>9.0199999999999978</v>
      </c>
      <c r="I15" s="163">
        <f>PLANTILLA!AA10</f>
        <v>4.6199999999999966</v>
      </c>
      <c r="J15" s="163">
        <f>PLANTILLA!AB10</f>
        <v>15.6</v>
      </c>
      <c r="K15" s="363">
        <f>1/7</f>
        <v>0.14285714285714285</v>
      </c>
      <c r="L15" s="363"/>
      <c r="M15" s="363">
        <f t="shared" si="0"/>
        <v>2.3809523809523808E-2</v>
      </c>
      <c r="N15" s="163">
        <v>0</v>
      </c>
      <c r="O15" s="159">
        <v>0</v>
      </c>
      <c r="P15" s="159">
        <v>0</v>
      </c>
      <c r="Q15" s="159">
        <v>0</v>
      </c>
      <c r="R15" s="159">
        <v>0</v>
      </c>
      <c r="S15" s="159">
        <f t="shared" si="1"/>
        <v>5.1879870129870123E-2</v>
      </c>
      <c r="T15" s="159">
        <f t="shared" si="2"/>
        <v>4.0435064935064928E-2</v>
      </c>
      <c r="U15" s="159">
        <f t="shared" si="3"/>
        <v>2.7269480519480516E-2</v>
      </c>
      <c r="V15" s="159">
        <f t="shared" si="6"/>
        <v>5.3788961038961046E-2</v>
      </c>
      <c r="W15" s="159">
        <f t="shared" si="4"/>
        <v>3.4288961038961042E-2</v>
      </c>
      <c r="X15" s="438"/>
      <c r="Y15" s="438"/>
      <c r="Z15" s="438">
        <f t="shared" si="5"/>
        <v>0</v>
      </c>
    </row>
    <row r="16" spans="1:33" x14ac:dyDescent="0.25">
      <c r="A16" s="665" t="str">
        <f>PLANTILLA!D19</f>
        <v>W. Gelifini</v>
      </c>
      <c r="B16" s="5">
        <f>PLANTILLA!E19</f>
        <v>28</v>
      </c>
      <c r="C16" s="5">
        <f ca="1">PLANTILLA!F19</f>
        <v>86</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363">
        <f>1/7</f>
        <v>0.14285714285714285</v>
      </c>
      <c r="L16" s="363"/>
      <c r="M16" s="363">
        <f t="shared" si="0"/>
        <v>2.3809523809523808E-2</v>
      </c>
      <c r="N16" s="163">
        <v>0</v>
      </c>
      <c r="O16" s="159">
        <v>0</v>
      </c>
      <c r="P16" s="159">
        <v>0</v>
      </c>
      <c r="Q16" s="159">
        <v>0</v>
      </c>
      <c r="R16" s="159">
        <v>0</v>
      </c>
      <c r="S16" s="159">
        <f t="shared" si="1"/>
        <v>5.1879870129870123E-2</v>
      </c>
      <c r="T16" s="159">
        <f t="shared" si="2"/>
        <v>4.0435064935064928E-2</v>
      </c>
      <c r="U16" s="159">
        <f t="shared" si="3"/>
        <v>2.7269480519480516E-2</v>
      </c>
      <c r="V16" s="159">
        <f t="shared" si="6"/>
        <v>5.3788961038961046E-2</v>
      </c>
      <c r="W16" s="159">
        <f t="shared" si="4"/>
        <v>3.4288961038961042E-2</v>
      </c>
      <c r="X16" s="438"/>
      <c r="Y16" s="438"/>
      <c r="Z16" s="438">
        <f t="shared" si="5"/>
        <v>0</v>
      </c>
    </row>
    <row r="17" spans="1:26" x14ac:dyDescent="0.25">
      <c r="A17" s="665" t="str">
        <f>PLANTILLA!D23</f>
        <v>P .Trivadi</v>
      </c>
      <c r="B17" s="5">
        <f>PLANTILLA!E23</f>
        <v>26</v>
      </c>
      <c r="C17" s="5">
        <f ca="1">PLANTILLA!F23</f>
        <v>92</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363">
        <f>1/8</f>
        <v>0.125</v>
      </c>
      <c r="L17" s="363"/>
      <c r="M17" s="363">
        <f t="shared" si="0"/>
        <v>2.0833333333333332E-2</v>
      </c>
      <c r="N17" s="163">
        <v>0</v>
      </c>
      <c r="O17" s="159">
        <v>0</v>
      </c>
      <c r="P17" s="159">
        <v>0</v>
      </c>
      <c r="Q17" s="159">
        <v>0</v>
      </c>
      <c r="R17" s="159">
        <v>0</v>
      </c>
      <c r="S17" s="159">
        <f t="shared" si="1"/>
        <v>4.5394886363636359E-2</v>
      </c>
      <c r="T17" s="159">
        <f t="shared" si="2"/>
        <v>3.5380681818181818E-2</v>
      </c>
      <c r="U17" s="159">
        <f t="shared" si="3"/>
        <v>2.3860795454545454E-2</v>
      </c>
      <c r="V17" s="159">
        <f t="shared" si="6"/>
        <v>4.7065340909090911E-2</v>
      </c>
      <c r="W17" s="159">
        <f t="shared" si="4"/>
        <v>3.0002840909090913E-2</v>
      </c>
      <c r="X17" s="438"/>
      <c r="Y17" s="438"/>
      <c r="Z17" s="438">
        <f t="shared" si="5"/>
        <v>0</v>
      </c>
    </row>
    <row r="18" spans="1:26" x14ac:dyDescent="0.25">
      <c r="A18" s="665" t="str">
        <f>PLANTILLA!D11</f>
        <v>F. Lasprilla</v>
      </c>
      <c r="B18" s="5">
        <f>PLANTILLA!E11</f>
        <v>26</v>
      </c>
      <c r="C18" s="5">
        <f ca="1">PLANTILLA!F11</f>
        <v>108</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363">
        <f>1/6</f>
        <v>0.16666666666666666</v>
      </c>
      <c r="L18" s="363"/>
      <c r="M18" s="363">
        <f t="shared" si="0"/>
        <v>2.7777777777777776E-2</v>
      </c>
      <c r="N18" s="163">
        <v>0</v>
      </c>
      <c r="O18" s="159">
        <v>0</v>
      </c>
      <c r="P18" s="159">
        <v>0</v>
      </c>
      <c r="Q18" s="159">
        <v>0</v>
      </c>
      <c r="R18" s="159">
        <v>0</v>
      </c>
      <c r="S18" s="159">
        <f t="shared" si="1"/>
        <v>6.0526515151515144E-2</v>
      </c>
      <c r="T18" s="159">
        <f t="shared" si="2"/>
        <v>4.7174242424242424E-2</v>
      </c>
      <c r="U18" s="159">
        <f t="shared" si="3"/>
        <v>3.1814393939393934E-2</v>
      </c>
      <c r="V18" s="159">
        <f t="shared" si="6"/>
        <v>6.2753787878787881E-2</v>
      </c>
      <c r="W18" s="159">
        <f t="shared" si="4"/>
        <v>4.0003787878787882E-2</v>
      </c>
      <c r="X18" s="438"/>
      <c r="Y18" s="438"/>
      <c r="Z18" s="438">
        <f t="shared" si="5"/>
        <v>0</v>
      </c>
    </row>
    <row r="19" spans="1:26" x14ac:dyDescent="0.25">
      <c r="A19" s="5" t="str">
        <f>PLANTILLA!D5</f>
        <v>D. Gehmacher</v>
      </c>
      <c r="B19" s="5">
        <f>PLANTILLA!E5</f>
        <v>29</v>
      </c>
      <c r="C19" s="5">
        <f ca="1">PLANTILLA!F5</f>
        <v>89</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s="363"/>
      <c r="L19" s="363"/>
      <c r="M19" s="363"/>
      <c r="N19" s="363"/>
      <c r="O19" s="159"/>
      <c r="P19" s="159"/>
      <c r="Q19" s="159"/>
      <c r="R19" s="159"/>
      <c r="S19" s="159"/>
      <c r="T19" s="159"/>
      <c r="U19" s="159"/>
      <c r="V19" s="159"/>
      <c r="W19" s="159"/>
      <c r="X19" s="438"/>
      <c r="Y19" s="438"/>
      <c r="Z19" s="438">
        <f t="shared" si="5"/>
        <v>0</v>
      </c>
    </row>
    <row r="20" spans="1:26" x14ac:dyDescent="0.25">
      <c r="A20" s="5" t="str">
        <f>PLANTILLA!D6</f>
        <v>T. Hammond</v>
      </c>
      <c r="B20" s="5">
        <f>PLANTILLA!E6</f>
        <v>33</v>
      </c>
      <c r="C20" s="5">
        <f ca="1">PLANTILLA!F6</f>
        <v>98</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c r="M20" s="363">
        <f>K20/6</f>
        <v>2.3809523809523808E-2</v>
      </c>
      <c r="N20" s="163">
        <v>0</v>
      </c>
      <c r="O20" s="159">
        <v>0</v>
      </c>
      <c r="P20" s="159">
        <v>0</v>
      </c>
      <c r="Q20" s="159">
        <v>0</v>
      </c>
      <c r="R20" s="159">
        <v>0</v>
      </c>
      <c r="S20" s="159">
        <f>K20*(0.19*0.341+0.25*0.253+0.25*0.127)/(0.19+0.25)</f>
        <v>5.1879870129870123E-2</v>
      </c>
      <c r="T20" s="159">
        <f>K20*(0.19*0.241+0.25*0.315)/(0.19+0.25)</f>
        <v>4.0435064935064928E-2</v>
      </c>
      <c r="U20" s="159">
        <f>K20*(0.19*0.121+0.25*0.244)/(0.19+0.25)</f>
        <v>2.7269480519480516E-2</v>
      </c>
      <c r="V20" s="159">
        <f>K20*(0.19*0.543+0.25*0.25)/(0.19+0.25)</f>
        <v>5.3788961038961046E-2</v>
      </c>
      <c r="W20" s="159">
        <f>K20*(0.19*0.369+0.25*0.142)/(0.19+0.25)</f>
        <v>3.4288961038961042E-2</v>
      </c>
      <c r="X20" s="438"/>
      <c r="Y20" s="438"/>
      <c r="Z20" s="438">
        <f t="shared" si="5"/>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c r="M21" s="363">
        <f>K21/6</f>
        <v>2.3809523809523808E-2</v>
      </c>
      <c r="N21" s="163">
        <v>0</v>
      </c>
      <c r="O21" s="159">
        <v>0</v>
      </c>
      <c r="P21" s="159">
        <v>0</v>
      </c>
      <c r="Q21" s="159">
        <v>0</v>
      </c>
      <c r="R21" s="159">
        <v>0</v>
      </c>
      <c r="S21" s="159">
        <f>K21*(0.19*0.341+0.25*0.253+0.25*0.127)/(0.19+0.25)</f>
        <v>5.1879870129870123E-2</v>
      </c>
      <c r="T21" s="159">
        <f>K21*(0.19*0.241+0.25*0.315)/(0.19+0.25)</f>
        <v>4.0435064935064928E-2</v>
      </c>
      <c r="U21" s="159">
        <f>K21*(0.19*0.121+0.25*0.244)/(0.19+0.25)</f>
        <v>2.7269480519480516E-2</v>
      </c>
      <c r="V21" s="159">
        <f>K21*(0.19*0.543+0.25*0.25)/(0.19+0.25)</f>
        <v>5.3788961038961046E-2</v>
      </c>
      <c r="W21" s="159">
        <f>K21*(0.19*0.369+0.25*0.142)/(0.19+0.25)</f>
        <v>3.4288961038961042E-2</v>
      </c>
      <c r="X21" s="438"/>
      <c r="Y21" s="438"/>
      <c r="Z21" s="438">
        <f t="shared" si="5"/>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1/4</f>
        <v>0.25</v>
      </c>
      <c r="L22" s="363"/>
      <c r="M22" s="363">
        <f>K22/6</f>
        <v>4.1666666666666664E-2</v>
      </c>
      <c r="N22" s="163">
        <v>0</v>
      </c>
      <c r="O22" s="159">
        <v>0</v>
      </c>
      <c r="P22" s="159">
        <v>0</v>
      </c>
      <c r="Q22" s="159">
        <v>0</v>
      </c>
      <c r="R22" s="159">
        <v>0</v>
      </c>
      <c r="S22" s="159">
        <f>K22*(0.19*0.341+0.25*0.253+0.25*0.127)/(0.19+0.25)</f>
        <v>9.0789772727272719E-2</v>
      </c>
      <c r="T22" s="159">
        <f>K22*(0.19*0.241+0.25*0.315)/(0.19+0.25)</f>
        <v>7.0761363636363636E-2</v>
      </c>
      <c r="U22" s="159">
        <f>K22*(0.19*0.121+0.25*0.244)/(0.19+0.25)</f>
        <v>4.7721590909090908E-2</v>
      </c>
      <c r="V22" s="159">
        <f>K22*(0.19*0.543+0.25*0.25)/(0.19+0.25)</f>
        <v>9.4130681818181822E-2</v>
      </c>
      <c r="W22" s="159">
        <f>K22*(0.19*0.369+0.25*0.142)/(0.19+0.25)</f>
        <v>6.0005681818181826E-2</v>
      </c>
      <c r="X22" s="438"/>
      <c r="Y22" s="438"/>
      <c r="Z22" s="438">
        <f t="shared" si="5"/>
        <v>0</v>
      </c>
    </row>
    <row r="23" spans="1:26" x14ac:dyDescent="0.25">
      <c r="A23" s="5" t="str">
        <f>PLANTILLA!D20</f>
        <v>M. Amico</v>
      </c>
      <c r="B23" s="5">
        <f>PLANTILLA!E20</f>
        <v>28</v>
      </c>
      <c r="C23" s="5">
        <f ca="1">PLANTILLA!F20</f>
        <v>93</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1/6</f>
        <v>0.16666666666666666</v>
      </c>
      <c r="L23" s="363"/>
      <c r="M23" s="363">
        <f>K23/6</f>
        <v>2.7777777777777776E-2</v>
      </c>
      <c r="N23" s="163">
        <v>0</v>
      </c>
      <c r="O23" s="159">
        <v>0</v>
      </c>
      <c r="P23" s="159">
        <v>0</v>
      </c>
      <c r="Q23" s="159">
        <v>0</v>
      </c>
      <c r="R23" s="159">
        <v>0</v>
      </c>
      <c r="S23" s="159">
        <f>K23*(0.19*0.341+0.25*0.253+0.25*0.127)/(0.19+0.25)</f>
        <v>6.0526515151515144E-2</v>
      </c>
      <c r="T23" s="159">
        <f>K23*(0.19*0.241+0.25*0.315)/(0.19+0.25)</f>
        <v>4.7174242424242424E-2</v>
      </c>
      <c r="U23" s="159">
        <f>K23*(0.19*0.121+0.25*0.244)/(0.19+0.25)</f>
        <v>3.1814393939393934E-2</v>
      </c>
      <c r="V23" s="159">
        <f>K23*(0.19*0.543+0.25*0.25)/(0.19+0.25)</f>
        <v>6.2753787878787881E-2</v>
      </c>
      <c r="W23" s="159">
        <f>K23*(0.19*0.369+0.25*0.142)/(0.19+0.25)</f>
        <v>4.0003787878787882E-2</v>
      </c>
      <c r="X23" s="438"/>
      <c r="Y23" s="438"/>
      <c r="Z23" s="438">
        <f t="shared" si="5"/>
        <v>0</v>
      </c>
    </row>
    <row r="24" spans="1:26" x14ac:dyDescent="0.25">
      <c r="A24" s="5" t="str">
        <f>PLANTILLA!D22</f>
        <v>L. Calosso</v>
      </c>
      <c r="B24" s="5">
        <f>PLANTILLA!E22</f>
        <v>30</v>
      </c>
      <c r="C24" s="5">
        <f ca="1">PLANTILLA!F22</f>
        <v>18</v>
      </c>
      <c r="D24" s="163">
        <f>PLANTILLA!V22</f>
        <v>0</v>
      </c>
      <c r="E24" s="163">
        <f>PLANTILLA!W22</f>
        <v>2</v>
      </c>
      <c r="F24" s="163">
        <f>PLANTILLA!X22</f>
        <v>14.0938</v>
      </c>
      <c r="G24" s="163">
        <f>PLANTILLA!Y22</f>
        <v>3</v>
      </c>
      <c r="H24" s="163">
        <f>PLANTILLA!Z22</f>
        <v>15.01</v>
      </c>
      <c r="I24" s="163">
        <f>PLANTILLA!AA22</f>
        <v>10</v>
      </c>
      <c r="J24" s="163">
        <f>PLANTILLA!AB22</f>
        <v>9.3000000000000007</v>
      </c>
      <c r="K24" s="363">
        <f>1/4</f>
        <v>0.25</v>
      </c>
      <c r="L24" s="363"/>
      <c r="M24" s="363">
        <f>K24/6</f>
        <v>4.1666666666666664E-2</v>
      </c>
      <c r="N24" s="163">
        <v>0</v>
      </c>
      <c r="O24" s="159">
        <v>0</v>
      </c>
      <c r="P24" s="159">
        <v>0</v>
      </c>
      <c r="Q24" s="159">
        <v>0</v>
      </c>
      <c r="R24" s="159">
        <v>0</v>
      </c>
      <c r="S24" s="159">
        <f>K24*(0.19*0.341+0.25*0.253+0.25*0.127)/(0.19+0.25)</f>
        <v>9.0789772727272719E-2</v>
      </c>
      <c r="T24" s="159">
        <f>K24*(0.19*0.241+0.25*0.315)/(0.19+0.25)</f>
        <v>7.0761363636363636E-2</v>
      </c>
      <c r="U24" s="159">
        <f>K24*(0.19*0.121+0.25*0.244)/(0.19+0.25)</f>
        <v>4.7721590909090908E-2</v>
      </c>
      <c r="V24" s="159">
        <f>K24*(0.19*0.543+0.25*0.25)/(0.19+0.25)</f>
        <v>9.4130681818181822E-2</v>
      </c>
      <c r="W24" s="159">
        <f>K24*(0.19*0.369+0.25*0.142)/(0.19+0.25)</f>
        <v>6.0005681818181826E-2</v>
      </c>
      <c r="X24" s="438"/>
      <c r="Y24" s="438"/>
      <c r="Z24" s="438">
        <f t="shared" si="5"/>
        <v>0</v>
      </c>
    </row>
    <row r="28" spans="1:26" x14ac:dyDescent="0.25">
      <c r="A28" s="317"/>
    </row>
  </sheetData>
  <sortState ref="A4:Z24">
    <sortCondition descending="1" ref="Z4:Z24"/>
    <sortCondition descending="1" ref="X4:X24"/>
    <sortCondition descending="1" ref="Y4:Y24"/>
  </sortState>
  <conditionalFormatting sqref="D4:J24">
    <cfRule type="colorScale" priority="1302">
      <colorScale>
        <cfvo type="min"/>
        <cfvo type="max"/>
        <color rgb="FFFCFCFF"/>
        <color rgb="FFF8696B"/>
      </colorScale>
    </cfRule>
  </conditionalFormatting>
  <conditionalFormatting sqref="K4:W24">
    <cfRule type="colorScale" priority="1304">
      <colorScale>
        <cfvo type="min"/>
        <cfvo type="max"/>
        <color rgb="FFFFEF9C"/>
        <color rgb="FF63BE7B"/>
      </colorScale>
    </cfRule>
  </conditionalFormatting>
  <conditionalFormatting sqref="X4:X24">
    <cfRule type="dataBar" priority="1306">
      <dataBar>
        <cfvo type="min"/>
        <cfvo type="max"/>
        <color rgb="FF008AEF"/>
      </dataBar>
      <extLst>
        <ext xmlns:x14="http://schemas.microsoft.com/office/spreadsheetml/2009/9/main" uri="{B025F937-C7B1-47D3-B67F-A62EFF666E3E}">
          <x14:id>{9426DB89-85FD-4792-83EF-D61D488930F2}</x14:id>
        </ext>
      </extLst>
    </cfRule>
  </conditionalFormatting>
  <conditionalFormatting sqref="Y4:Z24">
    <cfRule type="dataBar" priority="1308">
      <dataBar>
        <cfvo type="min"/>
        <cfvo type="max"/>
        <color rgb="FF008AEF"/>
      </dataBar>
      <extLst>
        <ext xmlns:x14="http://schemas.microsoft.com/office/spreadsheetml/2009/9/main" uri="{B025F937-C7B1-47D3-B67F-A62EFF666E3E}">
          <x14:id>{C23476FD-F522-405C-9B9C-54EF35DAB9BC}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27" t="s">
        <v>270</v>
      </c>
      <c r="C59" s="213" t="s">
        <v>179</v>
      </c>
      <c r="D59" s="728" t="s">
        <v>271</v>
      </c>
      <c r="E59" s="728" t="s">
        <v>271</v>
      </c>
      <c r="F59" s="214" t="s">
        <v>272</v>
      </c>
      <c r="H59" s="299" t="s">
        <v>273</v>
      </c>
    </row>
    <row r="60" spans="1:24" ht="23.25" x14ac:dyDescent="0.25">
      <c r="A60" s="215">
        <v>18</v>
      </c>
      <c r="B60" s="727"/>
      <c r="C60" s="213" t="s">
        <v>274</v>
      </c>
      <c r="D60" s="728"/>
      <c r="E60" s="728"/>
      <c r="F60" s="214" t="s">
        <v>275</v>
      </c>
      <c r="H60" s="298" t="s">
        <v>276</v>
      </c>
    </row>
    <row r="61" spans="1:24" x14ac:dyDescent="0.25">
      <c r="A61" s="212">
        <v>19</v>
      </c>
      <c r="B61" s="727"/>
      <c r="C61" s="216"/>
      <c r="D61" s="728"/>
      <c r="E61" s="728"/>
      <c r="F61" s="217"/>
      <c r="H61" s="298" t="s">
        <v>277</v>
      </c>
      <c r="I61" s="158"/>
    </row>
    <row r="62" spans="1:24" ht="23.25" x14ac:dyDescent="0.25">
      <c r="A62" s="215">
        <v>20</v>
      </c>
      <c r="B62" s="727"/>
      <c r="C62" s="214" t="s">
        <v>271</v>
      </c>
      <c r="D62" s="729" t="s">
        <v>272</v>
      </c>
      <c r="E62" s="214" t="s">
        <v>272</v>
      </c>
      <c r="F62" s="217"/>
      <c r="H62" s="298" t="s">
        <v>278</v>
      </c>
    </row>
    <row r="63" spans="1:24" ht="23.25" x14ac:dyDescent="0.25">
      <c r="A63" s="212">
        <v>21</v>
      </c>
      <c r="B63" s="730" t="s">
        <v>179</v>
      </c>
      <c r="C63" s="214" t="s">
        <v>279</v>
      </c>
      <c r="D63" s="729"/>
      <c r="E63" s="214" t="s">
        <v>275</v>
      </c>
      <c r="F63" s="217"/>
      <c r="H63" s="298" t="s">
        <v>280</v>
      </c>
    </row>
    <row r="64" spans="1:24" x14ac:dyDescent="0.25">
      <c r="A64" s="215">
        <v>22</v>
      </c>
      <c r="B64" s="730"/>
      <c r="C64" s="217"/>
      <c r="D64" s="729"/>
      <c r="E64" s="217"/>
      <c r="F64" s="217"/>
      <c r="H64" s="298" t="s">
        <v>281</v>
      </c>
    </row>
    <row r="65" spans="1:8" x14ac:dyDescent="0.25">
      <c r="A65" s="212">
        <v>23</v>
      </c>
      <c r="B65" s="730"/>
      <c r="C65" s="217"/>
      <c r="D65" s="729"/>
      <c r="E65" s="217"/>
      <c r="F65" s="217"/>
    </row>
    <row r="66" spans="1:8" x14ac:dyDescent="0.25">
      <c r="A66" s="215">
        <v>24</v>
      </c>
      <c r="B66" s="730"/>
      <c r="C66" s="217"/>
      <c r="D66" s="729"/>
      <c r="E66" s="217"/>
      <c r="F66" s="217"/>
      <c r="H66" s="298" t="s">
        <v>282</v>
      </c>
    </row>
    <row r="67" spans="1:8" x14ac:dyDescent="0.25">
      <c r="A67" s="212">
        <v>25</v>
      </c>
      <c r="B67" s="730"/>
      <c r="C67" s="217"/>
      <c r="D67" s="728" t="s">
        <v>271</v>
      </c>
      <c r="E67" s="217"/>
      <c r="F67" s="217"/>
      <c r="H67" s="298" t="s">
        <v>283</v>
      </c>
    </row>
    <row r="68" spans="1:8" x14ac:dyDescent="0.25">
      <c r="A68" s="215">
        <v>26</v>
      </c>
      <c r="B68" s="730"/>
      <c r="C68" s="728" t="s">
        <v>271</v>
      </c>
      <c r="D68" s="728"/>
      <c r="E68" s="217"/>
      <c r="F68" s="217"/>
    </row>
    <row r="69" spans="1:8" x14ac:dyDescent="0.25">
      <c r="A69" s="212">
        <v>27</v>
      </c>
      <c r="B69" s="727" t="s">
        <v>270</v>
      </c>
      <c r="C69" s="728"/>
      <c r="D69" s="728"/>
      <c r="E69" s="217"/>
      <c r="F69" s="217"/>
    </row>
    <row r="70" spans="1:8" x14ac:dyDescent="0.25">
      <c r="A70" s="215">
        <v>28</v>
      </c>
      <c r="B70" s="727"/>
      <c r="C70" s="730" t="s">
        <v>179</v>
      </c>
      <c r="D70" s="728"/>
      <c r="E70" s="217"/>
      <c r="F70" s="217"/>
      <c r="H70" s="298" t="s">
        <v>284</v>
      </c>
    </row>
    <row r="71" spans="1:8" x14ac:dyDescent="0.25">
      <c r="A71" s="212">
        <v>29</v>
      </c>
      <c r="B71" s="727"/>
      <c r="C71" s="730"/>
      <c r="D71" s="728"/>
      <c r="E71" s="217"/>
      <c r="F71" s="217"/>
    </row>
    <row r="72" spans="1:8" x14ac:dyDescent="0.25">
      <c r="A72" s="215">
        <v>30</v>
      </c>
      <c r="B72" s="727"/>
      <c r="C72" s="730"/>
      <c r="D72" s="730" t="s">
        <v>179</v>
      </c>
      <c r="E72" s="217"/>
      <c r="F72" s="217"/>
      <c r="H72" s="298" t="s">
        <v>285</v>
      </c>
    </row>
    <row r="73" spans="1:8" x14ac:dyDescent="0.25">
      <c r="A73" s="212">
        <v>31</v>
      </c>
      <c r="B73" s="727"/>
      <c r="C73" s="730"/>
      <c r="D73" s="730"/>
      <c r="E73" s="214" t="s">
        <v>271</v>
      </c>
      <c r="F73" s="217"/>
    </row>
    <row r="74" spans="1:8" ht="23.25" x14ac:dyDescent="0.25">
      <c r="A74" s="215">
        <v>32</v>
      </c>
      <c r="B74" s="727"/>
      <c r="C74" s="730"/>
      <c r="D74" s="730"/>
      <c r="E74" s="214" t="s">
        <v>279</v>
      </c>
      <c r="F74" s="217"/>
      <c r="H74" s="298" t="s">
        <v>286</v>
      </c>
    </row>
    <row r="75" spans="1:8" ht="23.25" x14ac:dyDescent="0.25">
      <c r="A75" s="212">
        <v>33</v>
      </c>
      <c r="B75" s="727"/>
      <c r="C75" s="727" t="s">
        <v>270</v>
      </c>
      <c r="D75" s="730"/>
      <c r="E75" s="213" t="s">
        <v>179</v>
      </c>
      <c r="F75" s="213" t="s">
        <v>179</v>
      </c>
    </row>
    <row r="76" spans="1:8" x14ac:dyDescent="0.25">
      <c r="A76" s="215">
        <v>34</v>
      </c>
      <c r="B76" s="731" t="s">
        <v>287</v>
      </c>
      <c r="C76" s="727"/>
      <c r="D76" s="730"/>
      <c r="E76" s="213" t="s">
        <v>274</v>
      </c>
      <c r="F76" s="213" t="s">
        <v>274</v>
      </c>
      <c r="H76" s="298" t="s">
        <v>288</v>
      </c>
    </row>
    <row r="77" spans="1:8" x14ac:dyDescent="0.25">
      <c r="A77" s="212">
        <v>35</v>
      </c>
      <c r="B77" s="731"/>
      <c r="C77" s="731" t="s">
        <v>287</v>
      </c>
      <c r="D77" s="727" t="s">
        <v>270</v>
      </c>
      <c r="E77" s="727" t="s">
        <v>270</v>
      </c>
      <c r="F77" s="216"/>
    </row>
    <row r="78" spans="1:8" ht="23.25" x14ac:dyDescent="0.25">
      <c r="A78" s="215">
        <v>36</v>
      </c>
      <c r="B78" s="731"/>
      <c r="C78" s="731"/>
      <c r="D78" s="727"/>
      <c r="E78" s="727"/>
      <c r="F78" s="218" t="s">
        <v>270</v>
      </c>
      <c r="H78" s="298" t="s">
        <v>289</v>
      </c>
    </row>
    <row r="79" spans="1:8" x14ac:dyDescent="0.25">
      <c r="A79" s="726" t="s">
        <v>290</v>
      </c>
      <c r="B79" s="726"/>
      <c r="C79" s="726"/>
      <c r="D79" s="726"/>
      <c r="E79" s="726"/>
      <c r="F79" s="726"/>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405" priority="3" operator="greaterThan">
      <formula>6.99</formula>
    </cfRule>
    <cfRule type="cellIs" dxfId="404"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8"/>
  <sheetViews>
    <sheetView workbookViewId="0">
      <selection activeCell="M20" sqref="M20"/>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6.42578125" bestFit="1" customWidth="1"/>
    <col min="26" max="26" width="15.42578125" customWidth="1"/>
    <col min="27" max="27" width="12" bestFit="1" customWidth="1"/>
    <col min="30" max="30" width="6" bestFit="1" customWidth="1"/>
    <col min="31" max="31" width="13.7109375" bestFit="1" customWidth="1"/>
    <col min="33" max="33" width="5.7109375" bestFit="1" customWidth="1"/>
    <col min="34" max="34" width="13.7109375" bestFit="1" customWidth="1"/>
  </cols>
  <sheetData>
    <row r="1" spans="1:34" x14ac:dyDescent="0.25">
      <c r="A1" t="s">
        <v>1006</v>
      </c>
      <c r="AD1" t="s">
        <v>1007</v>
      </c>
      <c r="AG1" t="s">
        <v>1008</v>
      </c>
    </row>
    <row r="2" spans="1:34" x14ac:dyDescent="0.25">
      <c r="A2" s="317">
        <v>42585</v>
      </c>
      <c r="X2" s="659">
        <f>SUM(X4:X24)</f>
        <v>0.29648337773337768</v>
      </c>
      <c r="Y2" s="659">
        <f t="shared" ref="Y2:AA2" si="0">SUM(Y4:Y24)</f>
        <v>0.40050209235209228</v>
      </c>
      <c r="Z2" s="659"/>
      <c r="AA2" s="438">
        <f t="shared" si="0"/>
        <v>0.65900637556887554</v>
      </c>
      <c r="AD2" s="528" t="s">
        <v>316</v>
      </c>
      <c r="AE2" s="528" t="s">
        <v>182</v>
      </c>
      <c r="AG2" s="528" t="s">
        <v>316</v>
      </c>
      <c r="AH2" s="528" t="s">
        <v>182</v>
      </c>
    </row>
    <row r="3" spans="1:34"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A3" s="656" t="s">
        <v>1012</v>
      </c>
      <c r="AD3" t="s">
        <v>1</v>
      </c>
      <c r="AE3" t="s">
        <v>934</v>
      </c>
      <c r="AG3" t="s">
        <v>1</v>
      </c>
      <c r="AH3" t="s">
        <v>934</v>
      </c>
    </row>
    <row r="4" spans="1:34" x14ac:dyDescent="0.25">
      <c r="A4" s="665" t="str">
        <f>PLANTILLA!D14</f>
        <v>S. Zobbe</v>
      </c>
      <c r="B4" s="5">
        <f>PLANTILLA!E14</f>
        <v>27</v>
      </c>
      <c r="C4" s="5">
        <f ca="1">PLANTILLA!F14</f>
        <v>24</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f t="shared" ref="L4:L18" si="1">K4/2</f>
        <v>7.1428571428571425E-2</v>
      </c>
      <c r="M4" s="363">
        <f t="shared" ref="M4:M18" si="2">K4/8</f>
        <v>1.7857142857142856E-2</v>
      </c>
      <c r="N4" s="163">
        <v>0</v>
      </c>
      <c r="O4" s="159">
        <v>0</v>
      </c>
      <c r="P4" s="159">
        <v>0</v>
      </c>
      <c r="Q4" s="159">
        <f t="shared" ref="Q4:Q18" si="3">K4*0.286</f>
        <v>4.0857142857142849E-2</v>
      </c>
      <c r="R4" s="159">
        <f t="shared" ref="R4:R18" si="4">K4*(0.588*0.25+0.19*0)/(0.25+0.19)</f>
        <v>4.7727272727272722E-2</v>
      </c>
      <c r="S4" s="159">
        <v>0</v>
      </c>
      <c r="T4" s="159">
        <f t="shared" ref="T4:T18" si="5">K4*(0.574*0.25+0.19*0)/(0.25+0.19)</f>
        <v>4.6590909090909086E-2</v>
      </c>
      <c r="U4" s="159">
        <f t="shared" ref="U4:U18" si="6">K4*(0.864*0.25+0.19*0)/(0.25+0.19)</f>
        <v>7.0129870129870125E-2</v>
      </c>
      <c r="V4" s="159">
        <f t="shared" ref="V4:V18" si="7">K4*(0.144*0.25+0.19*0)/(0.25+0.19)</f>
        <v>1.1688311688311687E-2</v>
      </c>
      <c r="W4" s="159">
        <f t="shared" ref="W4:W18" si="8">K4*(0.221*0.25+0.19*0)/(0.25+0.19)</f>
        <v>1.7938311688311687E-2</v>
      </c>
      <c r="X4" s="438">
        <f>V4</f>
        <v>1.1688311688311687E-2</v>
      </c>
      <c r="Y4" s="438">
        <f>U4</f>
        <v>7.0129870129870125E-2</v>
      </c>
      <c r="Z4" s="438">
        <f t="shared" ref="Z4:Z24" si="9">MAX(Y4,X4)</f>
        <v>7.0129870129870125E-2</v>
      </c>
      <c r="AA4" s="438">
        <f>U4</f>
        <v>7.0129870129870125E-2</v>
      </c>
      <c r="AD4" t="s">
        <v>973</v>
      </c>
      <c r="AE4" s="689" t="s">
        <v>1027</v>
      </c>
      <c r="AG4" t="s">
        <v>973</v>
      </c>
      <c r="AH4" s="689" t="str">
        <f>AE4</f>
        <v>B. Pinczehelyi</v>
      </c>
    </row>
    <row r="5" spans="1:34" x14ac:dyDescent="0.25">
      <c r="A5" s="665" t="str">
        <f>PLANTILLA!D10</f>
        <v>B. Bartolache</v>
      </c>
      <c r="B5" s="5">
        <f>PLANTILLA!E10</f>
        <v>30</v>
      </c>
      <c r="C5" s="5">
        <f ca="1">PLANTILLA!F10</f>
        <v>85</v>
      </c>
      <c r="D5" s="163">
        <f>PLANTILLA!V10</f>
        <v>0</v>
      </c>
      <c r="E5" s="163">
        <f>PLANTILLA!W10</f>
        <v>11.649999999999997</v>
      </c>
      <c r="F5" s="163">
        <f>PLANTILLA!X10</f>
        <v>6.6275000000000022</v>
      </c>
      <c r="G5" s="163">
        <f>PLANTILLA!Y10</f>
        <v>7.2200000000000015</v>
      </c>
      <c r="H5" s="163">
        <f>PLANTILLA!Z10</f>
        <v>9.0199999999999978</v>
      </c>
      <c r="I5" s="163">
        <f>PLANTILLA!AA10</f>
        <v>4.6199999999999966</v>
      </c>
      <c r="J5" s="163">
        <f>PLANTILLA!AB10</f>
        <v>15.6</v>
      </c>
      <c r="K5" s="363">
        <f>1/5</f>
        <v>0.2</v>
      </c>
      <c r="L5" s="363">
        <f t="shared" si="1"/>
        <v>0.1</v>
      </c>
      <c r="M5" s="363">
        <f t="shared" si="2"/>
        <v>2.5000000000000001E-2</v>
      </c>
      <c r="N5" s="163">
        <v>0</v>
      </c>
      <c r="O5" s="159">
        <v>0</v>
      </c>
      <c r="P5" s="159">
        <v>0</v>
      </c>
      <c r="Q5" s="159">
        <f t="shared" si="3"/>
        <v>5.7200000000000001E-2</v>
      </c>
      <c r="R5" s="159">
        <f t="shared" si="4"/>
        <v>6.6818181818181818E-2</v>
      </c>
      <c r="S5" s="159">
        <v>0</v>
      </c>
      <c r="T5" s="159">
        <f t="shared" si="5"/>
        <v>6.5227272727272731E-2</v>
      </c>
      <c r="U5" s="159">
        <f t="shared" si="6"/>
        <v>9.818181818181819E-2</v>
      </c>
      <c r="V5" s="159">
        <f t="shared" si="7"/>
        <v>1.6363636363636361E-2</v>
      </c>
      <c r="W5" s="159">
        <f t="shared" si="8"/>
        <v>2.5113636363636366E-2</v>
      </c>
      <c r="X5" s="438"/>
      <c r="Y5" s="438">
        <f>Q5</f>
        <v>5.7200000000000001E-2</v>
      </c>
      <c r="Z5" s="438">
        <f t="shared" si="9"/>
        <v>5.7200000000000001E-2</v>
      </c>
      <c r="AA5" s="438">
        <f>R5</f>
        <v>6.6818181818181818E-2</v>
      </c>
      <c r="AD5" t="s">
        <v>974</v>
      </c>
      <c r="AE5" t="s">
        <v>312</v>
      </c>
      <c r="AG5" t="s">
        <v>985</v>
      </c>
      <c r="AH5" t="s">
        <v>313</v>
      </c>
    </row>
    <row r="6" spans="1:34" x14ac:dyDescent="0.25">
      <c r="A6" s="665" t="str">
        <f>PLANTILLA!D8</f>
        <v>D. Toh</v>
      </c>
      <c r="B6" s="5">
        <f>PLANTILLA!E8</f>
        <v>31</v>
      </c>
      <c r="C6" s="5">
        <f ca="1">PLANTILLA!F8</f>
        <v>34</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1/5</f>
        <v>0.2</v>
      </c>
      <c r="L6" s="363">
        <f t="shared" si="1"/>
        <v>0.1</v>
      </c>
      <c r="M6" s="363">
        <f t="shared" si="2"/>
        <v>2.5000000000000001E-2</v>
      </c>
      <c r="N6" s="163">
        <v>0</v>
      </c>
      <c r="O6" s="159">
        <v>0</v>
      </c>
      <c r="P6" s="159">
        <v>0</v>
      </c>
      <c r="Q6" s="159">
        <f t="shared" si="3"/>
        <v>5.7200000000000001E-2</v>
      </c>
      <c r="R6" s="159">
        <f t="shared" si="4"/>
        <v>6.6818181818181818E-2</v>
      </c>
      <c r="S6" s="159">
        <v>0</v>
      </c>
      <c r="T6" s="159">
        <f t="shared" si="5"/>
        <v>6.5227272727272731E-2</v>
      </c>
      <c r="U6" s="159">
        <f t="shared" si="6"/>
        <v>9.818181818181819E-2</v>
      </c>
      <c r="V6" s="159">
        <f t="shared" si="7"/>
        <v>1.6363636363636361E-2</v>
      </c>
      <c r="W6" s="159">
        <f t="shared" si="8"/>
        <v>2.5113636363636366E-2</v>
      </c>
      <c r="X6" s="438"/>
      <c r="Y6" s="438">
        <f>Q6</f>
        <v>5.7200000000000001E-2</v>
      </c>
      <c r="Z6" s="438">
        <f t="shared" si="9"/>
        <v>5.7200000000000001E-2</v>
      </c>
      <c r="AA6" s="438"/>
      <c r="AD6" t="s">
        <v>973</v>
      </c>
      <c r="AE6" t="s">
        <v>309</v>
      </c>
      <c r="AG6" t="s">
        <v>984</v>
      </c>
      <c r="AH6" t="s">
        <v>309</v>
      </c>
    </row>
    <row r="7" spans="1:34" x14ac:dyDescent="0.25">
      <c r="A7" s="665" t="str">
        <f>PLANTILLA!D13</f>
        <v>K. Helms</v>
      </c>
      <c r="B7" s="5">
        <f>PLANTILLA!E13</f>
        <v>30</v>
      </c>
      <c r="C7" s="5">
        <f ca="1">PLANTILLA!F13</f>
        <v>9</v>
      </c>
      <c r="D7" s="163">
        <f>PLANTILLA!V13</f>
        <v>0</v>
      </c>
      <c r="E7" s="163">
        <f>PLANTILLA!W13</f>
        <v>7.11</v>
      </c>
      <c r="F7" s="163">
        <f>PLANTILLA!X13</f>
        <v>10.250000000000004</v>
      </c>
      <c r="G7" s="163">
        <f>PLANTILLA!Y13</f>
        <v>13.305</v>
      </c>
      <c r="H7" s="163">
        <f>PLANTILLA!Z13</f>
        <v>10.289999999999997</v>
      </c>
      <c r="I7" s="163">
        <f>PLANTILLA!AA13</f>
        <v>5.4050000000000002</v>
      </c>
      <c r="J7" s="163">
        <f>PLANTILLA!AB13</f>
        <v>17.300000000000004</v>
      </c>
      <c r="K7" s="363">
        <f>1/9</f>
        <v>0.1111111111111111</v>
      </c>
      <c r="L7" s="363">
        <f t="shared" si="1"/>
        <v>5.5555555555555552E-2</v>
      </c>
      <c r="M7" s="363">
        <f t="shared" si="2"/>
        <v>1.3888888888888888E-2</v>
      </c>
      <c r="N7" s="163">
        <v>0</v>
      </c>
      <c r="O7" s="159">
        <v>0</v>
      </c>
      <c r="P7" s="159">
        <v>0</v>
      </c>
      <c r="Q7" s="159">
        <f t="shared" si="3"/>
        <v>3.1777777777777773E-2</v>
      </c>
      <c r="R7" s="159">
        <f t="shared" si="4"/>
        <v>3.7121212121212117E-2</v>
      </c>
      <c r="S7" s="159">
        <v>0</v>
      </c>
      <c r="T7" s="159">
        <f t="shared" si="5"/>
        <v>3.6237373737373728E-2</v>
      </c>
      <c r="U7" s="159">
        <f t="shared" si="6"/>
        <v>5.4545454545454536E-2</v>
      </c>
      <c r="V7" s="159">
        <f t="shared" si="7"/>
        <v>9.0909090909090887E-3</v>
      </c>
      <c r="W7" s="159">
        <f t="shared" si="8"/>
        <v>1.39520202020202E-2</v>
      </c>
      <c r="X7" s="438">
        <f>U7</f>
        <v>5.4545454545454536E-2</v>
      </c>
      <c r="Y7" s="438">
        <f>U7</f>
        <v>5.4545454545454536E-2</v>
      </c>
      <c r="Z7" s="438">
        <f t="shared" si="9"/>
        <v>5.4545454545454536E-2</v>
      </c>
      <c r="AA7" s="438">
        <f>U7</f>
        <v>5.4545454545454536E-2</v>
      </c>
      <c r="AD7" t="s">
        <v>596</v>
      </c>
      <c r="AE7" t="s">
        <v>754</v>
      </c>
      <c r="AG7" t="s">
        <v>985</v>
      </c>
      <c r="AH7" t="s">
        <v>315</v>
      </c>
    </row>
    <row r="8" spans="1:34" x14ac:dyDescent="0.25">
      <c r="A8" s="667" t="str">
        <f>PLANTILLA!D12</f>
        <v>E. Romweber</v>
      </c>
      <c r="B8" s="5">
        <f>PLANTILLA!E12</f>
        <v>30</v>
      </c>
      <c r="C8" s="5">
        <f ca="1">PLANTILLA!F12</f>
        <v>62</v>
      </c>
      <c r="D8" s="163">
        <f>PLANTILLA!V12</f>
        <v>0</v>
      </c>
      <c r="E8" s="163">
        <f>PLANTILLA!W12</f>
        <v>11.99</v>
      </c>
      <c r="F8" s="163">
        <f>PLANTILLA!X12</f>
        <v>12.399111111111115</v>
      </c>
      <c r="G8" s="163">
        <f>PLANTILLA!Y12</f>
        <v>13.05</v>
      </c>
      <c r="H8" s="163">
        <f>PLANTILLA!Z12</f>
        <v>10.84</v>
      </c>
      <c r="I8" s="163">
        <f>PLANTILLA!AA12</f>
        <v>7.7700000000000005</v>
      </c>
      <c r="J8" s="163">
        <f>PLANTILLA!AB12</f>
        <v>17.13</v>
      </c>
      <c r="K8" s="363">
        <f>1/9</f>
        <v>0.1111111111111111</v>
      </c>
      <c r="L8" s="363">
        <f t="shared" si="1"/>
        <v>5.5555555555555552E-2</v>
      </c>
      <c r="M8" s="363">
        <f t="shared" si="2"/>
        <v>1.3888888888888888E-2</v>
      </c>
      <c r="N8" s="163">
        <v>0</v>
      </c>
      <c r="O8" s="159">
        <v>0</v>
      </c>
      <c r="P8" s="159">
        <v>0</v>
      </c>
      <c r="Q8" s="159">
        <f t="shared" si="3"/>
        <v>3.1777777777777773E-2</v>
      </c>
      <c r="R8" s="159">
        <f t="shared" si="4"/>
        <v>3.7121212121212117E-2</v>
      </c>
      <c r="S8" s="159">
        <v>0</v>
      </c>
      <c r="T8" s="159">
        <f t="shared" si="5"/>
        <v>3.6237373737373728E-2</v>
      </c>
      <c r="U8" s="159">
        <f t="shared" si="6"/>
        <v>5.4545454545454536E-2</v>
      </c>
      <c r="V8" s="159">
        <f t="shared" si="7"/>
        <v>9.0909090909090887E-3</v>
      </c>
      <c r="W8" s="159">
        <f t="shared" si="8"/>
        <v>1.39520202020202E-2</v>
      </c>
      <c r="X8" s="438">
        <f>U8</f>
        <v>5.4545454545454536E-2</v>
      </c>
      <c r="Y8" s="438">
        <f>R8</f>
        <v>3.7121212121212117E-2</v>
      </c>
      <c r="Z8" s="438">
        <f t="shared" si="9"/>
        <v>5.4545454545454536E-2</v>
      </c>
      <c r="AA8" s="438">
        <f>U8</f>
        <v>5.4545454545454536E-2</v>
      </c>
      <c r="AD8" t="s">
        <v>975</v>
      </c>
      <c r="AE8" t="s">
        <v>440</v>
      </c>
      <c r="AG8" t="s">
        <v>973</v>
      </c>
      <c r="AH8" t="s">
        <v>986</v>
      </c>
    </row>
    <row r="9" spans="1:34" x14ac:dyDescent="0.25">
      <c r="A9" s="667" t="str">
        <f>PLANTILLA!D9</f>
        <v>E. Toney</v>
      </c>
      <c r="B9" s="5">
        <f>PLANTILLA!E9</f>
        <v>30</v>
      </c>
      <c r="C9" s="5">
        <f ca="1">PLANTILLA!F9</f>
        <v>100</v>
      </c>
      <c r="D9" s="163">
        <f>PLANTILLA!V9</f>
        <v>0</v>
      </c>
      <c r="E9" s="163">
        <f>PLANTILLA!W9</f>
        <v>12.060000000000004</v>
      </c>
      <c r="F9" s="163">
        <f>PLANTILLA!X9</f>
        <v>13.020999999999999</v>
      </c>
      <c r="G9" s="163">
        <f>PLANTILLA!Y9</f>
        <v>9.7100000000000062</v>
      </c>
      <c r="H9" s="163">
        <f>PLANTILLA!Z9</f>
        <v>9.5299999999999994</v>
      </c>
      <c r="I9" s="163">
        <f>PLANTILLA!AA9</f>
        <v>3.6816666666666658</v>
      </c>
      <c r="J9" s="163">
        <f>PLANTILLA!AB9</f>
        <v>16.627777777777773</v>
      </c>
      <c r="K9" s="363">
        <f>1/6.5</f>
        <v>0.15384615384615385</v>
      </c>
      <c r="L9" s="363">
        <f t="shared" si="1"/>
        <v>7.6923076923076927E-2</v>
      </c>
      <c r="M9" s="363">
        <f t="shared" si="2"/>
        <v>1.9230769230769232E-2</v>
      </c>
      <c r="N9" s="163">
        <v>0</v>
      </c>
      <c r="O9" s="159">
        <v>0</v>
      </c>
      <c r="P9" s="159">
        <v>0</v>
      </c>
      <c r="Q9" s="159">
        <f t="shared" si="3"/>
        <v>4.3999999999999997E-2</v>
      </c>
      <c r="R9" s="159">
        <f t="shared" si="4"/>
        <v>5.1398601398601404E-2</v>
      </c>
      <c r="S9" s="159">
        <v>0</v>
      </c>
      <c r="T9" s="159">
        <f t="shared" si="5"/>
        <v>5.0174825174825174E-2</v>
      </c>
      <c r="U9" s="159">
        <f t="shared" si="6"/>
        <v>7.5524475524475526E-2</v>
      </c>
      <c r="V9" s="159">
        <f t="shared" si="7"/>
        <v>1.2587412587412587E-2</v>
      </c>
      <c r="W9" s="159">
        <f t="shared" si="8"/>
        <v>1.9318181818181821E-2</v>
      </c>
      <c r="X9" s="438">
        <f>R9</f>
        <v>5.1398601398601404E-2</v>
      </c>
      <c r="Y9" s="438">
        <f>O9</f>
        <v>0</v>
      </c>
      <c r="Z9" s="438">
        <f t="shared" si="9"/>
        <v>5.1398601398601404E-2</v>
      </c>
      <c r="AA9" s="438">
        <f>R9</f>
        <v>5.1398601398601404E-2</v>
      </c>
      <c r="AD9" t="s">
        <v>596</v>
      </c>
      <c r="AE9" t="s">
        <v>325</v>
      </c>
      <c r="AG9" t="s">
        <v>596</v>
      </c>
      <c r="AH9" t="s">
        <v>325</v>
      </c>
    </row>
    <row r="10" spans="1:34" x14ac:dyDescent="0.25">
      <c r="A10" s="667" t="str">
        <f>PLANTILLA!D16</f>
        <v>C. Rojas</v>
      </c>
      <c r="B10" s="5">
        <f>PLANTILLA!E16</f>
        <v>31</v>
      </c>
      <c r="C10" s="5">
        <f ca="1">PLANTILLA!F16</f>
        <v>55</v>
      </c>
      <c r="D10" s="163">
        <f>PLANTILLA!V16</f>
        <v>0</v>
      </c>
      <c r="E10" s="163">
        <f>PLANTILLA!W16</f>
        <v>8.6075555555555585</v>
      </c>
      <c r="F10" s="163">
        <f>PLANTILLA!X16</f>
        <v>14.09516031746031</v>
      </c>
      <c r="G10" s="163">
        <f>PLANTILLA!Y16</f>
        <v>10.049999999999995</v>
      </c>
      <c r="H10" s="163">
        <f>PLANTILLA!Z16</f>
        <v>10.029999999999999</v>
      </c>
      <c r="I10" s="163">
        <f>PLANTILLA!AA16</f>
        <v>4.3999999999999995</v>
      </c>
      <c r="J10" s="163">
        <f>PLANTILLA!AB16</f>
        <v>16.544444444444441</v>
      </c>
      <c r="K10" s="363">
        <f>1/7</f>
        <v>0.14285714285714285</v>
      </c>
      <c r="L10" s="363">
        <f t="shared" si="1"/>
        <v>7.1428571428571425E-2</v>
      </c>
      <c r="M10" s="363">
        <f t="shared" si="2"/>
        <v>1.7857142857142856E-2</v>
      </c>
      <c r="N10" s="163">
        <v>0</v>
      </c>
      <c r="O10" s="159">
        <v>0</v>
      </c>
      <c r="P10" s="159">
        <v>0</v>
      </c>
      <c r="Q10" s="159">
        <f t="shared" si="3"/>
        <v>4.0857142857142849E-2</v>
      </c>
      <c r="R10" s="159">
        <f t="shared" si="4"/>
        <v>4.7727272727272722E-2</v>
      </c>
      <c r="S10" s="159">
        <v>0</v>
      </c>
      <c r="T10" s="159">
        <f t="shared" si="5"/>
        <v>4.6590909090909086E-2</v>
      </c>
      <c r="U10" s="159">
        <f t="shared" si="6"/>
        <v>7.0129870129870125E-2</v>
      </c>
      <c r="V10" s="159">
        <f t="shared" si="7"/>
        <v>1.1688311688311687E-2</v>
      </c>
      <c r="W10" s="159">
        <f t="shared" si="8"/>
        <v>1.7938311688311687E-2</v>
      </c>
      <c r="X10" s="438">
        <f>T10</f>
        <v>4.6590909090909086E-2</v>
      </c>
      <c r="Y10" s="438">
        <f>T10</f>
        <v>4.6590909090909086E-2</v>
      </c>
      <c r="Z10" s="438">
        <f t="shared" si="9"/>
        <v>4.6590909090909086E-2</v>
      </c>
      <c r="AA10" s="438">
        <f>T10</f>
        <v>4.6590909090909086E-2</v>
      </c>
      <c r="AD10" t="s">
        <v>976</v>
      </c>
      <c r="AE10" t="s">
        <v>986</v>
      </c>
      <c r="AG10" t="s">
        <v>596</v>
      </c>
      <c r="AH10" t="s">
        <v>754</v>
      </c>
    </row>
    <row r="11" spans="1:34" x14ac:dyDescent="0.25">
      <c r="A11" s="667" t="str">
        <f>PLANTILLA!D15</f>
        <v>S. Buschelman</v>
      </c>
      <c r="B11" s="5">
        <f>PLANTILLA!E15</f>
        <v>29</v>
      </c>
      <c r="C11" s="5">
        <f ca="1">PLANTILLA!F15</f>
        <v>21</v>
      </c>
      <c r="D11" s="163">
        <f>PLANTILLA!V15</f>
        <v>0</v>
      </c>
      <c r="E11" s="163">
        <f>PLANTILLA!W15</f>
        <v>9.0936666666666657</v>
      </c>
      <c r="F11" s="163">
        <f>PLANTILLA!X15</f>
        <v>13.499999999999998</v>
      </c>
      <c r="G11" s="163">
        <f>PLANTILLA!Y15</f>
        <v>12.725000000000001</v>
      </c>
      <c r="H11" s="163">
        <f>PLANTILLA!Z15</f>
        <v>9.6033333333333353</v>
      </c>
      <c r="I11" s="163">
        <f>PLANTILLA!AA15</f>
        <v>5.0296666666666656</v>
      </c>
      <c r="J11" s="163">
        <f>PLANTILLA!AB15</f>
        <v>15.2</v>
      </c>
      <c r="K11" s="363">
        <f>1/9</f>
        <v>0.1111111111111111</v>
      </c>
      <c r="L11" s="363">
        <f t="shared" si="1"/>
        <v>5.5555555555555552E-2</v>
      </c>
      <c r="M11" s="363">
        <f t="shared" si="2"/>
        <v>1.3888888888888888E-2</v>
      </c>
      <c r="N11" s="163">
        <v>0</v>
      </c>
      <c r="O11" s="159">
        <v>0</v>
      </c>
      <c r="P11" s="159">
        <v>0</v>
      </c>
      <c r="Q11" s="159">
        <f t="shared" si="3"/>
        <v>3.1777777777777773E-2</v>
      </c>
      <c r="R11" s="159">
        <f t="shared" si="4"/>
        <v>3.7121212121212117E-2</v>
      </c>
      <c r="S11" s="159">
        <v>0</v>
      </c>
      <c r="T11" s="159">
        <f t="shared" si="5"/>
        <v>3.6237373737373728E-2</v>
      </c>
      <c r="U11" s="159">
        <f t="shared" si="6"/>
        <v>5.4545454545454536E-2</v>
      </c>
      <c r="V11" s="159">
        <f t="shared" si="7"/>
        <v>9.0909090909090887E-3</v>
      </c>
      <c r="W11" s="159">
        <f t="shared" si="8"/>
        <v>1.39520202020202E-2</v>
      </c>
      <c r="X11" s="438">
        <f>T11</f>
        <v>3.6237373737373728E-2</v>
      </c>
      <c r="Y11" s="438">
        <f>T11</f>
        <v>3.6237373737373728E-2</v>
      </c>
      <c r="Z11" s="438">
        <f t="shared" si="9"/>
        <v>3.6237373737373728E-2</v>
      </c>
      <c r="AA11" s="438">
        <f>T11</f>
        <v>3.6237373737373728E-2</v>
      </c>
      <c r="AD11" t="s">
        <v>976</v>
      </c>
      <c r="AE11" t="s">
        <v>338</v>
      </c>
      <c r="AG11" t="s">
        <v>976</v>
      </c>
      <c r="AH11" t="s">
        <v>338</v>
      </c>
    </row>
    <row r="12" spans="1:34" x14ac:dyDescent="0.25">
      <c r="A12" s="668" t="str">
        <f>PLANTILLA!D7</f>
        <v>B. Pinczehelyi</v>
      </c>
      <c r="B12" s="5">
        <f>PLANTILLA!E7</f>
        <v>29</v>
      </c>
      <c r="C12" s="5">
        <f ca="1">PLANTILLA!F7</f>
        <v>101</v>
      </c>
      <c r="D12" s="163">
        <f>PLANTILLA!V7</f>
        <v>0</v>
      </c>
      <c r="E12" s="163">
        <f>PLANTILLA!W7</f>
        <v>14.200000000000003</v>
      </c>
      <c r="F12" s="163">
        <f>PLANTILLA!X7</f>
        <v>9.283333333333335</v>
      </c>
      <c r="G12" s="163">
        <f>PLANTILLA!Y7</f>
        <v>14.249999999999996</v>
      </c>
      <c r="H12" s="163">
        <f>PLANTILLA!Z7</f>
        <v>9.3499999999999979</v>
      </c>
      <c r="I12" s="163">
        <f>PLANTILLA!AA7</f>
        <v>1.1428571428571428</v>
      </c>
      <c r="J12" s="163">
        <f>PLANTILLA!AB7</f>
        <v>9.4</v>
      </c>
      <c r="K12" s="363">
        <f>1/12</f>
        <v>8.3333333333333329E-2</v>
      </c>
      <c r="L12" s="363">
        <f t="shared" si="1"/>
        <v>4.1666666666666664E-2</v>
      </c>
      <c r="M12" s="363">
        <f t="shared" si="2"/>
        <v>1.0416666666666666E-2</v>
      </c>
      <c r="N12" s="163">
        <v>0</v>
      </c>
      <c r="O12" s="159">
        <v>0</v>
      </c>
      <c r="P12" s="159">
        <v>0</v>
      </c>
      <c r="Q12" s="159">
        <f t="shared" si="3"/>
        <v>2.3833333333333331E-2</v>
      </c>
      <c r="R12" s="159">
        <f t="shared" si="4"/>
        <v>2.7840909090909086E-2</v>
      </c>
      <c r="S12" s="159">
        <v>0</v>
      </c>
      <c r="T12" s="159">
        <f t="shared" si="5"/>
        <v>2.7178030303030298E-2</v>
      </c>
      <c r="U12" s="159">
        <f t="shared" si="6"/>
        <v>4.0909090909090909E-2</v>
      </c>
      <c r="V12" s="159">
        <f t="shared" si="7"/>
        <v>6.818181818181817E-3</v>
      </c>
      <c r="W12" s="159">
        <f t="shared" si="8"/>
        <v>1.046401515151515E-2</v>
      </c>
      <c r="X12" s="438">
        <f>R12</f>
        <v>2.7840909090909086E-2</v>
      </c>
      <c r="Y12" s="438">
        <f>R12</f>
        <v>2.7840909090909086E-2</v>
      </c>
      <c r="Z12" s="438">
        <f t="shared" si="9"/>
        <v>2.7840909090909086E-2</v>
      </c>
      <c r="AA12" s="159">
        <f>U12</f>
        <v>4.0909090909090909E-2</v>
      </c>
      <c r="AD12" t="s">
        <v>67</v>
      </c>
      <c r="AE12" t="s">
        <v>327</v>
      </c>
      <c r="AG12" t="s">
        <v>976</v>
      </c>
      <c r="AH12" t="s">
        <v>600</v>
      </c>
    </row>
    <row r="13" spans="1:34" x14ac:dyDescent="0.25">
      <c r="A13" s="668" t="str">
        <f>PLANTILLA!D21</f>
        <v>J. Limon</v>
      </c>
      <c r="B13" s="5">
        <f>PLANTILLA!E21</f>
        <v>29</v>
      </c>
      <c r="C13" s="5">
        <f ca="1">PLANTILLA!F21</f>
        <v>61</v>
      </c>
      <c r="D13" s="163">
        <f>PLANTILLA!V21</f>
        <v>0</v>
      </c>
      <c r="E13" s="163">
        <f>PLANTILLA!W21</f>
        <v>6.8176190476190497</v>
      </c>
      <c r="F13" s="163">
        <f>PLANTILLA!X21</f>
        <v>8.3125</v>
      </c>
      <c r="G13" s="163">
        <f>PLANTILLA!Y21</f>
        <v>8.7199999999999971</v>
      </c>
      <c r="H13" s="163">
        <f>PLANTILLA!Z21</f>
        <v>9.6800000000000015</v>
      </c>
      <c r="I13" s="163">
        <f>PLANTILLA!AA21</f>
        <v>8.5625000000000018</v>
      </c>
      <c r="J13" s="163">
        <f>PLANTILLA!AB21</f>
        <v>18.639999999999993</v>
      </c>
      <c r="K13" s="363">
        <f>1/6</f>
        <v>0.16666666666666666</v>
      </c>
      <c r="L13" s="363">
        <f t="shared" si="1"/>
        <v>8.3333333333333329E-2</v>
      </c>
      <c r="M13" s="363">
        <f t="shared" si="2"/>
        <v>2.0833333333333332E-2</v>
      </c>
      <c r="N13" s="163">
        <v>0</v>
      </c>
      <c r="O13" s="159">
        <v>0</v>
      </c>
      <c r="P13" s="159">
        <v>0</v>
      </c>
      <c r="Q13" s="159">
        <f t="shared" si="3"/>
        <v>4.7666666666666663E-2</v>
      </c>
      <c r="R13" s="159">
        <f t="shared" si="4"/>
        <v>5.5681818181818173E-2</v>
      </c>
      <c r="S13" s="159">
        <v>0</v>
      </c>
      <c r="T13" s="159">
        <f t="shared" si="5"/>
        <v>5.4356060606060595E-2</v>
      </c>
      <c r="U13" s="159">
        <f t="shared" si="6"/>
        <v>8.1818181818181818E-2</v>
      </c>
      <c r="V13" s="159">
        <f t="shared" si="7"/>
        <v>1.3636363636363634E-2</v>
      </c>
      <c r="W13" s="159">
        <f t="shared" si="8"/>
        <v>2.0928030303030299E-2</v>
      </c>
      <c r="X13" s="438">
        <f>V13</f>
        <v>1.3636363636363634E-2</v>
      </c>
      <c r="Y13" s="438">
        <f>V13</f>
        <v>1.3636363636363634E-2</v>
      </c>
      <c r="Z13" s="438">
        <f t="shared" si="9"/>
        <v>1.3636363636363634E-2</v>
      </c>
      <c r="AA13" s="438">
        <f>W13</f>
        <v>2.0928030303030299E-2</v>
      </c>
      <c r="AD13" t="s">
        <v>67</v>
      </c>
      <c r="AE13" t="s">
        <v>600</v>
      </c>
      <c r="AG13" t="s">
        <v>67</v>
      </c>
      <c r="AH13" t="s">
        <v>327</v>
      </c>
    </row>
    <row r="14" spans="1:34" x14ac:dyDescent="0.25">
      <c r="A14" s="668" t="str">
        <f>PLANTILLA!D18</f>
        <v>L. Bauman</v>
      </c>
      <c r="B14" s="5">
        <f>PLANTILLA!E18</f>
        <v>30</v>
      </c>
      <c r="C14" s="5">
        <f ca="1">PLANTILLA!F18</f>
        <v>24</v>
      </c>
      <c r="D14" s="163">
        <f>PLANTILLA!V18</f>
        <v>0</v>
      </c>
      <c r="E14" s="163">
        <f>PLANTILLA!W18</f>
        <v>5.2811111111111115</v>
      </c>
      <c r="F14" s="163">
        <f>PLANTILLA!X18</f>
        <v>14.193842857142847</v>
      </c>
      <c r="G14" s="163">
        <f>PLANTILLA!Y18</f>
        <v>3.4924999999999993</v>
      </c>
      <c r="H14" s="163">
        <f>PLANTILLA!Z18</f>
        <v>9.0700000000000038</v>
      </c>
      <c r="I14" s="163">
        <f>PLANTILLA!AA18</f>
        <v>7.4318888888888894</v>
      </c>
      <c r="J14" s="163">
        <f>PLANTILLA!AB18</f>
        <v>16.07</v>
      </c>
      <c r="K14" s="363">
        <f>1/4</f>
        <v>0.25</v>
      </c>
      <c r="L14" s="363">
        <f t="shared" si="1"/>
        <v>0.125</v>
      </c>
      <c r="M14" s="363">
        <f t="shared" si="2"/>
        <v>3.125E-2</v>
      </c>
      <c r="N14" s="163">
        <v>0</v>
      </c>
      <c r="O14" s="159">
        <v>0</v>
      </c>
      <c r="P14" s="159">
        <v>0</v>
      </c>
      <c r="Q14" s="159">
        <f t="shared" si="3"/>
        <v>7.1499999999999994E-2</v>
      </c>
      <c r="R14" s="159">
        <f t="shared" si="4"/>
        <v>8.3522727272727262E-2</v>
      </c>
      <c r="S14" s="159">
        <v>0</v>
      </c>
      <c r="T14" s="159">
        <f t="shared" si="5"/>
        <v>8.1534090909090903E-2</v>
      </c>
      <c r="U14" s="159">
        <f t="shared" si="6"/>
        <v>0.12272727272727273</v>
      </c>
      <c r="V14" s="159">
        <f t="shared" si="7"/>
        <v>2.0454545454545454E-2</v>
      </c>
      <c r="W14" s="159">
        <f t="shared" si="8"/>
        <v>3.1392045454545457E-2</v>
      </c>
      <c r="X14" s="438">
        <f>S14</f>
        <v>0</v>
      </c>
      <c r="Y14" s="438"/>
      <c r="Z14" s="438">
        <f t="shared" si="9"/>
        <v>0</v>
      </c>
      <c r="AA14" s="438">
        <f>V14</f>
        <v>2.0454545454545454E-2</v>
      </c>
    </row>
    <row r="15" spans="1:34" x14ac:dyDescent="0.25">
      <c r="A15" s="5" t="str">
        <f>PLANTILLA!D17</f>
        <v>E. Gross</v>
      </c>
      <c r="B15" s="5">
        <f>PLANTILLA!E17</f>
        <v>30</v>
      </c>
      <c r="C15" s="5">
        <f ca="1">PLANTILLA!F17</f>
        <v>49</v>
      </c>
      <c r="D15" s="163">
        <f>PLANTILLA!V17</f>
        <v>0</v>
      </c>
      <c r="E15" s="163">
        <f>PLANTILLA!W17</f>
        <v>10.149999999999997</v>
      </c>
      <c r="F15" s="163">
        <f>PLANTILLA!X17</f>
        <v>12.749777777777778</v>
      </c>
      <c r="G15" s="163">
        <f>PLANTILLA!Y17</f>
        <v>5.1199999999999983</v>
      </c>
      <c r="H15" s="163">
        <f>PLANTILLA!Z17</f>
        <v>9.17</v>
      </c>
      <c r="I15" s="163">
        <f>PLANTILLA!AA17</f>
        <v>2.98</v>
      </c>
      <c r="J15" s="163">
        <f>PLANTILLA!AB17</f>
        <v>16.959999999999997</v>
      </c>
      <c r="K15" s="363">
        <f>1/3</f>
        <v>0.33333333333333331</v>
      </c>
      <c r="L15" s="363">
        <f t="shared" si="1"/>
        <v>0.16666666666666666</v>
      </c>
      <c r="M15" s="363">
        <f t="shared" si="2"/>
        <v>4.1666666666666664E-2</v>
      </c>
      <c r="N15" s="163">
        <v>0</v>
      </c>
      <c r="O15" s="159">
        <v>0</v>
      </c>
      <c r="P15" s="159">
        <v>0</v>
      </c>
      <c r="Q15" s="159">
        <f t="shared" si="3"/>
        <v>9.5333333333333325E-2</v>
      </c>
      <c r="R15" s="159">
        <f t="shared" si="4"/>
        <v>0.11136363636363635</v>
      </c>
      <c r="S15" s="159">
        <v>0</v>
      </c>
      <c r="T15" s="159">
        <f t="shared" si="5"/>
        <v>0.10871212121212119</v>
      </c>
      <c r="U15" s="159">
        <f t="shared" si="6"/>
        <v>0.16363636363636364</v>
      </c>
      <c r="V15" s="159">
        <f t="shared" si="7"/>
        <v>2.7272727272727268E-2</v>
      </c>
      <c r="W15" s="159">
        <f t="shared" si="8"/>
        <v>4.1856060606060598E-2</v>
      </c>
      <c r="X15" s="438">
        <f>O15</f>
        <v>0</v>
      </c>
      <c r="Y15" s="438"/>
      <c r="Z15" s="438">
        <f t="shared" si="9"/>
        <v>0</v>
      </c>
      <c r="AA15" s="438"/>
    </row>
    <row r="16" spans="1:34" x14ac:dyDescent="0.25">
      <c r="A16" s="5" t="str">
        <f>PLANTILLA!D11</f>
        <v>F. Lasprilla</v>
      </c>
      <c r="B16" s="5">
        <f>PLANTILLA!E11</f>
        <v>26</v>
      </c>
      <c r="C16" s="5">
        <f ca="1">PLANTILLA!F11</f>
        <v>108</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1/4</f>
        <v>0.25</v>
      </c>
      <c r="L16" s="363">
        <f t="shared" si="1"/>
        <v>0.125</v>
      </c>
      <c r="M16" s="363">
        <f t="shared" si="2"/>
        <v>3.125E-2</v>
      </c>
      <c r="N16" s="163">
        <v>0</v>
      </c>
      <c r="O16" s="159">
        <v>0</v>
      </c>
      <c r="P16" s="159">
        <v>0</v>
      </c>
      <c r="Q16" s="159">
        <f t="shared" si="3"/>
        <v>7.1499999999999994E-2</v>
      </c>
      <c r="R16" s="159">
        <f t="shared" si="4"/>
        <v>8.3522727272727262E-2</v>
      </c>
      <c r="S16" s="159">
        <v>0</v>
      </c>
      <c r="T16" s="159">
        <f t="shared" si="5"/>
        <v>8.1534090909090903E-2</v>
      </c>
      <c r="U16" s="159">
        <f t="shared" si="6"/>
        <v>0.12272727272727273</v>
      </c>
      <c r="V16" s="159">
        <f t="shared" si="7"/>
        <v>2.0454545454545454E-2</v>
      </c>
      <c r="W16" s="159">
        <f t="shared" si="8"/>
        <v>3.1392045454545457E-2</v>
      </c>
      <c r="X16" s="438"/>
      <c r="Y16" s="438"/>
      <c r="Z16" s="438">
        <f t="shared" si="9"/>
        <v>0</v>
      </c>
      <c r="AA16" s="438">
        <f>R16</f>
        <v>8.3522727272727262E-2</v>
      </c>
    </row>
    <row r="17" spans="1:27" x14ac:dyDescent="0.25">
      <c r="A17" s="5" t="str">
        <f>PLANTILLA!D19</f>
        <v>W. Gelifini</v>
      </c>
      <c r="B17" s="5">
        <f>PLANTILLA!E19</f>
        <v>28</v>
      </c>
      <c r="C17" s="5">
        <f ca="1">PLANTILLA!F19</f>
        <v>86</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1/4</f>
        <v>0.25</v>
      </c>
      <c r="L17" s="363">
        <f t="shared" si="1"/>
        <v>0.125</v>
      </c>
      <c r="M17" s="363">
        <f t="shared" si="2"/>
        <v>3.125E-2</v>
      </c>
      <c r="N17" s="163">
        <v>0</v>
      </c>
      <c r="O17" s="159">
        <v>0</v>
      </c>
      <c r="P17" s="159">
        <v>0</v>
      </c>
      <c r="Q17" s="159">
        <f t="shared" si="3"/>
        <v>7.1499999999999994E-2</v>
      </c>
      <c r="R17" s="159">
        <f t="shared" si="4"/>
        <v>8.3522727272727262E-2</v>
      </c>
      <c r="S17" s="159">
        <v>0</v>
      </c>
      <c r="T17" s="159">
        <f t="shared" si="5"/>
        <v>8.1534090909090903E-2</v>
      </c>
      <c r="U17" s="159">
        <f t="shared" si="6"/>
        <v>0.12272727272727273</v>
      </c>
      <c r="V17" s="159">
        <f t="shared" si="7"/>
        <v>2.0454545454545454E-2</v>
      </c>
      <c r="W17" s="159">
        <f t="shared" si="8"/>
        <v>3.1392045454545457E-2</v>
      </c>
      <c r="X17" s="438"/>
      <c r="Y17" s="438"/>
      <c r="Z17" s="438">
        <f t="shared" si="9"/>
        <v>0</v>
      </c>
      <c r="AA17" s="159">
        <f>T17</f>
        <v>8.1534090909090903E-2</v>
      </c>
    </row>
    <row r="18" spans="1:27" x14ac:dyDescent="0.25">
      <c r="A18" s="5" t="str">
        <f>PLANTILLA!D23</f>
        <v>P .Trivadi</v>
      </c>
      <c r="B18" s="5">
        <f>PLANTILLA!E23</f>
        <v>26</v>
      </c>
      <c r="C18" s="5">
        <f ca="1">PLANTILLA!F23</f>
        <v>92</v>
      </c>
      <c r="D18" s="163">
        <f>PLANTILLA!V23</f>
        <v>0</v>
      </c>
      <c r="E18" s="163">
        <f>PLANTILLA!W23</f>
        <v>4</v>
      </c>
      <c r="F18" s="163">
        <f>PLANTILLA!X23</f>
        <v>5.5138722222222212</v>
      </c>
      <c r="G18" s="163">
        <f>PLANTILLA!Y23</f>
        <v>5.47</v>
      </c>
      <c r="H18" s="163">
        <f>PLANTILLA!Z23</f>
        <v>10.799999999999999</v>
      </c>
      <c r="I18" s="163">
        <f>PLANTILLA!AA23</f>
        <v>8.384500000000001</v>
      </c>
      <c r="J18" s="163">
        <f>PLANTILLA!AB23</f>
        <v>13.566666666666668</v>
      </c>
      <c r="K18" s="363">
        <f>1/4</f>
        <v>0.25</v>
      </c>
      <c r="L18" s="363">
        <f t="shared" si="1"/>
        <v>0.125</v>
      </c>
      <c r="M18" s="363">
        <f t="shared" si="2"/>
        <v>3.125E-2</v>
      </c>
      <c r="N18" s="163">
        <v>0</v>
      </c>
      <c r="O18" s="159">
        <v>0</v>
      </c>
      <c r="P18" s="159">
        <v>0</v>
      </c>
      <c r="Q18" s="159">
        <f t="shared" si="3"/>
        <v>7.1499999999999994E-2</v>
      </c>
      <c r="R18" s="159">
        <f t="shared" si="4"/>
        <v>8.3522727272727262E-2</v>
      </c>
      <c r="S18" s="159">
        <v>0</v>
      </c>
      <c r="T18" s="159">
        <f t="shared" si="5"/>
        <v>8.1534090909090903E-2</v>
      </c>
      <c r="U18" s="159">
        <f t="shared" si="6"/>
        <v>0.12272727272727273</v>
      </c>
      <c r="V18" s="159">
        <f t="shared" si="7"/>
        <v>2.0454545454545454E-2</v>
      </c>
      <c r="W18" s="159">
        <f t="shared" si="8"/>
        <v>3.1392045454545457E-2</v>
      </c>
      <c r="X18" s="438"/>
      <c r="Y18" s="438"/>
      <c r="Z18" s="438">
        <f t="shared" si="9"/>
        <v>0</v>
      </c>
      <c r="AA18" s="438">
        <f>W18</f>
        <v>3.1392045454545457E-2</v>
      </c>
    </row>
    <row r="19" spans="1:27" x14ac:dyDescent="0.25">
      <c r="A19" s="5" t="str">
        <f>PLANTILLA!D5</f>
        <v>D. Gehmacher</v>
      </c>
      <c r="B19" s="5">
        <f>PLANTILLA!E5</f>
        <v>29</v>
      </c>
      <c r="C19" s="5">
        <f ca="1">PLANTILLA!F5</f>
        <v>89</v>
      </c>
      <c r="D19" s="163">
        <f>PLANTILLA!V5</f>
        <v>16.666666666666668</v>
      </c>
      <c r="E19" s="163">
        <f>PLANTILLA!W5</f>
        <v>11.650909090909092</v>
      </c>
      <c r="F19" s="163">
        <f>PLANTILLA!X5</f>
        <v>2.0199999999999996</v>
      </c>
      <c r="G19" s="163">
        <f>PLANTILLA!Y5</f>
        <v>2.1199999999999992</v>
      </c>
      <c r="H19" s="163">
        <f>PLANTILLA!Z5</f>
        <v>1.0300000000000002</v>
      </c>
      <c r="I19" s="163">
        <f>PLANTILLA!AA5</f>
        <v>0.14055555555555557</v>
      </c>
      <c r="J19" s="163">
        <f>PLANTILLA!AB5</f>
        <v>17.849999999999998</v>
      </c>
      <c r="K19" s="363"/>
      <c r="L19" s="363"/>
      <c r="M19" s="363"/>
      <c r="N19" s="163"/>
      <c r="O19" s="159"/>
      <c r="P19" s="159"/>
      <c r="Q19" s="159"/>
      <c r="R19" s="159"/>
      <c r="S19" s="159"/>
      <c r="T19" s="159"/>
      <c r="U19" s="159"/>
      <c r="V19" s="159"/>
      <c r="W19" s="159"/>
      <c r="X19" s="438"/>
      <c r="Y19" s="438"/>
      <c r="Z19" s="438">
        <f t="shared" si="9"/>
        <v>0</v>
      </c>
    </row>
    <row r="20" spans="1:27" x14ac:dyDescent="0.25">
      <c r="A20" s="5" t="str">
        <f>PLANTILLA!D6</f>
        <v>T. Hammond</v>
      </c>
      <c r="B20" s="5">
        <f>PLANTILLA!E6</f>
        <v>33</v>
      </c>
      <c r="C20" s="5">
        <f ca="1">PLANTILLA!F6</f>
        <v>98</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f>K20/2</f>
        <v>7.1428571428571425E-2</v>
      </c>
      <c r="M20" s="363">
        <f>K20/8</f>
        <v>1.7857142857142856E-2</v>
      </c>
      <c r="N20" s="163">
        <v>0</v>
      </c>
      <c r="O20" s="159">
        <v>0</v>
      </c>
      <c r="P20" s="159">
        <v>0</v>
      </c>
      <c r="Q20" s="159">
        <f>K20*0.286</f>
        <v>4.0857142857142849E-2</v>
      </c>
      <c r="R20" s="159">
        <f>K20*(0.588*0.25+0.19*0)/(0.25+0.19)</f>
        <v>4.7727272727272722E-2</v>
      </c>
      <c r="S20" s="159">
        <v>0</v>
      </c>
      <c r="T20" s="159">
        <f>K20*(0.574*0.25+0.19*0)/(0.25+0.19)</f>
        <v>4.6590909090909086E-2</v>
      </c>
      <c r="U20" s="159">
        <f>K20*(0.864*0.25+0.19*0)/(0.25+0.19)</f>
        <v>7.0129870129870125E-2</v>
      </c>
      <c r="V20" s="159">
        <f>K20*(0.144*0.25+0.19*0)/(0.25+0.19)</f>
        <v>1.1688311688311687E-2</v>
      </c>
      <c r="W20" s="159">
        <f>K20*(0.221*0.25+0.19*0)/(0.25+0.19)</f>
        <v>1.7938311688311687E-2</v>
      </c>
      <c r="X20" s="438"/>
      <c r="Y20" s="438"/>
      <c r="Z20" s="438">
        <f t="shared" si="9"/>
        <v>0</v>
      </c>
    </row>
    <row r="21" spans="1:27"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f>K21/2</f>
        <v>7.1428571428571425E-2</v>
      </c>
      <c r="M21" s="363">
        <f>K21/8</f>
        <v>1.7857142857142856E-2</v>
      </c>
      <c r="N21" s="163">
        <v>0</v>
      </c>
      <c r="O21" s="159">
        <v>0</v>
      </c>
      <c r="P21" s="159">
        <v>0</v>
      </c>
      <c r="Q21" s="159">
        <f>K21*0.286</f>
        <v>4.0857142857142849E-2</v>
      </c>
      <c r="R21" s="159">
        <f>K21*(0.588*0.25+0.19*0)/(0.25+0.19)</f>
        <v>4.7727272727272722E-2</v>
      </c>
      <c r="S21" s="159">
        <v>0</v>
      </c>
      <c r="T21" s="159">
        <f>K21*(0.574*0.25+0.19*0)/(0.25+0.19)</f>
        <v>4.6590909090909086E-2</v>
      </c>
      <c r="U21" s="159">
        <f>K21*(0.864*0.25+0.19*0)/(0.25+0.19)</f>
        <v>7.0129870129870125E-2</v>
      </c>
      <c r="V21" s="159">
        <f>K21*(0.144*0.25+0.19*0)/(0.25+0.19)</f>
        <v>1.1688311688311687E-2</v>
      </c>
      <c r="W21" s="159">
        <f>K21*(0.221*0.25+0.19*0)/(0.25+0.19)</f>
        <v>1.7938311688311687E-2</v>
      </c>
      <c r="X21" s="438"/>
      <c r="Y21" s="438"/>
      <c r="Z21" s="438">
        <f t="shared" si="9"/>
        <v>0</v>
      </c>
    </row>
    <row r="22" spans="1:27"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1/3</f>
        <v>0.33333333333333331</v>
      </c>
      <c r="L22" s="363">
        <f>K22/2</f>
        <v>0.16666666666666666</v>
      </c>
      <c r="M22" s="363">
        <f>K22/8</f>
        <v>4.1666666666666664E-2</v>
      </c>
      <c r="N22" s="163">
        <v>0</v>
      </c>
      <c r="O22" s="159">
        <v>0</v>
      </c>
      <c r="P22" s="159">
        <v>0</v>
      </c>
      <c r="Q22" s="159">
        <f>K22*0.286</f>
        <v>9.5333333333333325E-2</v>
      </c>
      <c r="R22" s="159">
        <f>K22*(0.588*0.25+0.19*0)/(0.25+0.19)</f>
        <v>0.11136363636363635</v>
      </c>
      <c r="S22" s="159">
        <v>0</v>
      </c>
      <c r="T22" s="159">
        <f>K22*(0.574*0.25+0.19*0)/(0.25+0.19)</f>
        <v>0.10871212121212119</v>
      </c>
      <c r="U22" s="159">
        <f>K22*(0.864*0.25+0.19*0)/(0.25+0.19)</f>
        <v>0.16363636363636364</v>
      </c>
      <c r="V22" s="159">
        <f>K22*(0.144*0.25+0.19*0)/(0.25+0.19)</f>
        <v>2.7272727272727268E-2</v>
      </c>
      <c r="W22" s="159">
        <f>K22*(0.221*0.25+0.19*0)/(0.25+0.19)</f>
        <v>4.1856060606060598E-2</v>
      </c>
      <c r="X22" s="438"/>
      <c r="Y22" s="438"/>
      <c r="Z22" s="438">
        <f t="shared" si="9"/>
        <v>0</v>
      </c>
    </row>
    <row r="23" spans="1:27" x14ac:dyDescent="0.25">
      <c r="A23" s="5" t="str">
        <f>PLANTILLA!D20</f>
        <v>M. Amico</v>
      </c>
      <c r="B23" s="5">
        <f>PLANTILLA!E20</f>
        <v>28</v>
      </c>
      <c r="C23" s="5">
        <f ca="1">PLANTILLA!F20</f>
        <v>93</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1/5</f>
        <v>0.2</v>
      </c>
      <c r="L23" s="363">
        <f>K23/2</f>
        <v>0.1</v>
      </c>
      <c r="M23" s="363">
        <f>K23/8</f>
        <v>2.5000000000000001E-2</v>
      </c>
      <c r="N23" s="163">
        <v>0</v>
      </c>
      <c r="O23" s="159">
        <v>0</v>
      </c>
      <c r="P23" s="159">
        <v>0</v>
      </c>
      <c r="Q23" s="159">
        <f>K23*0.286</f>
        <v>5.7200000000000001E-2</v>
      </c>
      <c r="R23" s="159">
        <f>K23*(0.588*0.25+0.19*0)/(0.25+0.19)</f>
        <v>6.6818181818181818E-2</v>
      </c>
      <c r="S23" s="159">
        <v>0</v>
      </c>
      <c r="T23" s="159">
        <f>K23*(0.574*0.25+0.19*0)/(0.25+0.19)</f>
        <v>6.5227272727272731E-2</v>
      </c>
      <c r="U23" s="159">
        <f>K23*(0.864*0.25+0.19*0)/(0.25+0.19)</f>
        <v>9.818181818181819E-2</v>
      </c>
      <c r="V23" s="159">
        <f>K23*(0.144*0.25+0.19*0)/(0.25+0.19)</f>
        <v>1.6363636363636361E-2</v>
      </c>
      <c r="W23" s="159">
        <f>K23*(0.221*0.25+0.19*0)/(0.25+0.19)</f>
        <v>2.5113636363636366E-2</v>
      </c>
      <c r="X23" s="438"/>
      <c r="Y23" s="438"/>
      <c r="Z23" s="438">
        <f t="shared" si="9"/>
        <v>0</v>
      </c>
    </row>
    <row r="24" spans="1:27" x14ac:dyDescent="0.25">
      <c r="A24" s="5" t="str">
        <f>PLANTILLA!D22</f>
        <v>L. Calosso</v>
      </c>
      <c r="B24" s="5">
        <f>PLANTILLA!E22</f>
        <v>30</v>
      </c>
      <c r="C24" s="5">
        <f ca="1">PLANTILLA!F22</f>
        <v>18</v>
      </c>
      <c r="D24" s="163">
        <f>PLANTILLA!V22</f>
        <v>0</v>
      </c>
      <c r="E24" s="163">
        <f>PLANTILLA!W22</f>
        <v>2</v>
      </c>
      <c r="F24" s="163">
        <f>PLANTILLA!X22</f>
        <v>14.0938</v>
      </c>
      <c r="G24" s="163">
        <f>PLANTILLA!Y22</f>
        <v>3</v>
      </c>
      <c r="H24" s="163">
        <f>PLANTILLA!Z22</f>
        <v>15.01</v>
      </c>
      <c r="I24" s="163">
        <f>PLANTILLA!AA22</f>
        <v>10</v>
      </c>
      <c r="J24" s="163">
        <f>PLANTILLA!AB22</f>
        <v>9.3000000000000007</v>
      </c>
      <c r="K24" s="363">
        <f>1/6</f>
        <v>0.16666666666666666</v>
      </c>
      <c r="L24" s="363">
        <f>K24/2</f>
        <v>8.3333333333333329E-2</v>
      </c>
      <c r="M24" s="363">
        <f>K24/8</f>
        <v>2.0833333333333332E-2</v>
      </c>
      <c r="N24" s="163">
        <v>0</v>
      </c>
      <c r="O24" s="159">
        <v>0</v>
      </c>
      <c r="P24" s="159">
        <v>0</v>
      </c>
      <c r="Q24" s="159">
        <f>K24*0.286</f>
        <v>4.7666666666666663E-2</v>
      </c>
      <c r="R24" s="159">
        <f>K24*(0.588*0.25+0.19*0)/(0.25+0.19)</f>
        <v>5.5681818181818173E-2</v>
      </c>
      <c r="S24" s="159">
        <v>0</v>
      </c>
      <c r="T24" s="159">
        <f>K24*(0.574*0.25+0.19*0)/(0.25+0.19)</f>
        <v>5.4356060606060595E-2</v>
      </c>
      <c r="U24" s="159">
        <f>K24*(0.864*0.25+0.19*0)/(0.25+0.19)</f>
        <v>8.1818181818181818E-2</v>
      </c>
      <c r="V24" s="159">
        <f>K24*(0.144*0.25+0.19*0)/(0.25+0.19)</f>
        <v>1.3636363636363634E-2</v>
      </c>
      <c r="W24" s="159">
        <f>K24*(0.221*0.25+0.19*0)/(0.25+0.19)</f>
        <v>2.0928030303030299E-2</v>
      </c>
      <c r="X24" s="438"/>
      <c r="Y24" s="438"/>
      <c r="Z24" s="438">
        <f t="shared" si="9"/>
        <v>0</v>
      </c>
      <c r="AA24" s="438"/>
    </row>
    <row r="28" spans="1:27" x14ac:dyDescent="0.25">
      <c r="A28" s="317"/>
    </row>
  </sheetData>
  <sortState ref="A4:AA24">
    <sortCondition descending="1" ref="Z4:Z24"/>
    <sortCondition descending="1" ref="X4:X24"/>
    <sortCondition descending="1" ref="Y4:Y24"/>
    <sortCondition descending="1" ref="AA4:AA24"/>
  </sortState>
  <conditionalFormatting sqref="D4:J24">
    <cfRule type="colorScale" priority="3">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AA4:AA24">
    <cfRule type="dataBar" priority="5">
      <dataBar>
        <cfvo type="min"/>
        <cfvo type="max"/>
        <color rgb="FF008AEF"/>
      </dataBar>
      <extLst>
        <ext xmlns:x14="http://schemas.microsoft.com/office/spreadsheetml/2009/9/main" uri="{B025F937-C7B1-47D3-B67F-A62EFF666E3E}">
          <x14:id>{F8706D9E-D8D7-4B0E-B0C6-AE0CC58AFEFD}</x14:id>
        </ext>
      </extLst>
    </cfRule>
  </conditionalFormatting>
  <conditionalFormatting sqref="X4:X24">
    <cfRule type="dataBar" priority="2">
      <dataBar>
        <cfvo type="min"/>
        <cfvo type="max"/>
        <color rgb="FF008AEF"/>
      </dataBar>
      <extLst>
        <ext xmlns:x14="http://schemas.microsoft.com/office/spreadsheetml/2009/9/main" uri="{B025F937-C7B1-47D3-B67F-A62EFF666E3E}">
          <x14:id>{FD1C2556-6FED-4C28-B9EB-8DE0847A7688}</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{CC0AC70E-A365-4662-A596-E0B21FDF8860}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8706D9E-D8D7-4B0E-B0C6-AE0CC58AFEFD}">
            <x14:dataBar minLength="0" maxLength="100" border="1" negativeBarBorderColorSameAsPositive="0">
              <x14:cfvo type="autoMin"/>
              <x14:cfvo type="autoMax"/>
              <x14:borderColor rgb="FF008AEF"/>
              <x14:negativeFillColor rgb="FFFF0000"/>
              <x14:negativeBorderColor rgb="FFFF0000"/>
              <x14:axisColor rgb="FF000000"/>
            </x14:dataBar>
          </x14:cfRule>
          <xm:sqref>AA4:AA24</xm:sqref>
        </x14:conditionalFormatting>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6"/>
  <sheetViews>
    <sheetView zoomScale="90" zoomScaleNormal="90" workbookViewId="0">
      <selection activeCell="F14" sqref="F14"/>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19.85546875" bestFit="1" customWidth="1"/>
    <col min="5" max="5" width="4.5703125" customWidth="1"/>
    <col min="6" max="6" width="4.42578125" style="344" bestFit="1" customWidth="1"/>
    <col min="7" max="7" width="20.5703125" bestFit="1" customWidth="1"/>
    <col min="8" max="8" width="8.28515625" bestFit="1" customWidth="1"/>
    <col min="9" max="9" width="5.5703125" bestFit="1" customWidth="1"/>
    <col min="10" max="10" width="3.28515625" bestFit="1" customWidth="1"/>
    <col min="11" max="11" width="5" bestFit="1" customWidth="1"/>
    <col min="12" max="12" width="20.42578125" bestFit="1" customWidth="1"/>
    <col min="13" max="13" width="8.28515625" bestFit="1" customWidth="1"/>
    <col min="14" max="14" width="7.42578125" style="674" bestFit="1" customWidth="1"/>
    <col min="15" max="15" width="6.28515625" customWidth="1"/>
    <col min="16" max="16" width="3.28515625" bestFit="1" customWidth="1"/>
    <col min="17" max="17" width="4.42578125" bestFit="1" customWidth="1"/>
    <col min="18" max="18" width="20.42578125" bestFit="1" customWidth="1"/>
    <col min="19" max="19" width="8.28515625" bestFit="1" customWidth="1"/>
    <col min="20" max="20" width="5.5703125" bestFit="1" customWidth="1"/>
    <col min="21" max="21" width="3.28515625" bestFit="1" customWidth="1"/>
    <col min="22" max="22" width="4.42578125" bestFit="1" customWidth="1"/>
  </cols>
  <sheetData>
    <row r="1" spans="1:22" x14ac:dyDescent="0.25">
      <c r="A1" s="349" t="s">
        <v>516</v>
      </c>
    </row>
    <row r="2" spans="1:22" x14ac:dyDescent="0.25">
      <c r="A2" s="350">
        <v>43055</v>
      </c>
    </row>
    <row r="4" spans="1:22" s="318" customFormat="1" ht="18.75" x14ac:dyDescent="0.3">
      <c r="A4" s="318" t="s">
        <v>514</v>
      </c>
      <c r="F4" s="743" t="s">
        <v>517</v>
      </c>
      <c r="G4" s="743"/>
      <c r="H4"/>
      <c r="K4" s="743" t="s">
        <v>1035</v>
      </c>
      <c r="L4" s="743"/>
      <c r="M4" s="743"/>
      <c r="N4" s="675"/>
      <c r="O4" s="336"/>
      <c r="P4" s="336"/>
      <c r="Q4" s="743" t="s">
        <v>519</v>
      </c>
      <c r="R4" s="743"/>
      <c r="S4"/>
      <c r="T4" s="4" t="s">
        <v>642</v>
      </c>
      <c r="U4"/>
    </row>
    <row r="5" spans="1:22" x14ac:dyDescent="0.25">
      <c r="A5" s="180" t="s">
        <v>515</v>
      </c>
      <c r="B5" s="721" t="s">
        <v>1040</v>
      </c>
      <c r="C5" s="317">
        <v>43031</v>
      </c>
      <c r="D5" t="s">
        <v>1041</v>
      </c>
      <c r="E5">
        <v>1</v>
      </c>
      <c r="F5" s="3">
        <v>53</v>
      </c>
      <c r="G5" t="s">
        <v>209</v>
      </c>
      <c r="H5" s="317" t="s">
        <v>1</v>
      </c>
      <c r="J5" s="660">
        <v>1</v>
      </c>
      <c r="K5" s="3">
        <v>271</v>
      </c>
      <c r="L5" t="s">
        <v>534</v>
      </c>
      <c r="M5" t="s">
        <v>533</v>
      </c>
      <c r="N5" s="400">
        <f t="shared" ref="N5:N24" si="0">K5/$F$24</f>
        <v>0.87987012987012991</v>
      </c>
      <c r="P5" s="660">
        <v>1</v>
      </c>
      <c r="Q5" s="3">
        <v>181</v>
      </c>
      <c r="R5" t="s">
        <v>520</v>
      </c>
      <c r="S5" t="s">
        <v>215</v>
      </c>
      <c r="T5" s="159">
        <f>Q5/K9</f>
        <v>0.83796296296296291</v>
      </c>
    </row>
    <row r="6" spans="1:22" x14ac:dyDescent="0.25">
      <c r="A6" s="180" t="s">
        <v>1033</v>
      </c>
      <c r="B6" s="396" t="s">
        <v>1048</v>
      </c>
      <c r="C6" s="317">
        <v>43055</v>
      </c>
      <c r="D6" t="s">
        <v>1049</v>
      </c>
      <c r="E6">
        <v>2</v>
      </c>
      <c r="F6" s="3">
        <v>52</v>
      </c>
      <c r="G6" t="s">
        <v>935</v>
      </c>
      <c r="H6" t="s">
        <v>1</v>
      </c>
      <c r="J6" s="660">
        <v>2</v>
      </c>
      <c r="K6" s="3">
        <v>268</v>
      </c>
      <c r="L6" t="s">
        <v>548</v>
      </c>
      <c r="M6" s="317" t="s">
        <v>507</v>
      </c>
      <c r="N6" s="400">
        <f t="shared" si="0"/>
        <v>0.87012987012987009</v>
      </c>
      <c r="P6" s="660">
        <v>2</v>
      </c>
      <c r="Q6" s="3">
        <v>86</v>
      </c>
      <c r="R6" t="s">
        <v>640</v>
      </c>
      <c r="S6" t="s">
        <v>66</v>
      </c>
      <c r="T6" s="159">
        <f>Q6/K15</f>
        <v>0.4777777777777778</v>
      </c>
    </row>
    <row r="7" spans="1:22" x14ac:dyDescent="0.25">
      <c r="E7">
        <v>2</v>
      </c>
      <c r="F7" s="719">
        <v>46</v>
      </c>
      <c r="G7" s="717" t="s">
        <v>207</v>
      </c>
      <c r="H7" s="718" t="s">
        <v>1</v>
      </c>
      <c r="J7" s="683">
        <v>3</v>
      </c>
      <c r="K7" s="3">
        <v>240</v>
      </c>
      <c r="L7" t="s">
        <v>522</v>
      </c>
      <c r="M7" s="317" t="s">
        <v>65</v>
      </c>
      <c r="N7" s="400">
        <f t="shared" si="0"/>
        <v>0.77922077922077926</v>
      </c>
      <c r="P7" s="660">
        <v>3</v>
      </c>
      <c r="Q7" s="3">
        <v>78</v>
      </c>
      <c r="R7" t="s">
        <v>522</v>
      </c>
      <c r="S7" t="s">
        <v>65</v>
      </c>
      <c r="T7" s="159">
        <f>Q7/K7</f>
        <v>0.32500000000000001</v>
      </c>
    </row>
    <row r="8" spans="1:22" s="318" customFormat="1" ht="18.75" x14ac:dyDescent="0.3">
      <c r="A8" s="743" t="s">
        <v>1034</v>
      </c>
      <c r="B8" s="743"/>
      <c r="E8">
        <v>4</v>
      </c>
      <c r="F8" s="719">
        <v>2</v>
      </c>
      <c r="G8" s="717" t="s">
        <v>203</v>
      </c>
      <c r="H8" s="717" t="s">
        <v>1</v>
      </c>
      <c r="J8" s="683">
        <v>4</v>
      </c>
      <c r="K8" s="372">
        <v>224</v>
      </c>
      <c r="L8" t="s">
        <v>591</v>
      </c>
      <c r="M8" s="317" t="s">
        <v>65</v>
      </c>
      <c r="N8" s="400">
        <f>K8/$F$24</f>
        <v>0.72727272727272729</v>
      </c>
      <c r="P8" s="660">
        <v>4</v>
      </c>
      <c r="Q8" s="348">
        <v>70</v>
      </c>
      <c r="R8" t="s">
        <v>534</v>
      </c>
      <c r="S8" t="s">
        <v>533</v>
      </c>
      <c r="T8" s="159">
        <f>Q8/K5</f>
        <v>0.25830258302583026</v>
      </c>
      <c r="U8"/>
      <c r="V8"/>
    </row>
    <row r="9" spans="1:22" ht="18.75" x14ac:dyDescent="0.3">
      <c r="A9" s="714" t="s">
        <v>1037</v>
      </c>
      <c r="B9" t="s">
        <v>1031</v>
      </c>
      <c r="C9" s="317" t="s">
        <v>67</v>
      </c>
      <c r="E9">
        <v>5</v>
      </c>
      <c r="F9" s="3">
        <v>1</v>
      </c>
      <c r="G9" t="s">
        <v>521</v>
      </c>
      <c r="H9" t="s">
        <v>2</v>
      </c>
      <c r="J9" s="683">
        <v>5</v>
      </c>
      <c r="K9" s="372">
        <v>216</v>
      </c>
      <c r="L9" t="s">
        <v>589</v>
      </c>
      <c r="M9" s="317" t="s">
        <v>215</v>
      </c>
      <c r="N9" s="400">
        <f t="shared" si="0"/>
        <v>0.70129870129870131</v>
      </c>
      <c r="P9" s="660">
        <v>5</v>
      </c>
      <c r="Q9" s="410">
        <v>62</v>
      </c>
      <c r="R9" t="s">
        <v>590</v>
      </c>
      <c r="S9" s="317" t="s">
        <v>66</v>
      </c>
      <c r="T9" s="159">
        <f>Q9/K12</f>
        <v>0.29951690821256038</v>
      </c>
      <c r="V9" s="318"/>
    </row>
    <row r="10" spans="1:22" x14ac:dyDescent="0.25">
      <c r="A10" s="606" t="s">
        <v>1038</v>
      </c>
      <c r="B10" t="s">
        <v>935</v>
      </c>
      <c r="C10" t="s">
        <v>1</v>
      </c>
      <c r="E10">
        <v>5</v>
      </c>
      <c r="F10" s="719">
        <v>1</v>
      </c>
      <c r="G10" s="717" t="s">
        <v>536</v>
      </c>
      <c r="H10" s="717" t="s">
        <v>507</v>
      </c>
      <c r="J10" s="683">
        <v>6</v>
      </c>
      <c r="K10" s="344">
        <v>213</v>
      </c>
      <c r="L10" t="s">
        <v>531</v>
      </c>
      <c r="M10" s="317" t="s">
        <v>65</v>
      </c>
      <c r="N10" s="400">
        <f>K10/$F$24</f>
        <v>0.69155844155844159</v>
      </c>
      <c r="P10" s="660">
        <v>6</v>
      </c>
      <c r="Q10" s="348">
        <v>58</v>
      </c>
      <c r="R10" t="s">
        <v>548</v>
      </c>
      <c r="S10" s="317" t="s">
        <v>507</v>
      </c>
      <c r="T10" s="159">
        <f>Q10/K6</f>
        <v>0.21641791044776118</v>
      </c>
    </row>
    <row r="11" spans="1:22" ht="18.75" x14ac:dyDescent="0.3">
      <c r="A11" s="412" t="s">
        <v>943</v>
      </c>
      <c r="B11" t="s">
        <v>534</v>
      </c>
      <c r="C11" t="s">
        <v>533</v>
      </c>
      <c r="J11" s="683">
        <v>7</v>
      </c>
      <c r="K11" s="344">
        <v>212</v>
      </c>
      <c r="L11" t="s">
        <v>535</v>
      </c>
      <c r="M11" s="317" t="s">
        <v>507</v>
      </c>
      <c r="N11" s="400">
        <f>K11/$F$24</f>
        <v>0.68831168831168832</v>
      </c>
      <c r="P11" s="660">
        <v>7</v>
      </c>
      <c r="Q11" s="344">
        <v>52</v>
      </c>
      <c r="R11" t="s">
        <v>591</v>
      </c>
      <c r="S11" s="317" t="s">
        <v>65</v>
      </c>
      <c r="T11" s="159">
        <f>Q11/K8</f>
        <v>0.23214285714285715</v>
      </c>
      <c r="V11" s="318"/>
    </row>
    <row r="12" spans="1:22" s="318" customFormat="1" ht="18.75" x14ac:dyDescent="0.3">
      <c r="A12" s="412" t="s">
        <v>943</v>
      </c>
      <c r="B12" t="s">
        <v>591</v>
      </c>
      <c r="C12" s="317" t="s">
        <v>65</v>
      </c>
      <c r="F12" s="743" t="s">
        <v>518</v>
      </c>
      <c r="G12" s="743"/>
      <c r="H12"/>
      <c r="J12" s="683">
        <v>8</v>
      </c>
      <c r="K12" s="372">
        <v>207</v>
      </c>
      <c r="L12" t="s">
        <v>590</v>
      </c>
      <c r="M12" s="317" t="s">
        <v>66</v>
      </c>
      <c r="N12" s="400">
        <f>K12/$F$24</f>
        <v>0.67207792207792205</v>
      </c>
      <c r="P12" s="660">
        <v>8</v>
      </c>
      <c r="Q12" s="411">
        <v>50</v>
      </c>
      <c r="R12" t="s">
        <v>644</v>
      </c>
      <c r="S12" s="317" t="s">
        <v>215</v>
      </c>
      <c r="T12" s="159">
        <f>Q12/K19</f>
        <v>0.47169811320754718</v>
      </c>
      <c r="U12"/>
      <c r="V12"/>
    </row>
    <row r="13" spans="1:22" x14ac:dyDescent="0.25">
      <c r="A13" s="710" t="s">
        <v>943</v>
      </c>
      <c r="B13" t="s">
        <v>1028</v>
      </c>
      <c r="C13" t="s">
        <v>2</v>
      </c>
      <c r="E13">
        <v>1</v>
      </c>
      <c r="F13" s="478">
        <v>105</v>
      </c>
      <c r="G13" t="s">
        <v>935</v>
      </c>
      <c r="H13" t="s">
        <v>1</v>
      </c>
      <c r="J13" s="683">
        <v>9</v>
      </c>
      <c r="K13" s="348">
        <v>184</v>
      </c>
      <c r="L13" t="s">
        <v>209</v>
      </c>
      <c r="M13" s="317" t="s">
        <v>1</v>
      </c>
      <c r="N13" s="400">
        <f t="shared" si="0"/>
        <v>0.59740259740259738</v>
      </c>
      <c r="P13" s="660">
        <v>8</v>
      </c>
      <c r="Q13" s="390">
        <v>50</v>
      </c>
      <c r="R13" t="s">
        <v>551</v>
      </c>
      <c r="S13" s="317" t="s">
        <v>65</v>
      </c>
      <c r="T13" s="159">
        <f>Q13/K14</f>
        <v>0.27173913043478259</v>
      </c>
    </row>
    <row r="14" spans="1:22" x14ac:dyDescent="0.25">
      <c r="A14" s="412" t="s">
        <v>943</v>
      </c>
      <c r="B14" t="s">
        <v>522</v>
      </c>
      <c r="C14" s="317" t="s">
        <v>65</v>
      </c>
      <c r="E14">
        <v>2</v>
      </c>
      <c r="F14" s="719">
        <v>88</v>
      </c>
      <c r="G14" s="717" t="s">
        <v>207</v>
      </c>
      <c r="H14" s="718" t="s">
        <v>1</v>
      </c>
      <c r="J14" s="683">
        <v>9</v>
      </c>
      <c r="K14" s="344">
        <v>184</v>
      </c>
      <c r="L14" t="s">
        <v>551</v>
      </c>
      <c r="M14" s="317" t="s">
        <v>65</v>
      </c>
      <c r="N14" s="400">
        <f t="shared" si="0"/>
        <v>0.59740259740259738</v>
      </c>
      <c r="P14" s="660">
        <v>10</v>
      </c>
      <c r="Q14" s="344">
        <v>47</v>
      </c>
      <c r="R14" t="s">
        <v>521</v>
      </c>
      <c r="S14" t="s">
        <v>2</v>
      </c>
      <c r="T14" s="159">
        <f>Q14/K16</f>
        <v>0.28834355828220859</v>
      </c>
    </row>
    <row r="15" spans="1:22" x14ac:dyDescent="0.25">
      <c r="A15" s="412" t="s">
        <v>989</v>
      </c>
      <c r="B15" t="s">
        <v>590</v>
      </c>
      <c r="C15" s="317" t="s">
        <v>66</v>
      </c>
      <c r="E15">
        <v>3</v>
      </c>
      <c r="F15" s="344">
        <v>68</v>
      </c>
      <c r="G15" t="s">
        <v>548</v>
      </c>
      <c r="H15" s="317" t="s">
        <v>507</v>
      </c>
      <c r="J15" s="683">
        <v>11</v>
      </c>
      <c r="K15" s="478">
        <v>180</v>
      </c>
      <c r="L15" t="s">
        <v>640</v>
      </c>
      <c r="M15" t="s">
        <v>66</v>
      </c>
      <c r="N15" s="400">
        <f t="shared" si="0"/>
        <v>0.58441558441558439</v>
      </c>
      <c r="P15" s="660">
        <v>10</v>
      </c>
      <c r="Q15" s="348">
        <v>47</v>
      </c>
      <c r="R15" t="s">
        <v>535</v>
      </c>
      <c r="S15" s="317" t="s">
        <v>507</v>
      </c>
      <c r="T15" s="159">
        <f>Q15/K11</f>
        <v>0.22169811320754718</v>
      </c>
    </row>
    <row r="16" spans="1:22" x14ac:dyDescent="0.25">
      <c r="A16" s="410" t="s">
        <v>989</v>
      </c>
      <c r="B16" t="s">
        <v>548</v>
      </c>
      <c r="C16" s="317" t="s">
        <v>507</v>
      </c>
      <c r="E16">
        <v>4</v>
      </c>
      <c r="F16" s="716">
        <v>21</v>
      </c>
      <c r="G16" s="717" t="s">
        <v>193</v>
      </c>
      <c r="H16" s="717" t="s">
        <v>66</v>
      </c>
      <c r="J16" s="683">
        <v>12</v>
      </c>
      <c r="K16" s="344">
        <v>163</v>
      </c>
      <c r="L16" t="s">
        <v>521</v>
      </c>
      <c r="M16" s="317" t="s">
        <v>507</v>
      </c>
      <c r="N16" s="400">
        <f>K16/$F$24</f>
        <v>0.52922077922077926</v>
      </c>
      <c r="P16" s="660">
        <v>12</v>
      </c>
      <c r="Q16" s="348">
        <v>36</v>
      </c>
      <c r="R16" t="s">
        <v>531</v>
      </c>
      <c r="S16" t="s">
        <v>65</v>
      </c>
      <c r="T16" s="159">
        <f>Q16/K10</f>
        <v>0.16901408450704225</v>
      </c>
    </row>
    <row r="17" spans="1:22" x14ac:dyDescent="0.25">
      <c r="A17" s="410" t="s">
        <v>944</v>
      </c>
      <c r="B17" t="s">
        <v>640</v>
      </c>
      <c r="C17" s="317" t="s">
        <v>66</v>
      </c>
      <c r="E17">
        <v>5</v>
      </c>
      <c r="F17" s="478">
        <v>7</v>
      </c>
      <c r="G17" t="s">
        <v>522</v>
      </c>
      <c r="H17" s="317" t="s">
        <v>65</v>
      </c>
      <c r="J17" s="683">
        <v>13</v>
      </c>
      <c r="K17" s="716">
        <v>146</v>
      </c>
      <c r="L17" s="717" t="s">
        <v>207</v>
      </c>
      <c r="M17" s="718" t="s">
        <v>1</v>
      </c>
      <c r="N17" s="720">
        <f t="shared" si="0"/>
        <v>0.47402597402597402</v>
      </c>
      <c r="P17" s="660">
        <v>13</v>
      </c>
      <c r="Q17" s="478">
        <v>26</v>
      </c>
      <c r="R17" s="264" t="s">
        <v>1031</v>
      </c>
      <c r="S17" s="264" t="s">
        <v>67</v>
      </c>
      <c r="T17" s="159">
        <f>Q17/K25</f>
        <v>0.66666666666666663</v>
      </c>
      <c r="V17">
        <v>102</v>
      </c>
    </row>
    <row r="18" spans="1:22" x14ac:dyDescent="0.25">
      <c r="A18" s="410" t="s">
        <v>944</v>
      </c>
      <c r="B18" t="s">
        <v>589</v>
      </c>
      <c r="C18" s="317" t="s">
        <v>215</v>
      </c>
      <c r="E18">
        <v>6</v>
      </c>
      <c r="F18" s="716">
        <v>6</v>
      </c>
      <c r="G18" s="717" t="s">
        <v>197</v>
      </c>
      <c r="H18" s="718" t="s">
        <v>65</v>
      </c>
      <c r="J18" s="683">
        <v>14</v>
      </c>
      <c r="K18" s="478">
        <v>117</v>
      </c>
      <c r="L18" t="s">
        <v>935</v>
      </c>
      <c r="M18" t="s">
        <v>1</v>
      </c>
      <c r="N18" s="400">
        <f>K18/$F$24</f>
        <v>0.37987012987012986</v>
      </c>
      <c r="P18" s="660">
        <v>14</v>
      </c>
      <c r="Q18" s="344">
        <v>20</v>
      </c>
      <c r="R18" t="s">
        <v>606</v>
      </c>
      <c r="S18" t="s">
        <v>65</v>
      </c>
      <c r="T18" s="159">
        <f>Q18/K20</f>
        <v>0.21052631578947367</v>
      </c>
    </row>
    <row r="19" spans="1:22" x14ac:dyDescent="0.25">
      <c r="A19" s="412" t="s">
        <v>944</v>
      </c>
      <c r="B19" t="s">
        <v>551</v>
      </c>
      <c r="C19" s="317" t="s">
        <v>65</v>
      </c>
      <c r="E19">
        <v>7</v>
      </c>
      <c r="F19" s="719">
        <v>5</v>
      </c>
      <c r="G19" s="717" t="s">
        <v>196</v>
      </c>
      <c r="H19" s="718" t="s">
        <v>65</v>
      </c>
      <c r="J19" s="683">
        <v>15</v>
      </c>
      <c r="K19" s="478">
        <v>106</v>
      </c>
      <c r="L19" s="264" t="s">
        <v>768</v>
      </c>
      <c r="M19" s="488" t="s">
        <v>215</v>
      </c>
      <c r="N19" s="400">
        <f>K19/$F$24</f>
        <v>0.34415584415584416</v>
      </c>
      <c r="P19" s="660">
        <v>14</v>
      </c>
      <c r="Q19" s="716">
        <v>19</v>
      </c>
      <c r="R19" s="717" t="s">
        <v>208</v>
      </c>
      <c r="S19" s="718" t="s">
        <v>525</v>
      </c>
      <c r="T19" s="159"/>
    </row>
    <row r="20" spans="1:22" x14ac:dyDescent="0.25">
      <c r="A20" s="412" t="s">
        <v>944</v>
      </c>
      <c r="B20" t="s">
        <v>531</v>
      </c>
      <c r="C20" s="317" t="s">
        <v>65</v>
      </c>
      <c r="E20">
        <v>8</v>
      </c>
      <c r="F20" s="716">
        <v>4</v>
      </c>
      <c r="G20" s="717" t="s">
        <v>427</v>
      </c>
      <c r="H20" s="718" t="s">
        <v>215</v>
      </c>
      <c r="J20" s="683">
        <v>16</v>
      </c>
      <c r="K20" s="478">
        <v>95</v>
      </c>
      <c r="L20" t="s">
        <v>606</v>
      </c>
      <c r="M20" t="s">
        <v>65</v>
      </c>
      <c r="N20" s="400">
        <f>K20/$F$24</f>
        <v>0.30844155844155846</v>
      </c>
      <c r="P20" s="660">
        <v>16</v>
      </c>
      <c r="Q20" s="716">
        <v>15</v>
      </c>
      <c r="R20" s="717" t="s">
        <v>196</v>
      </c>
      <c r="S20" s="718" t="s">
        <v>65</v>
      </c>
      <c r="T20" s="159"/>
    </row>
    <row r="21" spans="1:22" x14ac:dyDescent="0.25">
      <c r="A21" s="412" t="s">
        <v>855</v>
      </c>
      <c r="B21" t="s">
        <v>644</v>
      </c>
      <c r="C21" s="317" t="s">
        <v>215</v>
      </c>
      <c r="E21">
        <v>9</v>
      </c>
      <c r="F21" s="644">
        <v>2</v>
      </c>
      <c r="G21" t="s">
        <v>209</v>
      </c>
      <c r="H21" s="317" t="s">
        <v>1</v>
      </c>
      <c r="J21" s="683">
        <v>17</v>
      </c>
      <c r="K21" s="716">
        <v>89</v>
      </c>
      <c r="L21" s="717" t="s">
        <v>536</v>
      </c>
      <c r="M21" s="718" t="s">
        <v>507</v>
      </c>
      <c r="N21" s="720">
        <f t="shared" si="0"/>
        <v>0.28896103896103897</v>
      </c>
      <c r="P21" s="660">
        <v>17</v>
      </c>
      <c r="Q21" s="344">
        <v>12</v>
      </c>
      <c r="R21" t="s">
        <v>626</v>
      </c>
      <c r="S21" t="s">
        <v>215</v>
      </c>
      <c r="T21" s="159">
        <f>Q21/K27</f>
        <v>0.375</v>
      </c>
    </row>
    <row r="22" spans="1:22" x14ac:dyDescent="0.25">
      <c r="A22" s="353" t="s">
        <v>1039</v>
      </c>
      <c r="B22" t="s">
        <v>535</v>
      </c>
      <c r="C22" s="317" t="s">
        <v>507</v>
      </c>
      <c r="E22">
        <v>10</v>
      </c>
      <c r="F22" s="719">
        <v>1</v>
      </c>
      <c r="G22" s="717" t="s">
        <v>208</v>
      </c>
      <c r="H22" s="718" t="s">
        <v>525</v>
      </c>
      <c r="J22" s="683">
        <v>18</v>
      </c>
      <c r="K22" s="478">
        <v>68</v>
      </c>
      <c r="L22" t="s">
        <v>1028</v>
      </c>
      <c r="M22" t="s">
        <v>2</v>
      </c>
      <c r="N22" s="400">
        <f>K22/$F$24</f>
        <v>0.22077922077922077</v>
      </c>
      <c r="P22" s="660">
        <v>18</v>
      </c>
      <c r="Q22" s="348">
        <v>11</v>
      </c>
      <c r="R22" t="s">
        <v>209</v>
      </c>
      <c r="S22" s="317" t="s">
        <v>1</v>
      </c>
      <c r="T22" s="159">
        <f>Q22/K13</f>
        <v>5.9782608695652176E-2</v>
      </c>
    </row>
    <row r="23" spans="1:22" x14ac:dyDescent="0.25">
      <c r="A23" s="412" t="s">
        <v>709</v>
      </c>
      <c r="B23" t="s">
        <v>209</v>
      </c>
      <c r="C23" s="317" t="s">
        <v>1</v>
      </c>
      <c r="E23">
        <v>10</v>
      </c>
      <c r="F23" s="3">
        <v>1</v>
      </c>
      <c r="G23" t="s">
        <v>521</v>
      </c>
      <c r="H23" t="s">
        <v>2</v>
      </c>
      <c r="J23" s="683">
        <v>19</v>
      </c>
      <c r="K23" s="644">
        <v>63</v>
      </c>
      <c r="L23" t="s">
        <v>771</v>
      </c>
      <c r="M23" t="s">
        <v>507</v>
      </c>
      <c r="N23" s="400">
        <f t="shared" si="0"/>
        <v>0.20454545454545456</v>
      </c>
      <c r="P23" s="660">
        <v>18</v>
      </c>
      <c r="Q23" s="344">
        <v>11</v>
      </c>
      <c r="R23" t="s">
        <v>771</v>
      </c>
      <c r="S23" t="s">
        <v>2</v>
      </c>
      <c r="T23" s="159">
        <f>Q23/K23</f>
        <v>0.17460317460317459</v>
      </c>
    </row>
    <row r="24" spans="1:22" x14ac:dyDescent="0.25">
      <c r="A24" s="716" t="s">
        <v>709</v>
      </c>
      <c r="B24" s="717" t="s">
        <v>207</v>
      </c>
      <c r="C24" s="718" t="s">
        <v>1</v>
      </c>
      <c r="F24" s="722">
        <f>SUM(F13:F23)</f>
        <v>308</v>
      </c>
      <c r="J24" s="683">
        <v>20</v>
      </c>
      <c r="K24" s="716">
        <v>55</v>
      </c>
      <c r="L24" s="717" t="s">
        <v>208</v>
      </c>
      <c r="M24" s="718" t="s">
        <v>525</v>
      </c>
      <c r="N24" s="720">
        <f t="shared" si="0"/>
        <v>0.17857142857142858</v>
      </c>
      <c r="P24" s="660">
        <v>20</v>
      </c>
      <c r="Q24" s="716">
        <v>10</v>
      </c>
      <c r="R24" s="717" t="s">
        <v>536</v>
      </c>
      <c r="S24" s="718" t="s">
        <v>507</v>
      </c>
      <c r="T24" s="159">
        <f>Q24/K21</f>
        <v>0.11235955056179775</v>
      </c>
    </row>
    <row r="25" spans="1:22" x14ac:dyDescent="0.25">
      <c r="A25" s="410" t="s">
        <v>709</v>
      </c>
      <c r="B25" t="s">
        <v>606</v>
      </c>
      <c r="C25" t="s">
        <v>65</v>
      </c>
      <c r="J25" s="683">
        <v>21</v>
      </c>
      <c r="K25" s="478">
        <v>39</v>
      </c>
      <c r="L25" t="s">
        <v>1031</v>
      </c>
      <c r="M25" t="s">
        <v>67</v>
      </c>
      <c r="N25" s="400">
        <f t="shared" ref="N25" si="1">K25/$F$24</f>
        <v>0.12662337662337661</v>
      </c>
      <c r="P25" s="660">
        <v>20</v>
      </c>
      <c r="Q25" s="716">
        <v>10</v>
      </c>
      <c r="R25" s="717" t="s">
        <v>641</v>
      </c>
      <c r="S25" s="718" t="s">
        <v>215</v>
      </c>
      <c r="T25" s="538"/>
      <c r="U25" s="345"/>
    </row>
    <row r="26" spans="1:22" x14ac:dyDescent="0.25">
      <c r="A26" s="716" t="s">
        <v>532</v>
      </c>
      <c r="B26" s="717" t="s">
        <v>427</v>
      </c>
      <c r="C26" s="718" t="s">
        <v>215</v>
      </c>
      <c r="J26" s="683"/>
      <c r="K26" s="644" t="s">
        <v>963</v>
      </c>
      <c r="L26" t="s">
        <v>963</v>
      </c>
      <c r="M26" t="s">
        <v>963</v>
      </c>
      <c r="N26" s="674" t="s">
        <v>963</v>
      </c>
      <c r="P26" s="660">
        <v>20</v>
      </c>
      <c r="Q26" s="633">
        <v>10</v>
      </c>
      <c r="R26" t="s">
        <v>1028</v>
      </c>
      <c r="S26" t="s">
        <v>2</v>
      </c>
      <c r="T26" s="159">
        <f>Q26/K25</f>
        <v>0.25641025641025639</v>
      </c>
      <c r="V26">
        <v>56</v>
      </c>
    </row>
    <row r="27" spans="1:22" x14ac:dyDescent="0.25">
      <c r="A27" s="410" t="s">
        <v>532</v>
      </c>
      <c r="B27" t="s">
        <v>521</v>
      </c>
      <c r="C27" s="317" t="s">
        <v>2</v>
      </c>
      <c r="J27" s="683"/>
      <c r="K27" s="644">
        <v>32</v>
      </c>
      <c r="L27" t="s">
        <v>626</v>
      </c>
      <c r="M27" t="s">
        <v>215</v>
      </c>
      <c r="N27" s="400">
        <f>K27/$F$24</f>
        <v>0.1038961038961039</v>
      </c>
      <c r="P27" s="660">
        <v>23</v>
      </c>
      <c r="Q27" s="716">
        <v>9</v>
      </c>
      <c r="R27" s="717" t="s">
        <v>538</v>
      </c>
      <c r="S27" s="717" t="s">
        <v>215</v>
      </c>
      <c r="T27" s="159"/>
    </row>
    <row r="28" spans="1:22" x14ac:dyDescent="0.25">
      <c r="A28" s="490" t="s">
        <v>532</v>
      </c>
      <c r="B28" t="s">
        <v>771</v>
      </c>
      <c r="C28" t="s">
        <v>507</v>
      </c>
      <c r="P28" s="660">
        <v>23</v>
      </c>
      <c r="Q28" s="716">
        <v>9</v>
      </c>
      <c r="R28" s="717" t="s">
        <v>537</v>
      </c>
      <c r="S28" s="717" t="s">
        <v>215</v>
      </c>
      <c r="T28" s="159"/>
    </row>
    <row r="29" spans="1:22" x14ac:dyDescent="0.25">
      <c r="A29" s="716" t="s">
        <v>1030</v>
      </c>
      <c r="B29" s="717" t="s">
        <v>964</v>
      </c>
      <c r="C29" s="717" t="s">
        <v>67</v>
      </c>
      <c r="P29" s="660">
        <v>25</v>
      </c>
      <c r="Q29" s="716">
        <v>8</v>
      </c>
      <c r="R29" s="717" t="s">
        <v>202</v>
      </c>
      <c r="S29" s="717" t="s">
        <v>507</v>
      </c>
      <c r="T29" s="159"/>
    </row>
    <row r="30" spans="1:22" x14ac:dyDescent="0.25">
      <c r="A30" s="716" t="s">
        <v>605</v>
      </c>
      <c r="B30" s="717" t="s">
        <v>641</v>
      </c>
      <c r="C30" s="718" t="s">
        <v>215</v>
      </c>
      <c r="P30" s="660">
        <v>26</v>
      </c>
      <c r="Q30" s="716">
        <v>6</v>
      </c>
      <c r="R30" s="717" t="s">
        <v>207</v>
      </c>
      <c r="S30" s="718" t="s">
        <v>1</v>
      </c>
      <c r="T30" s="159"/>
    </row>
    <row r="31" spans="1:22" x14ac:dyDescent="0.25">
      <c r="A31" s="425" t="s">
        <v>605</v>
      </c>
      <c r="B31" t="s">
        <v>626</v>
      </c>
      <c r="C31" t="s">
        <v>215</v>
      </c>
      <c r="P31" s="688">
        <v>27</v>
      </c>
      <c r="Q31" s="716">
        <v>3</v>
      </c>
      <c r="R31" s="717" t="s">
        <v>964</v>
      </c>
      <c r="S31" s="717" t="s">
        <v>67</v>
      </c>
      <c r="T31" s="159">
        <f>Q31/K25</f>
        <v>7.6923076923076927E-2</v>
      </c>
    </row>
    <row r="32" spans="1:22" x14ac:dyDescent="0.25">
      <c r="A32" s="347"/>
      <c r="B32" s="345"/>
      <c r="C32" s="346"/>
      <c r="P32" s="714">
        <v>27</v>
      </c>
      <c r="Q32" s="716">
        <v>3</v>
      </c>
      <c r="R32" s="717" t="s">
        <v>779</v>
      </c>
      <c r="S32" s="717" t="s">
        <v>65</v>
      </c>
      <c r="T32" s="159"/>
    </row>
    <row r="33" spans="1:17" x14ac:dyDescent="0.25">
      <c r="A33" s="347"/>
      <c r="B33" s="345"/>
      <c r="C33" s="346"/>
      <c r="Q33" s="723">
        <f>SUM(Q5:Q32)</f>
        <v>999</v>
      </c>
    </row>
    <row r="34" spans="1:17" x14ac:dyDescent="0.25">
      <c r="A34" s="347"/>
      <c r="B34" s="345"/>
      <c r="C34" s="346"/>
    </row>
    <row r="35" spans="1:17" x14ac:dyDescent="0.25">
      <c r="A35" s="347"/>
      <c r="B35" s="345"/>
      <c r="C35" s="345"/>
    </row>
    <row r="36" spans="1:17" x14ac:dyDescent="0.25">
      <c r="A36" s="711"/>
    </row>
  </sheetData>
  <mergeCells count="5">
    <mergeCell ref="F12:G12"/>
    <mergeCell ref="F4:G4"/>
    <mergeCell ref="Q4:R4"/>
    <mergeCell ref="A8:B8"/>
    <mergeCell ref="K4:M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44" t="s">
        <v>11</v>
      </c>
      <c r="E2" s="744"/>
      <c r="F2" s="745" t="s">
        <v>12</v>
      </c>
      <c r="G2" s="745"/>
      <c r="H2" s="746" t="s">
        <v>13</v>
      </c>
      <c r="I2" s="746"/>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47" t="s">
        <v>461</v>
      </c>
      <c r="C1" s="747"/>
      <c r="D1" s="747"/>
      <c r="E1" s="747"/>
      <c r="F1" s="747"/>
      <c r="G1" s="747"/>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48"/>
      <c r="N27" s="735"/>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48"/>
      <c r="N29" s="735"/>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48"/>
      <c r="M27" s="735"/>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48"/>
      <c r="M29" s="735"/>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47" t="s">
        <v>461</v>
      </c>
      <c r="C1" s="747"/>
      <c r="D1" s="747"/>
      <c r="E1" s="747"/>
      <c r="F1" s="747"/>
      <c r="G1" s="747"/>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5" x14ac:dyDescent="0.25">
      <c r="A4" s="360" t="s">
        <v>689</v>
      </c>
      <c r="B4" s="275" t="s">
        <v>670</v>
      </c>
      <c r="C4" s="275" t="s">
        <v>655</v>
      </c>
      <c r="D4" s="275" t="s">
        <v>64</v>
      </c>
      <c r="E4" s="185" t="s">
        <v>659</v>
      </c>
      <c r="F4" s="277">
        <v>39905</v>
      </c>
      <c r="G4" s="186">
        <v>69069</v>
      </c>
      <c r="H4" s="186">
        <v>2557</v>
      </c>
      <c r="I4" s="187" t="s">
        <v>690</v>
      </c>
      <c r="J4" s="188">
        <v>164826341</v>
      </c>
      <c r="K4" s="188">
        <v>16513898</v>
      </c>
      <c r="L4" s="275">
        <v>225</v>
      </c>
      <c r="M4" s="280">
        <v>1399174</v>
      </c>
    </row>
    <row r="5" spans="1:15" x14ac:dyDescent="0.25">
      <c r="A5" s="360" t="s">
        <v>683</v>
      </c>
      <c r="B5" s="275" t="s">
        <v>686</v>
      </c>
      <c r="C5" s="275" t="s">
        <v>464</v>
      </c>
      <c r="D5" s="275" t="s">
        <v>688</v>
      </c>
      <c r="E5" s="185" t="s">
        <v>685</v>
      </c>
      <c r="F5" s="277">
        <v>38131</v>
      </c>
      <c r="G5" s="186">
        <v>65100</v>
      </c>
      <c r="H5" s="186">
        <v>2785</v>
      </c>
      <c r="I5" s="187" t="s">
        <v>684</v>
      </c>
      <c r="J5" s="188">
        <v>102523605</v>
      </c>
      <c r="K5" s="188">
        <v>3299515</v>
      </c>
      <c r="L5" s="275">
        <v>374</v>
      </c>
      <c r="M5" s="280">
        <v>813312</v>
      </c>
    </row>
    <row r="6" spans="1:15" x14ac:dyDescent="0.25">
      <c r="A6" s="360" t="s">
        <v>679</v>
      </c>
      <c r="B6" s="275" t="s">
        <v>674</v>
      </c>
      <c r="C6" s="275" t="s">
        <v>225</v>
      </c>
      <c r="D6" s="275" t="s">
        <v>64</v>
      </c>
      <c r="E6" s="185" t="s">
        <v>474</v>
      </c>
      <c r="F6" s="278">
        <v>41153</v>
      </c>
      <c r="G6" s="186">
        <v>41940</v>
      </c>
      <c r="H6" s="186">
        <v>2528</v>
      </c>
      <c r="I6" s="187" t="s">
        <v>680</v>
      </c>
      <c r="J6" s="188">
        <v>10691000</v>
      </c>
      <c r="K6" s="188">
        <v>-6306765</v>
      </c>
      <c r="L6" s="275">
        <v>51</v>
      </c>
      <c r="M6" s="280">
        <v>515084</v>
      </c>
    </row>
    <row r="7" spans="1:15" x14ac:dyDescent="0.25">
      <c r="A7" s="184" t="s">
        <v>672</v>
      </c>
      <c r="B7" s="275" t="s">
        <v>674</v>
      </c>
      <c r="C7" s="275" t="s">
        <v>655</v>
      </c>
      <c r="D7" s="275" t="s">
        <v>677</v>
      </c>
      <c r="E7" s="185" t="s">
        <v>675</v>
      </c>
      <c r="F7" s="277">
        <v>37346</v>
      </c>
      <c r="G7" s="186">
        <v>44300</v>
      </c>
      <c r="H7" s="186">
        <v>2414</v>
      </c>
      <c r="I7" s="187" t="s">
        <v>673</v>
      </c>
      <c r="J7" s="188">
        <v>80114648</v>
      </c>
      <c r="K7" s="188">
        <v>18307648</v>
      </c>
      <c r="L7" s="275">
        <v>243</v>
      </c>
      <c r="M7" s="280">
        <v>1144574</v>
      </c>
    </row>
    <row r="8" spans="1:15" x14ac:dyDescent="0.25">
      <c r="A8" s="184" t="s">
        <v>664</v>
      </c>
      <c r="B8" s="275" t="s">
        <v>668</v>
      </c>
      <c r="C8" s="275" t="s">
        <v>465</v>
      </c>
      <c r="D8" s="275" t="s">
        <v>547</v>
      </c>
      <c r="E8" s="185" t="s">
        <v>666</v>
      </c>
      <c r="F8" s="277">
        <v>40475</v>
      </c>
      <c r="G8" s="186">
        <v>41840</v>
      </c>
      <c r="H8" s="186">
        <v>2621</v>
      </c>
      <c r="I8" s="187" t="s">
        <v>665</v>
      </c>
      <c r="J8" s="188">
        <v>26320922</v>
      </c>
      <c r="K8" s="188">
        <v>-11164498</v>
      </c>
      <c r="L8" s="275">
        <v>96</v>
      </c>
      <c r="M8" s="280">
        <v>833009</v>
      </c>
    </row>
    <row r="9" spans="1:15" x14ac:dyDescent="0.25">
      <c r="A9" s="184" t="s">
        <v>658</v>
      </c>
      <c r="B9" s="275" t="s">
        <v>674</v>
      </c>
      <c r="C9" s="275" t="s">
        <v>573</v>
      </c>
      <c r="D9" s="275" t="s">
        <v>581</v>
      </c>
      <c r="E9" s="185" t="s">
        <v>659</v>
      </c>
      <c r="F9" s="277">
        <v>38168</v>
      </c>
      <c r="G9" s="186">
        <v>70000</v>
      </c>
      <c r="H9" s="186">
        <v>2465</v>
      </c>
      <c r="I9" s="187" t="s">
        <v>660</v>
      </c>
      <c r="J9" s="188">
        <v>51949337</v>
      </c>
      <c r="K9" s="188">
        <v>-10514595</v>
      </c>
      <c r="L9" s="275">
        <v>174</v>
      </c>
      <c r="M9" s="280">
        <v>1452650</v>
      </c>
    </row>
    <row r="10" spans="1:15" x14ac:dyDescent="0.25">
      <c r="A10" s="184" t="s">
        <v>651</v>
      </c>
      <c r="B10" s="275" t="s">
        <v>692</v>
      </c>
      <c r="C10" s="275" t="s">
        <v>179</v>
      </c>
      <c r="D10" s="275" t="s">
        <v>547</v>
      </c>
      <c r="E10" s="185" t="s">
        <v>656</v>
      </c>
      <c r="F10" s="277">
        <v>40858</v>
      </c>
      <c r="G10" s="186">
        <v>52500</v>
      </c>
      <c r="H10" s="186">
        <v>2565</v>
      </c>
      <c r="I10" s="187" t="s">
        <v>657</v>
      </c>
      <c r="J10" s="188">
        <v>24509198</v>
      </c>
      <c r="K10" s="188">
        <v>7144948</v>
      </c>
      <c r="L10" s="275">
        <v>126</v>
      </c>
      <c r="M10" s="280">
        <v>267142</v>
      </c>
    </row>
    <row r="11" spans="1:15" x14ac:dyDescent="0.25">
      <c r="A11" s="197" t="s">
        <v>243</v>
      </c>
      <c r="B11" s="275" t="s">
        <v>670</v>
      </c>
      <c r="C11" s="275" t="s">
        <v>225</v>
      </c>
      <c r="D11" s="275" t="s">
        <v>677</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691</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682</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678</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667</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663</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652</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671</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687</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681</v>
      </c>
      <c r="M27" s="748"/>
      <c r="N27" s="735"/>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676</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654</v>
      </c>
      <c r="J29" s="279">
        <v>4</v>
      </c>
      <c r="K29" s="279" t="s">
        <v>654</v>
      </c>
      <c r="L29" s="275" t="s">
        <v>669</v>
      </c>
      <c r="M29" s="748"/>
      <c r="N29" s="735"/>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662</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654</v>
      </c>
      <c r="J31" s="279">
        <v>6</v>
      </c>
      <c r="K31" s="279" t="s">
        <v>654</v>
      </c>
      <c r="L31" s="275" t="s">
        <v>653</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47" t="s">
        <v>461</v>
      </c>
      <c r="C1" s="747"/>
      <c r="D1" s="747"/>
      <c r="E1" s="747"/>
      <c r="F1" s="747"/>
      <c r="G1" s="747"/>
      <c r="H1" s="484"/>
      <c r="I1" s="484"/>
      <c r="J1" s="484"/>
      <c r="K1" s="484"/>
      <c r="L1" s="484"/>
      <c r="M1" s="484"/>
    </row>
    <row r="2" spans="1:13" x14ac:dyDescent="0.25">
      <c r="A2" s="180"/>
      <c r="B2" s="484"/>
      <c r="C2" s="484"/>
      <c r="D2" s="484"/>
      <c r="E2" s="484"/>
      <c r="F2" s="484"/>
      <c r="G2" s="484"/>
      <c r="H2" s="484"/>
      <c r="I2" s="484"/>
      <c r="J2" s="484"/>
      <c r="K2" s="484"/>
      <c r="L2" s="484"/>
      <c r="M2" s="484"/>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3" x14ac:dyDescent="0.25">
      <c r="A4" s="360" t="s">
        <v>946</v>
      </c>
      <c r="B4" s="275" t="s">
        <v>674</v>
      </c>
      <c r="C4" s="275" t="s">
        <v>655</v>
      </c>
      <c r="D4" s="275"/>
      <c r="E4" s="185" t="s">
        <v>947</v>
      </c>
      <c r="F4" s="277">
        <v>38857</v>
      </c>
      <c r="G4" s="186">
        <v>67641</v>
      </c>
      <c r="H4" s="186">
        <v>2838</v>
      </c>
      <c r="I4" s="187" t="s">
        <v>948</v>
      </c>
      <c r="J4" s="188">
        <v>138055793</v>
      </c>
      <c r="K4" s="188">
        <v>136696022</v>
      </c>
      <c r="L4" s="275">
        <v>370</v>
      </c>
      <c r="M4" s="280">
        <v>945588</v>
      </c>
    </row>
    <row r="5" spans="1:13" x14ac:dyDescent="0.25">
      <c r="A5" s="184" t="s">
        <v>460</v>
      </c>
      <c r="B5" s="275" t="s">
        <v>670</v>
      </c>
      <c r="C5" s="275" t="s">
        <v>179</v>
      </c>
      <c r="D5" s="275" t="s">
        <v>924</v>
      </c>
      <c r="E5" s="185" t="s">
        <v>466</v>
      </c>
      <c r="F5" s="277">
        <v>41400</v>
      </c>
      <c r="G5" s="186">
        <v>58157</v>
      </c>
      <c r="H5" s="186">
        <v>2845</v>
      </c>
      <c r="I5" s="187" t="s">
        <v>950</v>
      </c>
      <c r="J5" s="188">
        <v>1035350</v>
      </c>
      <c r="K5" s="188">
        <v>-12451970</v>
      </c>
      <c r="L5" s="275">
        <v>23</v>
      </c>
      <c r="M5" s="280">
        <v>4495773</v>
      </c>
    </row>
    <row r="6" spans="1:13" x14ac:dyDescent="0.25">
      <c r="A6" s="360" t="s">
        <v>920</v>
      </c>
      <c r="B6" s="275" t="s">
        <v>674</v>
      </c>
      <c r="C6" s="275" t="s">
        <v>470</v>
      </c>
      <c r="D6" s="275"/>
      <c r="E6" s="185" t="s">
        <v>559</v>
      </c>
      <c r="F6" s="277">
        <v>38075</v>
      </c>
      <c r="G6" s="186">
        <v>70525</v>
      </c>
      <c r="H6" s="186">
        <v>2758</v>
      </c>
      <c r="I6" s="187" t="s">
        <v>762</v>
      </c>
      <c r="J6" s="188">
        <v>143006593</v>
      </c>
      <c r="K6" s="188">
        <v>-7381552</v>
      </c>
      <c r="L6" s="275">
        <v>320</v>
      </c>
      <c r="M6" s="280">
        <v>1285369</v>
      </c>
    </row>
    <row r="7" spans="1:13" x14ac:dyDescent="0.25">
      <c r="A7" s="184" t="s">
        <v>925</v>
      </c>
      <c r="B7" s="275" t="s">
        <v>668</v>
      </c>
      <c r="C7" s="275" t="s">
        <v>465</v>
      </c>
      <c r="D7" s="275"/>
      <c r="E7" s="185" t="s">
        <v>559</v>
      </c>
      <c r="F7" s="277">
        <v>41067</v>
      </c>
      <c r="G7" s="186">
        <v>67347</v>
      </c>
      <c r="H7" s="186">
        <v>2969</v>
      </c>
      <c r="I7" s="187" t="s">
        <v>923</v>
      </c>
      <c r="J7" s="188">
        <v>30810000</v>
      </c>
      <c r="K7" s="188">
        <v>-808447</v>
      </c>
      <c r="L7" s="275">
        <v>101</v>
      </c>
      <c r="M7" s="280">
        <v>702632</v>
      </c>
    </row>
    <row r="8" spans="1:13" x14ac:dyDescent="0.25">
      <c r="A8" s="184" t="s">
        <v>952</v>
      </c>
      <c r="B8" s="275" t="s">
        <v>674</v>
      </c>
      <c r="C8" s="275" t="s">
        <v>953</v>
      </c>
      <c r="D8" s="275"/>
      <c r="E8" s="185" t="s">
        <v>921</v>
      </c>
      <c r="F8" s="277">
        <v>39793</v>
      </c>
      <c r="G8" s="186">
        <v>50000</v>
      </c>
      <c r="H8" s="186">
        <v>2891</v>
      </c>
      <c r="I8" s="187" t="s">
        <v>954</v>
      </c>
      <c r="J8" s="188">
        <v>43131941</v>
      </c>
      <c r="K8" s="188">
        <v>-19594079</v>
      </c>
      <c r="L8" s="275">
        <v>144</v>
      </c>
      <c r="M8" s="280">
        <v>1334596</v>
      </c>
    </row>
    <row r="9" spans="1:13" x14ac:dyDescent="0.25">
      <c r="A9" s="360" t="s">
        <v>795</v>
      </c>
      <c r="B9" s="275" t="s">
        <v>674</v>
      </c>
      <c r="C9" s="275" t="s">
        <v>464</v>
      </c>
      <c r="D9" s="275"/>
      <c r="E9" s="185" t="s">
        <v>956</v>
      </c>
      <c r="F9" s="278">
        <v>39361</v>
      </c>
      <c r="G9" s="186">
        <v>75255</v>
      </c>
      <c r="H9" s="186">
        <v>2959</v>
      </c>
      <c r="I9" s="187" t="s">
        <v>763</v>
      </c>
      <c r="J9" s="188">
        <v>155442840</v>
      </c>
      <c r="K9" s="188">
        <v>-11481107</v>
      </c>
      <c r="L9" s="275">
        <v>510</v>
      </c>
      <c r="M9" s="280">
        <v>596157</v>
      </c>
    </row>
    <row r="10" spans="1:13" x14ac:dyDescent="0.25">
      <c r="A10" s="184" t="s">
        <v>958</v>
      </c>
      <c r="B10" s="275" t="s">
        <v>674</v>
      </c>
      <c r="C10" s="275" t="s">
        <v>179</v>
      </c>
      <c r="D10" s="275"/>
      <c r="E10" s="185" t="s">
        <v>921</v>
      </c>
      <c r="F10" s="277">
        <v>41624</v>
      </c>
      <c r="G10" s="186">
        <v>48000</v>
      </c>
      <c r="H10" s="186">
        <v>2771</v>
      </c>
      <c r="I10" s="187" t="s">
        <v>959</v>
      </c>
      <c r="J10" s="188">
        <v>17487490</v>
      </c>
      <c r="K10" s="188">
        <v>-3320330</v>
      </c>
      <c r="L10" s="275">
        <v>94</v>
      </c>
      <c r="M10" s="280">
        <v>358756</v>
      </c>
    </row>
    <row r="11" spans="1:13" x14ac:dyDescent="0.25">
      <c r="A11" s="184" t="s">
        <v>960</v>
      </c>
      <c r="B11" s="275" t="s">
        <v>668</v>
      </c>
      <c r="C11" s="275" t="s">
        <v>179</v>
      </c>
      <c r="D11" s="275"/>
      <c r="E11" s="185" t="s">
        <v>659</v>
      </c>
      <c r="F11" s="277">
        <v>40117</v>
      </c>
      <c r="G11" s="186">
        <v>87000</v>
      </c>
      <c r="H11" s="186">
        <v>2987</v>
      </c>
      <c r="I11" s="187" t="s">
        <v>961</v>
      </c>
      <c r="J11" s="188">
        <v>6689603</v>
      </c>
      <c r="K11" s="188">
        <v>-12050288</v>
      </c>
      <c r="L11" s="275">
        <v>210</v>
      </c>
      <c r="M11" s="280">
        <v>173518</v>
      </c>
    </row>
    <row r="12" spans="1:13" x14ac:dyDescent="0.25">
      <c r="A12" s="180"/>
      <c r="B12" s="484"/>
      <c r="C12" s="484"/>
      <c r="D12" s="484"/>
      <c r="E12" s="484"/>
      <c r="F12" s="484"/>
      <c r="G12" s="484"/>
      <c r="H12" s="484"/>
      <c r="I12" s="484"/>
      <c r="J12" s="484"/>
      <c r="K12" s="484"/>
      <c r="L12" s="484"/>
      <c r="M12" s="484"/>
    </row>
    <row r="13" spans="1:13" x14ac:dyDescent="0.25">
      <c r="A13" s="180"/>
      <c r="B13" s="356">
        <f>AVERAGE(B15:B22)</f>
        <v>2815.5</v>
      </c>
      <c r="C13" s="356">
        <f>AVERAGE(C15:C22)</f>
        <v>2878.25</v>
      </c>
      <c r="D13" s="484"/>
      <c r="E13" s="484"/>
      <c r="F13" s="484"/>
      <c r="G13" s="484"/>
      <c r="H13" s="484"/>
      <c r="I13" s="484"/>
      <c r="J13" s="484"/>
      <c r="K13" s="484"/>
      <c r="L13" s="484"/>
      <c r="M13" s="484"/>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4"/>
      <c r="C23" s="484"/>
      <c r="D23" s="484"/>
      <c r="E23" s="484"/>
      <c r="F23" s="484"/>
      <c r="G23" s="484"/>
      <c r="H23" s="484"/>
      <c r="I23" s="484"/>
      <c r="J23" s="484"/>
      <c r="K23" s="484"/>
      <c r="L23" s="484"/>
      <c r="M23" s="484"/>
    </row>
    <row r="24" spans="1:17" x14ac:dyDescent="0.25">
      <c r="A24" s="181" t="s">
        <v>217</v>
      </c>
      <c r="B24" s="183" t="s">
        <v>232</v>
      </c>
      <c r="C24" s="183" t="s">
        <v>233</v>
      </c>
      <c r="D24" s="183" t="s">
        <v>759</v>
      </c>
      <c r="E24" s="183" t="s">
        <v>760</v>
      </c>
      <c r="F24" s="183" t="s">
        <v>761</v>
      </c>
      <c r="G24" s="276" t="s">
        <v>234</v>
      </c>
      <c r="H24" s="276" t="s">
        <v>235</v>
      </c>
      <c r="I24" s="276" t="s">
        <v>236</v>
      </c>
      <c r="J24" s="276" t="s">
        <v>237</v>
      </c>
      <c r="K24" s="276" t="s">
        <v>238</v>
      </c>
      <c r="P24" s="484"/>
      <c r="Q24" s="484"/>
    </row>
    <row r="25" spans="1:17" x14ac:dyDescent="0.25">
      <c r="A25" s="360" t="str">
        <f>A15</f>
        <v>Krushers</v>
      </c>
      <c r="B25" s="275">
        <v>1107700</v>
      </c>
      <c r="C25" s="275">
        <v>267788</v>
      </c>
      <c r="D25" s="192">
        <v>5.5</v>
      </c>
      <c r="E25" s="192">
        <v>6.75</v>
      </c>
      <c r="F25" s="275" t="s">
        <v>949</v>
      </c>
      <c r="G25" s="195">
        <f>B25/D15</f>
        <v>0.9396365980693212</v>
      </c>
      <c r="H25" s="195">
        <f>C25/E15</f>
        <v>0.91482020483598769</v>
      </c>
      <c r="I25" s="191">
        <f>B25/11</f>
        <v>100700</v>
      </c>
      <c r="J25" s="191">
        <f>C25/11</f>
        <v>24344.363636363636</v>
      </c>
      <c r="K25" s="192">
        <f>B25/C25</f>
        <v>4.1364810969871693</v>
      </c>
      <c r="P25" s="484"/>
      <c r="Q25" s="484"/>
    </row>
    <row r="26" spans="1:17" x14ac:dyDescent="0.25">
      <c r="A26" s="360" t="str">
        <f>A16</f>
        <v>Obiwan JC</v>
      </c>
      <c r="B26" s="275">
        <v>1026070</v>
      </c>
      <c r="C26" s="275">
        <v>132232</v>
      </c>
      <c r="D26" s="192">
        <v>6.75</v>
      </c>
      <c r="E26" s="192">
        <v>7</v>
      </c>
      <c r="F26" s="275" t="s">
        <v>945</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4"/>
      <c r="Q26" s="484"/>
    </row>
    <row r="27" spans="1:17" x14ac:dyDescent="0.25">
      <c r="A27" s="360" t="str">
        <f>A6</f>
        <v>FC Energie Cruces</v>
      </c>
      <c r="B27" s="275">
        <v>1130680</v>
      </c>
      <c r="C27" s="275">
        <v>174650</v>
      </c>
      <c r="D27" s="192">
        <v>5.25</v>
      </c>
      <c r="E27" s="192">
        <v>6.75</v>
      </c>
      <c r="F27" s="275" t="s">
        <v>922</v>
      </c>
      <c r="G27" s="195">
        <f>B27/D17</f>
        <v>0.80040775008317822</v>
      </c>
      <c r="H27" s="195">
        <f>C27/E17</f>
        <v>0.61713780918727912</v>
      </c>
      <c r="I27" s="191">
        <f>B27/11</f>
        <v>102789.09090909091</v>
      </c>
      <c r="J27" s="191">
        <f>C27/11</f>
        <v>15877.272727272728</v>
      </c>
      <c r="K27" s="192">
        <f>B27/C27</f>
        <v>6.4739765244775267</v>
      </c>
      <c r="P27" s="748"/>
      <c r="Q27" s="735"/>
    </row>
    <row r="28" spans="1:17" x14ac:dyDescent="0.25">
      <c r="A28" s="360" t="str">
        <f>A18</f>
        <v>Quasar FC</v>
      </c>
      <c r="B28" s="275">
        <v>1028560</v>
      </c>
      <c r="C28" s="275">
        <v>228106</v>
      </c>
      <c r="D28" s="275">
        <v>7</v>
      </c>
      <c r="E28" s="192">
        <v>6.25</v>
      </c>
      <c r="F28" s="275" t="s">
        <v>951</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4"/>
      <c r="Q28" s="484"/>
    </row>
    <row r="29" spans="1:17" x14ac:dyDescent="0.25">
      <c r="A29" s="360" t="str">
        <f>A19</f>
        <v>Concinnati Kids</v>
      </c>
      <c r="B29" s="275">
        <v>1113100</v>
      </c>
      <c r="C29" s="275">
        <v>220838</v>
      </c>
      <c r="D29" s="192">
        <v>5.75</v>
      </c>
      <c r="E29" s="192">
        <v>6.5</v>
      </c>
      <c r="F29" s="275" t="s">
        <v>955</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48"/>
      <c r="Q29" s="735"/>
    </row>
    <row r="30" spans="1:17" x14ac:dyDescent="0.25">
      <c r="A30" s="360" t="str">
        <f>A20</f>
        <v>The Fighting Philosophers</v>
      </c>
      <c r="B30" s="275">
        <v>2072420</v>
      </c>
      <c r="C30" s="275">
        <v>282550</v>
      </c>
      <c r="D30" s="192">
        <v>7.75</v>
      </c>
      <c r="E30" s="192">
        <v>6.25</v>
      </c>
      <c r="F30" s="275" t="s">
        <v>957</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4"/>
      <c r="Q30" s="484"/>
    </row>
    <row r="31" spans="1:17" x14ac:dyDescent="0.25">
      <c r="A31" s="360" t="str">
        <f>A21</f>
        <v>Stick Men 03</v>
      </c>
      <c r="B31" s="275">
        <v>851470</v>
      </c>
      <c r="C31" s="275">
        <v>231144</v>
      </c>
      <c r="D31" s="275">
        <v>4.25</v>
      </c>
      <c r="E31" s="192">
        <v>6.75</v>
      </c>
      <c r="F31" s="275" t="s">
        <v>883</v>
      </c>
      <c r="G31" s="195">
        <f t="shared" si="28"/>
        <v>0.88511315086435405</v>
      </c>
      <c r="H31" s="195">
        <f t="shared" si="28"/>
        <v>0.91033113834714385</v>
      </c>
      <c r="I31" s="191">
        <f t="shared" si="29"/>
        <v>77406.363636363632</v>
      </c>
      <c r="J31" s="191">
        <f t="shared" si="29"/>
        <v>21013.090909090908</v>
      </c>
      <c r="K31" s="192">
        <f t="shared" si="30"/>
        <v>3.6837209704772782</v>
      </c>
      <c r="P31" s="484"/>
      <c r="Q31" s="484"/>
    </row>
    <row r="32" spans="1:17" x14ac:dyDescent="0.25">
      <c r="A32" s="360" t="str">
        <f t="shared" ref="A32" si="36">A22</f>
        <v>The Old Rasputins</v>
      </c>
      <c r="B32" s="275">
        <v>1333310</v>
      </c>
      <c r="C32" s="275">
        <v>180416</v>
      </c>
      <c r="D32" s="192">
        <v>5.75</v>
      </c>
      <c r="E32" s="192">
        <v>6.75</v>
      </c>
      <c r="F32" s="275" t="s">
        <v>962</v>
      </c>
      <c r="G32" s="195">
        <f t="shared" si="28"/>
        <v>0.9129696455105073</v>
      </c>
      <c r="H32" s="195">
        <f t="shared" si="28"/>
        <v>0.86113312013746357</v>
      </c>
      <c r="I32" s="191">
        <f t="shared" si="29"/>
        <v>121210</v>
      </c>
      <c r="J32" s="191">
        <f t="shared" si="29"/>
        <v>16401.454545454544</v>
      </c>
      <c r="K32" s="192">
        <f t="shared" si="30"/>
        <v>7.3901982085846045</v>
      </c>
      <c r="P32" s="484"/>
      <c r="Q32" s="484"/>
    </row>
  </sheetData>
  <mergeCells count="3">
    <mergeCell ref="B1:G1"/>
    <mergeCell ref="P27:Q27"/>
    <mergeCell ref="P29:Q2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52"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53"/>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54">
        <f>C13</f>
        <v>1504841</v>
      </c>
      <c r="AA14" s="755"/>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56" t="s">
        <v>94</v>
      </c>
      <c r="B26" s="75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57" t="s">
        <v>95</v>
      </c>
      <c r="B27" s="75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58" t="s">
        <v>96</v>
      </c>
      <c r="B28" s="75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56" t="s">
        <v>97</v>
      </c>
      <c r="B29" s="75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57" t="s">
        <v>98</v>
      </c>
      <c r="B30" s="75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58" t="s">
        <v>99</v>
      </c>
      <c r="B31" s="75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59"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49">
        <f>C23</f>
        <v>1482625</v>
      </c>
      <c r="AA33" s="750"/>
    </row>
    <row r="34" spans="1:27" x14ac:dyDescent="0.25">
      <c r="A34" s="57"/>
      <c r="B34" s="759"/>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59"/>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59"/>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59"/>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59"/>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51"/>
      <c r="I40" s="751"/>
      <c r="J40" s="751"/>
      <c r="K40" s="75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60"/>
      <c r="I49" s="760"/>
      <c r="J49" s="760"/>
      <c r="K49" s="760"/>
    </row>
    <row r="50" spans="8:11" x14ac:dyDescent="0.25">
      <c r="H50" s="103"/>
      <c r="I50" s="103"/>
      <c r="J50" s="103"/>
      <c r="K50" s="103"/>
    </row>
    <row r="51" spans="8:11" x14ac:dyDescent="0.25">
      <c r="H51" s="760"/>
      <c r="I51" s="760"/>
      <c r="J51" s="760"/>
      <c r="K51" s="760"/>
    </row>
    <row r="52" spans="8:11" ht="15" customHeight="1" x14ac:dyDescent="0.25">
      <c r="H52" s="760"/>
      <c r="I52" s="760"/>
      <c r="J52" s="760"/>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211</v>
      </c>
      <c r="C2" s="762"/>
      <c r="D2" s="762"/>
      <c r="E2" s="762"/>
      <c r="F2" s="762"/>
      <c r="G2" s="763"/>
      <c r="I2" s="764" t="s">
        <v>102</v>
      </c>
      <c r="J2" s="764"/>
      <c r="K2" s="764"/>
      <c r="L2" s="764"/>
      <c r="M2" s="764"/>
      <c r="N2" s="764"/>
      <c r="O2" s="764"/>
      <c r="P2" s="764"/>
      <c r="Q2" s="764"/>
      <c r="R2" s="764"/>
      <c r="S2" s="764"/>
      <c r="T2" s="764"/>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2"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5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54">
        <f>C13</f>
        <v>2257672</v>
      </c>
      <c r="Z14" s="755"/>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56" t="s">
        <v>94</v>
      </c>
      <c r="B26" s="75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57" t="s">
        <v>95</v>
      </c>
      <c r="B27" s="75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58" t="s">
        <v>96</v>
      </c>
      <c r="B28" s="75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56" t="s">
        <v>97</v>
      </c>
      <c r="B29" s="75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57" t="s">
        <v>98</v>
      </c>
      <c r="B30" s="75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58" t="s">
        <v>99</v>
      </c>
      <c r="B31" s="75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59" t="s">
        <v>299</v>
      </c>
      <c r="C33" s="174" t="s">
        <v>184</v>
      </c>
      <c r="D33" s="175"/>
      <c r="E33" s="175"/>
      <c r="F33" s="175"/>
      <c r="G33" s="175"/>
      <c r="H33" s="175"/>
      <c r="I33" s="175"/>
      <c r="J33" s="175"/>
      <c r="K33" s="175"/>
      <c r="L33" s="175"/>
      <c r="M33" s="175"/>
      <c r="N33" s="175"/>
      <c r="O33" s="175"/>
      <c r="P33" s="175"/>
      <c r="Q33" s="175"/>
      <c r="R33" s="175"/>
      <c r="S33" s="175">
        <v>49820</v>
      </c>
      <c r="Y33" s="749">
        <f>C23</f>
        <v>2470257</v>
      </c>
      <c r="Z33" s="750"/>
    </row>
    <row r="34" spans="1:26" x14ac:dyDescent="0.25">
      <c r="A34" s="57"/>
      <c r="B34" s="759"/>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59"/>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59"/>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59"/>
      <c r="C37" s="174" t="s">
        <v>214</v>
      </c>
      <c r="D37" s="177"/>
      <c r="E37" s="177"/>
      <c r="F37" s="177"/>
      <c r="G37" s="177"/>
      <c r="H37" s="177"/>
      <c r="I37" s="177"/>
      <c r="J37" s="177"/>
      <c r="K37" s="177"/>
      <c r="L37" s="177"/>
      <c r="M37" s="177"/>
      <c r="N37" s="177"/>
      <c r="O37" s="177"/>
      <c r="P37" s="177"/>
      <c r="Q37" s="177"/>
      <c r="R37" s="177"/>
      <c r="S37" s="177" t="s">
        <v>433</v>
      </c>
    </row>
    <row r="38" spans="1:26" x14ac:dyDescent="0.25">
      <c r="B38" s="759"/>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51"/>
      <c r="H40" s="751"/>
      <c r="I40" s="751"/>
      <c r="J40" s="751"/>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60"/>
      <c r="H49" s="760"/>
      <c r="I49" s="760"/>
      <c r="J49" s="760"/>
    </row>
    <row r="50" spans="7:10" x14ac:dyDescent="0.25">
      <c r="G50" s="234"/>
      <c r="H50" s="234"/>
      <c r="I50" s="234"/>
      <c r="J50" s="234"/>
    </row>
    <row r="51" spans="7:10" x14ac:dyDescent="0.25">
      <c r="G51" s="760"/>
      <c r="H51" s="760"/>
      <c r="I51" s="760"/>
      <c r="J51" s="760"/>
    </row>
    <row r="52" spans="7:10" ht="15" customHeight="1" x14ac:dyDescent="0.25">
      <c r="G52" s="760"/>
      <c r="H52" s="760"/>
      <c r="I52" s="760"/>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I6" sqref="I6"/>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713</v>
      </c>
      <c r="D1" s="362" t="s">
        <v>714</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12.418121678740906</v>
      </c>
      <c r="D2" s="387">
        <f t="shared" ref="D2:D20" si="0">(C2*2+B2)/8</f>
        <v>5.2630456295278405</v>
      </c>
      <c r="E2" s="159">
        <f>D2*PLANTILLA!P7</f>
        <v>4.8726334298369558</v>
      </c>
      <c r="F2" s="159">
        <f>E2*PLANTILLA!Q7</f>
        <v>4.8691517334796757</v>
      </c>
      <c r="H2" t="str">
        <f>A2</f>
        <v>B. Pinczehelyi</v>
      </c>
      <c r="I2" s="159">
        <f>D2</f>
        <v>5.2630456295278405</v>
      </c>
      <c r="J2" s="159">
        <f t="shared" ref="J2:K2" si="1">E2</f>
        <v>4.8726334298369558</v>
      </c>
      <c r="K2" s="159">
        <f t="shared" si="1"/>
        <v>4.8691517334796757</v>
      </c>
      <c r="M2" t="str">
        <f>A2</f>
        <v>B. Pinczehelyi</v>
      </c>
      <c r="N2" s="159">
        <f>D2</f>
        <v>5.2630456295278405</v>
      </c>
      <c r="O2" s="159">
        <f t="shared" ref="O2:P2" si="2">E2</f>
        <v>4.8726334298369558</v>
      </c>
      <c r="P2" s="159">
        <f t="shared" si="2"/>
        <v>4.8691517334796757</v>
      </c>
    </row>
    <row r="3" spans="1:16" x14ac:dyDescent="0.25">
      <c r="A3" t="str">
        <f>PLANTILLA!D16</f>
        <v>C. Rojas</v>
      </c>
      <c r="B3" s="159">
        <f>PLANTILLA!W16+1.5+PLANTILLA!J16</f>
        <v>11.5416181707456</v>
      </c>
      <c r="C3" s="159">
        <f>PLANTILLA!Z16+1.5+PLANTILLA!J16</f>
        <v>12.964062615190041</v>
      </c>
      <c r="D3" s="387">
        <f t="shared" si="0"/>
        <v>4.6837179251407104</v>
      </c>
      <c r="E3" s="159">
        <f>D3*PLANTILLA!P16</f>
        <v>4.33628019676026</v>
      </c>
      <c r="F3" s="159">
        <f>E3*PLANTILLA!Q16</f>
        <v>4.3331817467778011</v>
      </c>
      <c r="H3" t="str">
        <f t="shared" ref="H3:H6" si="3">A3</f>
        <v>C. Rojas</v>
      </c>
      <c r="I3" s="159">
        <f t="shared" ref="I3:I6" si="4">D3</f>
        <v>4.6837179251407104</v>
      </c>
      <c r="J3" s="159">
        <f t="shared" ref="J3:J6" si="5">E3</f>
        <v>4.33628019676026</v>
      </c>
      <c r="K3" s="159">
        <f t="shared" ref="K3:K6" si="6">F3</f>
        <v>4.3331817467778011</v>
      </c>
      <c r="M3" t="str">
        <f t="shared" ref="M3:M5" si="7">A3</f>
        <v>C. Rojas</v>
      </c>
      <c r="N3" s="159">
        <f t="shared" ref="N3:N5" si="8">D3</f>
        <v>4.6837179251407104</v>
      </c>
      <c r="O3" s="159">
        <f t="shared" ref="O3:O5" si="9">E3</f>
        <v>4.33628019676026</v>
      </c>
      <c r="P3" s="159">
        <f t="shared" ref="P3:P5" si="10">F3</f>
        <v>4.3331817467778011</v>
      </c>
    </row>
    <row r="4" spans="1:16" x14ac:dyDescent="0.25">
      <c r="A4" t="str">
        <f>PLANTILLA!D12</f>
        <v>E. Romweber</v>
      </c>
      <c r="B4" s="159">
        <f>PLANTILLA!W12+1.5+PLANTILLA!J12</f>
        <v>14.984098574941132</v>
      </c>
      <c r="C4" s="159">
        <f>PLANTILLA!Z12+1.5+PLANTILLA!J12</f>
        <v>13.834098574941134</v>
      </c>
      <c r="D4" s="387">
        <f t="shared" si="0"/>
        <v>5.3315369656029254</v>
      </c>
      <c r="E4" s="159">
        <f>D4*PLANTILLA!P12</f>
        <v>4.0302631190666478</v>
      </c>
      <c r="F4" s="159">
        <f>E4*PLANTILLA!Q12</f>
        <v>3.4027861239296047</v>
      </c>
      <c r="H4" t="str">
        <f t="shared" si="3"/>
        <v>E. Romweber</v>
      </c>
      <c r="I4" s="159">
        <f t="shared" si="4"/>
        <v>5.3315369656029254</v>
      </c>
      <c r="J4" s="159">
        <f t="shared" si="5"/>
        <v>4.0302631190666478</v>
      </c>
      <c r="K4" s="159">
        <f t="shared" si="6"/>
        <v>3.4027861239296047</v>
      </c>
      <c r="M4" t="str">
        <f t="shared" si="7"/>
        <v>E. Romweber</v>
      </c>
      <c r="N4" s="159">
        <f t="shared" si="8"/>
        <v>5.3315369656029254</v>
      </c>
      <c r="O4" s="159">
        <f t="shared" si="9"/>
        <v>4.0302631190666478</v>
      </c>
      <c r="P4" s="159">
        <f t="shared" si="10"/>
        <v>3.4027861239296047</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t="str">
        <f t="shared" si="3"/>
        <v>D. Toh</v>
      </c>
      <c r="I5" s="159">
        <f t="shared" si="4"/>
        <v>4.3329039073015911</v>
      </c>
      <c r="J5" s="159">
        <f t="shared" si="5"/>
        <v>3.6619721725857537</v>
      </c>
      <c r="K5" s="159">
        <f t="shared" si="6"/>
        <v>3.3875009911401106</v>
      </c>
      <c r="M5" t="str">
        <f t="shared" si="7"/>
        <v>D. Toh</v>
      </c>
      <c r="N5" s="159">
        <f t="shared" si="8"/>
        <v>4.3329039073015911</v>
      </c>
      <c r="O5" s="159">
        <f t="shared" si="9"/>
        <v>3.6619721725857537</v>
      </c>
      <c r="P5" s="159">
        <f t="shared" si="10"/>
        <v>3.3875009911401106</v>
      </c>
    </row>
    <row r="6" spans="1:16" x14ac:dyDescent="0.25">
      <c r="A6" t="str">
        <f>PLANTILLA!D17</f>
        <v>E. Gross</v>
      </c>
      <c r="B6" s="159">
        <f>PLANTILLA!W17+1.5+PLANTILLA!J17</f>
        <v>12.983333333333331</v>
      </c>
      <c r="C6" s="159">
        <f>PLANTILLA!Z17+1.5+PLANTILLA!J17</f>
        <v>12.003333333333334</v>
      </c>
      <c r="D6" s="387">
        <f t="shared" si="0"/>
        <v>4.6237499999999994</v>
      </c>
      <c r="E6" s="159">
        <f>D6*PLANTILLA!P17</f>
        <v>3.9077819853009781</v>
      </c>
      <c r="F6" s="159">
        <f>E6*PLANTILLA!Q17</f>
        <v>3.6148869310001679</v>
      </c>
      <c r="H6" t="str">
        <f t="shared" si="3"/>
        <v>E. Gross</v>
      </c>
      <c r="I6" s="159">
        <f t="shared" si="4"/>
        <v>4.6237499999999994</v>
      </c>
      <c r="J6" s="159">
        <f t="shared" si="5"/>
        <v>3.9077819853009781</v>
      </c>
      <c r="K6" s="159">
        <f t="shared" si="6"/>
        <v>3.6148869310001679</v>
      </c>
      <c r="N6" s="438"/>
      <c r="O6" s="438"/>
      <c r="P6" s="438"/>
    </row>
    <row r="7" spans="1:16" x14ac:dyDescent="0.25">
      <c r="A7" t="str">
        <f>PLANTILLA!D9</f>
        <v>E. Toney</v>
      </c>
      <c r="B7" s="159">
        <f>PLANTILLA!W9+1.5+PLANTILLA!J9</f>
        <v>15.049695060874356</v>
      </c>
      <c r="C7" s="159">
        <f>PLANTILLA!Z9+1.5+PLANTILLA!J9</f>
        <v>12.519695060874351</v>
      </c>
      <c r="D7" s="387">
        <f t="shared" si="0"/>
        <v>5.0111356478278823</v>
      </c>
      <c r="E7" s="159">
        <f>D7*PLANTILLA!P9</f>
        <v>4.6394101054457995</v>
      </c>
      <c r="F7" s="159">
        <f>E7*PLANTILLA!Q9</f>
        <v>4.6360950567156518</v>
      </c>
      <c r="I7" s="457">
        <f>SUM(I2:I6)</f>
        <v>24.234954427573065</v>
      </c>
      <c r="J7" s="457">
        <f t="shared" ref="J7:K7" si="11">SUM(J2:J6)</f>
        <v>20.808930903550596</v>
      </c>
      <c r="K7" s="457">
        <f t="shared" si="11"/>
        <v>19.60750752632736</v>
      </c>
      <c r="L7" s="457"/>
      <c r="M7" s="457"/>
      <c r="N7" s="457">
        <f>SUM(N2:N6)</f>
        <v>19.611204427573067</v>
      </c>
      <c r="O7" s="457">
        <f t="shared" ref="O7:P7" si="12">SUM(O2:O6)</f>
        <v>16.901148918249618</v>
      </c>
      <c r="P7" s="457">
        <f t="shared" si="12"/>
        <v>15.992620595327192</v>
      </c>
    </row>
    <row r="8" spans="1:16" x14ac:dyDescent="0.25">
      <c r="A8" t="str">
        <f>PLANTILLA!D23</f>
        <v>P .Trivadi</v>
      </c>
      <c r="B8" s="159">
        <f>PLANTILLA!W23+1.5+PLANTILLA!J23</f>
        <v>6.5657873992714419</v>
      </c>
      <c r="C8" s="159">
        <f>PLANTILLA!Z23+1.5+PLANTILLA!J23</f>
        <v>13.365787399271442</v>
      </c>
      <c r="D8" s="387">
        <f t="shared" si="0"/>
        <v>4.1621702747267904</v>
      </c>
      <c r="E8" s="159">
        <f>D8*PLANTILLA!P23</f>
        <v>4.1621702747267904</v>
      </c>
      <c r="F8" s="159">
        <f>E8*PLANTILLA!Q23</f>
        <v>4.1621702747267904</v>
      </c>
    </row>
    <row r="9" spans="1:16" x14ac:dyDescent="0.25">
      <c r="A9" t="str">
        <f>PLANTILLA!D13</f>
        <v>K. Helms</v>
      </c>
      <c r="B9" s="159">
        <f>PLANTILLA!W13+1.5+PLANTILLA!J13</f>
        <v>10.008957363560242</v>
      </c>
      <c r="C9" s="159">
        <f>PLANTILLA!Z13+1.5+PLANTILLA!J13</f>
        <v>13.18895736356024</v>
      </c>
      <c r="D9" s="387">
        <f t="shared" si="0"/>
        <v>4.5483590113350907</v>
      </c>
      <c r="E9" s="159">
        <f>D9*PLANTILLA!P13</f>
        <v>4.2109621936756367</v>
      </c>
      <c r="F9" s="159">
        <f>E9*PLANTILLA!Q13</f>
        <v>4.2079532885442577</v>
      </c>
    </row>
    <row r="10" spans="1:16" x14ac:dyDescent="0.25">
      <c r="A10" t="str">
        <f>PLANTILLA!D21</f>
        <v>J. Limon</v>
      </c>
      <c r="B10" s="159">
        <f>PLANTILLA!W21+1.5+PLANTILLA!J21</f>
        <v>9.7008543782065484</v>
      </c>
      <c r="C10" s="159">
        <f>PLANTILLA!Z21+1.5+PLANTILLA!J21</f>
        <v>12.563235330587499</v>
      </c>
      <c r="D10" s="387">
        <f t="shared" si="0"/>
        <v>4.3534156299226936</v>
      </c>
      <c r="E10" s="159">
        <f>D10*PLANTILLA!P21</f>
        <v>4.3534156299226936</v>
      </c>
      <c r="F10" s="159">
        <f>E10*PLANTILLA!Q21</f>
        <v>4.3534156299226936</v>
      </c>
      <c r="H10" s="159"/>
    </row>
    <row r="11" spans="1:16" x14ac:dyDescent="0.25">
      <c r="A11" t="str">
        <f>PLANTILLA!D22</f>
        <v>L. Calosso</v>
      </c>
      <c r="B11" s="159">
        <f>PLANTILLA!W22+1.5+PLANTILLA!J22</f>
        <v>4.8937639717155434</v>
      </c>
      <c r="C11" s="159">
        <f>PLANTILLA!Z22+1.5+PLANTILLA!J22</f>
        <v>17.903763971715541</v>
      </c>
      <c r="D11" s="387">
        <f t="shared" si="0"/>
        <v>5.0876614893933283</v>
      </c>
      <c r="E11" s="159">
        <f>D11*PLANTILLA!P22</f>
        <v>4.7102592677190991</v>
      </c>
      <c r="F11" s="159">
        <f>E11*PLANTILLA!Q22</f>
        <v>4.7068935943577825</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4.0381893593882454</v>
      </c>
      <c r="F12" s="159">
        <f>E12*PLANTILLA!Q10</f>
        <v>3.7355200456588928</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12.002873135115296</v>
      </c>
      <c r="C14" s="159">
        <f>PLANTILLA!Z15+1.5+PLANTILLA!J15</f>
        <v>12.512539801781966</v>
      </c>
      <c r="D14" s="387">
        <f t="shared" si="0"/>
        <v>4.6284940923349032</v>
      </c>
      <c r="E14" s="159">
        <f>D14*PLANTILLA!P15</f>
        <v>4.2851528623621649</v>
      </c>
      <c r="F14" s="159">
        <f>E14*PLANTILLA!Q15</f>
        <v>4.2820909449562885</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3.2967706785207129</v>
      </c>
      <c r="F16" s="159">
        <f>E16*PLANTILLA!Q11</f>
        <v>2.7834920915154164</v>
      </c>
    </row>
    <row r="17" spans="1:6" x14ac:dyDescent="0.25">
      <c r="A17" t="str">
        <f>PLANTILLA!D18</f>
        <v>L. Bauman</v>
      </c>
      <c r="B17" s="159">
        <f>PLANTILLA!W18+1.5+PLANTILLA!J18</f>
        <v>8.0534344570302121</v>
      </c>
      <c r="C17" s="159">
        <f>PLANTILLA!Z18+1.5+PLANTILLA!J18</f>
        <v>11.842323345919104</v>
      </c>
      <c r="D17" s="387">
        <f t="shared" si="0"/>
        <v>3.9672601436085522</v>
      </c>
      <c r="E17" s="159">
        <f>D17*PLANTILLA!P18</f>
        <v>3.6729691819793366</v>
      </c>
      <c r="F17" s="159">
        <f>E17*PLANTILLA!Q18</f>
        <v>3.6703446949118317</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2.972763235027355</v>
      </c>
      <c r="F18" s="159">
        <f>E18*PLANTILLA!Q19</f>
        <v>2.509929795407952</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14.855913892179531</v>
      </c>
      <c r="C20" s="159">
        <f>PLANTILLA!Z5+1.5+PLANTILLA!J5</f>
        <v>4.2350048012704384</v>
      </c>
      <c r="D20" s="387">
        <f t="shared" si="0"/>
        <v>2.9157404368400508</v>
      </c>
      <c r="E20" s="159">
        <f>D20*PLANTILLA!P5</f>
        <v>2.6994511021461185</v>
      </c>
      <c r="F20" s="159">
        <f>E20*PLANTILLA!Q5</f>
        <v>2.6975222336596354</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329</v>
      </c>
      <c r="C2" s="762"/>
      <c r="D2" s="762"/>
      <c r="E2" s="762"/>
      <c r="F2" s="762"/>
      <c r="G2" s="763"/>
      <c r="I2" s="764" t="s">
        <v>102</v>
      </c>
      <c r="J2" s="764"/>
      <c r="K2" s="764"/>
      <c r="L2" s="764"/>
      <c r="M2" s="764"/>
      <c r="N2" s="764"/>
      <c r="O2" s="764"/>
      <c r="P2" s="764"/>
      <c r="Q2" s="764"/>
      <c r="R2" s="764"/>
      <c r="S2" s="764"/>
      <c r="T2" s="764"/>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2"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53"/>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54">
        <f>C13</f>
        <v>3165941</v>
      </c>
      <c r="Z14" s="755"/>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56" t="s">
        <v>94</v>
      </c>
      <c r="B26" s="75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57" t="s">
        <v>95</v>
      </c>
      <c r="B27" s="75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58" t="s">
        <v>96</v>
      </c>
      <c r="B28" s="75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56" t="s">
        <v>97</v>
      </c>
      <c r="B29" s="75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57" t="s">
        <v>98</v>
      </c>
      <c r="B30" s="75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58" t="s">
        <v>99</v>
      </c>
      <c r="B31" s="75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59" t="s">
        <v>299</v>
      </c>
      <c r="C33" s="174" t="s">
        <v>184</v>
      </c>
      <c r="D33" s="175"/>
      <c r="E33" s="175"/>
      <c r="F33" s="175"/>
      <c r="G33" s="175"/>
      <c r="H33" s="175"/>
      <c r="I33" s="175"/>
      <c r="J33" s="175"/>
      <c r="K33" s="175"/>
      <c r="L33" s="175"/>
      <c r="M33" s="175"/>
      <c r="N33" s="175"/>
      <c r="O33" s="175"/>
      <c r="P33" s="175"/>
      <c r="Q33" s="175"/>
      <c r="R33" s="175"/>
      <c r="S33" s="175"/>
      <c r="Y33" s="749">
        <f>C23</f>
        <v>1505104</v>
      </c>
      <c r="Z33" s="750"/>
    </row>
    <row r="34" spans="1:26" x14ac:dyDescent="0.25">
      <c r="A34" s="57"/>
      <c r="B34" s="759"/>
      <c r="C34" s="174" t="s">
        <v>105</v>
      </c>
      <c r="D34" s="175"/>
      <c r="E34" s="175"/>
      <c r="F34" s="175"/>
      <c r="G34" s="175"/>
      <c r="H34" s="175"/>
      <c r="I34" s="175"/>
      <c r="J34" s="175"/>
      <c r="K34" s="175"/>
      <c r="L34" s="175"/>
      <c r="M34" s="175"/>
      <c r="N34" s="175"/>
      <c r="O34" s="175"/>
      <c r="P34" s="175"/>
      <c r="Q34" s="175"/>
      <c r="R34" s="175"/>
      <c r="S34" s="175"/>
    </row>
    <row r="35" spans="1:26" x14ac:dyDescent="0.25">
      <c r="A35" s="57"/>
      <c r="B35" s="759"/>
      <c r="C35" s="174" t="s">
        <v>62</v>
      </c>
      <c r="D35" s="176"/>
      <c r="E35" s="176"/>
      <c r="F35" s="176"/>
      <c r="G35" s="176"/>
      <c r="H35" s="176"/>
      <c r="I35" s="176"/>
      <c r="J35" s="176"/>
      <c r="K35" s="176"/>
      <c r="L35" s="176"/>
      <c r="M35" s="176"/>
      <c r="N35" s="176"/>
      <c r="O35" s="176"/>
      <c r="P35" s="176"/>
      <c r="Q35" s="176"/>
      <c r="R35" s="176"/>
      <c r="S35" s="176"/>
    </row>
    <row r="36" spans="1:26" x14ac:dyDescent="0.25">
      <c r="A36" s="57"/>
      <c r="B36" s="759"/>
      <c r="C36" s="174" t="s">
        <v>213</v>
      </c>
      <c r="D36" s="177"/>
      <c r="E36" s="177"/>
      <c r="F36" s="177"/>
      <c r="G36" s="177"/>
      <c r="H36" s="177"/>
      <c r="I36" s="177"/>
      <c r="J36" s="177"/>
      <c r="K36" s="177"/>
      <c r="L36" s="177"/>
      <c r="M36" s="177"/>
      <c r="N36" s="177"/>
      <c r="O36" s="177"/>
      <c r="P36" s="177"/>
      <c r="Q36" s="177"/>
      <c r="R36" s="177"/>
      <c r="S36" s="177"/>
    </row>
    <row r="37" spans="1:26" x14ac:dyDescent="0.25">
      <c r="B37" s="759"/>
      <c r="C37" s="174" t="s">
        <v>214</v>
      </c>
      <c r="D37" s="177"/>
      <c r="E37" s="177"/>
      <c r="F37" s="177"/>
      <c r="G37" s="177"/>
      <c r="H37" s="177"/>
      <c r="I37" s="177"/>
      <c r="J37" s="177"/>
      <c r="K37" s="177"/>
      <c r="L37" s="177"/>
      <c r="M37" s="177"/>
      <c r="N37" s="177"/>
      <c r="O37" s="177"/>
      <c r="P37" s="177"/>
      <c r="Q37" s="177"/>
      <c r="R37" s="177"/>
      <c r="S37" s="177"/>
    </row>
    <row r="38" spans="1:26" x14ac:dyDescent="0.25">
      <c r="B38" s="759"/>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51"/>
      <c r="H40" s="751"/>
      <c r="I40" s="751"/>
      <c r="J40" s="751"/>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60"/>
      <c r="H49" s="760"/>
      <c r="I49" s="760"/>
      <c r="J49" s="760"/>
    </row>
    <row r="50" spans="7:10" x14ac:dyDescent="0.25">
      <c r="G50" s="261"/>
      <c r="H50" s="261"/>
      <c r="I50" s="261"/>
      <c r="J50" s="261"/>
    </row>
    <row r="51" spans="7:10" x14ac:dyDescent="0.25">
      <c r="G51" s="760"/>
      <c r="H51" s="760"/>
      <c r="I51" s="760"/>
      <c r="J51" s="760"/>
    </row>
    <row r="52" spans="7:10" ht="15" customHeight="1" x14ac:dyDescent="0.25">
      <c r="G52" s="760"/>
      <c r="H52" s="760"/>
      <c r="I52" s="760"/>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429</v>
      </c>
      <c r="C2" s="762"/>
      <c r="D2" s="762"/>
      <c r="E2" s="762"/>
      <c r="F2" s="762"/>
      <c r="G2" s="763"/>
      <c r="I2" s="764" t="s">
        <v>430</v>
      </c>
      <c r="J2" s="764"/>
      <c r="K2" s="764"/>
      <c r="L2" s="764"/>
      <c r="M2" s="764"/>
      <c r="N2" s="764"/>
      <c r="O2" s="764"/>
      <c r="P2" s="764"/>
      <c r="Q2" s="764"/>
      <c r="R2" s="764"/>
      <c r="S2" s="764"/>
      <c r="T2" s="764"/>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52"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5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54">
        <f>C13</f>
        <v>3470401</v>
      </c>
      <c r="Z14" s="755"/>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56" t="s">
        <v>94</v>
      </c>
      <c r="B26" s="75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57" t="s">
        <v>95</v>
      </c>
      <c r="B27" s="75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58" t="s">
        <v>96</v>
      </c>
      <c r="B28" s="75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56" t="s">
        <v>97</v>
      </c>
      <c r="B29" s="75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57" t="s">
        <v>98</v>
      </c>
      <c r="B30" s="75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58" t="s">
        <v>99</v>
      </c>
      <c r="B31" s="75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59"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49">
        <f>C23</f>
        <v>4347517</v>
      </c>
      <c r="Z33" s="750"/>
    </row>
    <row r="34" spans="1:26" x14ac:dyDescent="0.25">
      <c r="A34" s="57"/>
      <c r="B34" s="759"/>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59"/>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59"/>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59"/>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59"/>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51"/>
      <c r="H40" s="751"/>
      <c r="I40" s="751"/>
      <c r="J40" s="751"/>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60"/>
      <c r="H49" s="760"/>
      <c r="I49" s="760"/>
      <c r="J49" s="760"/>
    </row>
    <row r="50" spans="7:10" x14ac:dyDescent="0.25">
      <c r="G50" s="283"/>
      <c r="H50" s="283"/>
      <c r="I50" s="283"/>
      <c r="J50" s="283"/>
    </row>
    <row r="51" spans="7:10" x14ac:dyDescent="0.25">
      <c r="G51" s="760"/>
      <c r="H51" s="760"/>
      <c r="I51" s="760"/>
      <c r="J51" s="760"/>
    </row>
    <row r="52" spans="7:10" ht="15" customHeight="1" x14ac:dyDescent="0.25">
      <c r="G52" s="760"/>
      <c r="H52" s="760"/>
      <c r="I52" s="760"/>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490</v>
      </c>
      <c r="C2" s="762"/>
      <c r="D2" s="762"/>
      <c r="E2" s="762"/>
      <c r="F2" s="762"/>
      <c r="G2" s="763"/>
      <c r="I2" s="771" t="s">
        <v>491</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52"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53"/>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54">
        <f>C13</f>
        <v>3901063</v>
      </c>
      <c r="Z14" s="755"/>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56" t="s">
        <v>94</v>
      </c>
      <c r="B26" s="75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57" t="s">
        <v>95</v>
      </c>
      <c r="B27" s="75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58" t="s">
        <v>96</v>
      </c>
      <c r="B28" s="75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56" t="s">
        <v>97</v>
      </c>
      <c r="B29" s="75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57" t="s">
        <v>98</v>
      </c>
      <c r="B30" s="75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58" t="s">
        <v>99</v>
      </c>
      <c r="B31" s="75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59"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49">
        <f>C23</f>
        <v>2535782</v>
      </c>
      <c r="Z34" s="750"/>
    </row>
    <row r="35" spans="1:26" x14ac:dyDescent="0.25">
      <c r="A35" s="57"/>
      <c r="B35" s="759"/>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59"/>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59"/>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59"/>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59"/>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51"/>
      <c r="H41" s="751"/>
      <c r="I41" s="751"/>
      <c r="J41" s="751"/>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60"/>
      <c r="H46" s="760"/>
      <c r="I46" s="760"/>
      <c r="J46" s="760"/>
    </row>
    <row r="47" spans="1:26" x14ac:dyDescent="0.25">
      <c r="G47" s="358"/>
      <c r="H47" s="358"/>
      <c r="I47" s="358"/>
      <c r="J47" s="358"/>
    </row>
    <row r="48" spans="1:26" x14ac:dyDescent="0.25">
      <c r="G48" s="760"/>
      <c r="H48" s="760"/>
      <c r="I48" s="760"/>
      <c r="J48" s="760"/>
    </row>
    <row r="49" spans="7:10" ht="15" customHeight="1" x14ac:dyDescent="0.25">
      <c r="G49" s="760"/>
      <c r="H49" s="760"/>
      <c r="I49" s="76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586</v>
      </c>
      <c r="C2" s="762"/>
      <c r="D2" s="762"/>
      <c r="E2" s="762"/>
      <c r="F2" s="762"/>
      <c r="G2" s="763"/>
      <c r="I2" s="771" t="s">
        <v>587</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650</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52"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53"/>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54">
        <f>C13</f>
        <v>5218072</v>
      </c>
      <c r="Z14" s="755"/>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56" t="s">
        <v>94</v>
      </c>
      <c r="B26" s="75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57" t="s">
        <v>95</v>
      </c>
      <c r="B27" s="75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58" t="s">
        <v>96</v>
      </c>
      <c r="B28" s="75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56" t="s">
        <v>97</v>
      </c>
      <c r="B29" s="75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57" t="s">
        <v>98</v>
      </c>
      <c r="B30" s="75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58" t="s">
        <v>99</v>
      </c>
      <c r="B31" s="75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59"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49">
        <f>C23</f>
        <v>4415274</v>
      </c>
      <c r="Z34" s="750"/>
    </row>
    <row r="35" spans="1:26" x14ac:dyDescent="0.25">
      <c r="A35" s="57"/>
      <c r="B35" s="759"/>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59"/>
      <c r="C36" s="174" t="s">
        <v>62</v>
      </c>
      <c r="D36" s="176"/>
      <c r="E36" s="176" t="s">
        <v>592</v>
      </c>
      <c r="F36" s="176"/>
      <c r="G36" s="176"/>
      <c r="H36" s="176"/>
      <c r="I36" s="176"/>
      <c r="J36" s="176" t="s">
        <v>636</v>
      </c>
      <c r="K36" s="176" t="s">
        <v>639</v>
      </c>
      <c r="L36" s="176" t="s">
        <v>643</v>
      </c>
      <c r="M36" s="176" t="s">
        <v>636</v>
      </c>
      <c r="N36" s="176"/>
      <c r="O36" s="176"/>
      <c r="P36" s="176" t="s">
        <v>645</v>
      </c>
      <c r="Q36" s="176" t="s">
        <v>646</v>
      </c>
      <c r="R36" s="176" t="s">
        <v>647</v>
      </c>
      <c r="S36" s="176" t="s">
        <v>649</v>
      </c>
    </row>
    <row r="37" spans="1:26" x14ac:dyDescent="0.25">
      <c r="A37" s="57"/>
      <c r="B37" s="759"/>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59"/>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59"/>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51"/>
      <c r="H41" s="751"/>
      <c r="I41" s="751"/>
      <c r="J41" s="751"/>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row>
    <row r="47" spans="1:26" x14ac:dyDescent="0.25">
      <c r="G47" s="393"/>
      <c r="H47" s="393"/>
      <c r="I47" s="393"/>
      <c r="J47" s="393"/>
    </row>
    <row r="48" spans="1:26" x14ac:dyDescent="0.25">
      <c r="G48" s="760"/>
      <c r="H48" s="760"/>
      <c r="I48" s="760"/>
      <c r="J48" s="760"/>
      <c r="P48" s="413"/>
    </row>
    <row r="49" spans="7:10" ht="15" customHeight="1" x14ac:dyDescent="0.25">
      <c r="G49" s="760"/>
      <c r="H49" s="760"/>
      <c r="I49" s="76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694</v>
      </c>
      <c r="C2" s="762"/>
      <c r="D2" s="762"/>
      <c r="E2" s="762"/>
      <c r="F2" s="762"/>
      <c r="G2" s="763"/>
      <c r="I2" s="771" t="s">
        <v>587</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648</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693</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52"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53"/>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54">
        <f>C13</f>
        <v>6564204.3711659508</v>
      </c>
      <c r="Z14" s="755"/>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56" t="s">
        <v>94</v>
      </c>
      <c r="B26" s="75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57" t="s">
        <v>95</v>
      </c>
      <c r="B27" s="75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58" t="s">
        <v>96</v>
      </c>
      <c r="B28" s="75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56" t="s">
        <v>97</v>
      </c>
      <c r="B29" s="75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57" t="s">
        <v>98</v>
      </c>
      <c r="B30" s="75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58" t="s">
        <v>99</v>
      </c>
      <c r="B31" s="75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59"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49">
        <f>C23</f>
        <v>4502296</v>
      </c>
      <c r="Z34" s="750"/>
    </row>
    <row r="35" spans="1:26" x14ac:dyDescent="0.25">
      <c r="A35" s="57"/>
      <c r="B35" s="759"/>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59"/>
      <c r="C36" s="174" t="s">
        <v>62</v>
      </c>
      <c r="D36" s="176" t="s">
        <v>697</v>
      </c>
      <c r="E36" s="176" t="s">
        <v>698</v>
      </c>
      <c r="F36" s="176" t="s">
        <v>699</v>
      </c>
      <c r="G36" s="176" t="s">
        <v>701</v>
      </c>
      <c r="H36" s="176" t="s">
        <v>705</v>
      </c>
      <c r="I36" s="176" t="s">
        <v>707</v>
      </c>
      <c r="J36" s="176" t="s">
        <v>708</v>
      </c>
      <c r="K36" s="176" t="s">
        <v>710</v>
      </c>
      <c r="L36" s="176" t="s">
        <v>712</v>
      </c>
      <c r="M36" s="176" t="s">
        <v>715</v>
      </c>
      <c r="N36" s="176" t="s">
        <v>716</v>
      </c>
      <c r="O36" s="176" t="s">
        <v>722</v>
      </c>
      <c r="P36" s="176" t="s">
        <v>726</v>
      </c>
      <c r="Q36" s="176" t="s">
        <v>715</v>
      </c>
      <c r="R36" s="176" t="s">
        <v>753</v>
      </c>
      <c r="S36" s="176" t="s">
        <v>699</v>
      </c>
    </row>
    <row r="37" spans="1:26" x14ac:dyDescent="0.25">
      <c r="A37" s="57"/>
      <c r="B37" s="759"/>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59"/>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59"/>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51"/>
      <c r="H41" s="751"/>
      <c r="I41" s="751"/>
      <c r="J41" s="751"/>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735</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row>
    <row r="47" spans="1:26" x14ac:dyDescent="0.25">
      <c r="G47" s="424"/>
      <c r="H47" s="424"/>
      <c r="I47" s="424"/>
      <c r="J47" s="424"/>
    </row>
    <row r="48" spans="1:26" x14ac:dyDescent="0.25">
      <c r="G48" s="760"/>
      <c r="H48" s="760"/>
      <c r="I48" s="760"/>
      <c r="J48" s="760"/>
      <c r="P48" s="413"/>
    </row>
    <row r="49" spans="7:10" ht="15" customHeight="1" x14ac:dyDescent="0.25">
      <c r="G49" s="760"/>
      <c r="H49" s="760"/>
      <c r="I49" s="760"/>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25" t="str">
        <f>PLANTILLA!D4</f>
        <v>Jugador</v>
      </c>
      <c r="B1" s="625" t="s">
        <v>847</v>
      </c>
      <c r="C1" s="625" t="str">
        <f>PLANTILLA!AA4</f>
        <v>An</v>
      </c>
      <c r="D1" s="625" t="str">
        <f>PLANTILLA!AB4</f>
        <v>PA</v>
      </c>
      <c r="E1" s="625" t="str">
        <f>PLANTILLA!AG4</f>
        <v>TL</v>
      </c>
      <c r="F1" s="625" t="str">
        <f>PLANTILLA!AH4</f>
        <v>PEN</v>
      </c>
      <c r="G1" s="625" t="str">
        <f>PLANTILLA!AI4</f>
        <v>BPiA</v>
      </c>
      <c r="H1" s="625" t="str">
        <f>PLANTILLA!AJ4</f>
        <v>BPiD</v>
      </c>
    </row>
    <row r="2" spans="1:15" x14ac:dyDescent="0.25">
      <c r="A2" t="str">
        <f>PLANTILLA!D21</f>
        <v>J. Limon</v>
      </c>
      <c r="B2" s="159">
        <f>PLANTILLA!J21</f>
        <v>1.383235330587498</v>
      </c>
      <c r="C2" s="290">
        <f>PLANTILLA!AA21</f>
        <v>8.5625000000000018</v>
      </c>
      <c r="D2" s="290">
        <f>PLANTILLA!AB21</f>
        <v>18.639999999999993</v>
      </c>
      <c r="E2" s="159">
        <f>PLANTILLA!AG21</f>
        <v>23.237700080598373</v>
      </c>
      <c r="F2" s="159">
        <f>PLANTILLA!AH21</f>
        <v>15.616749999999996</v>
      </c>
      <c r="G2" s="159">
        <f>PLANTILLA!AI21</f>
        <v>1.2179838264469995</v>
      </c>
      <c r="H2" s="159">
        <f>PLANTILLA!AJ21</f>
        <v>1.0337312350458867</v>
      </c>
      <c r="K2" t="str">
        <f>A4</f>
        <v>L. Calosso</v>
      </c>
      <c r="L2" s="438">
        <f>B2</f>
        <v>1.383235330587498</v>
      </c>
      <c r="M2" s="438">
        <f t="shared" ref="M2:N2" si="0">C2</f>
        <v>8.5625000000000018</v>
      </c>
      <c r="N2" s="438">
        <f t="shared" si="0"/>
        <v>18.639999999999993</v>
      </c>
      <c r="O2" s="438"/>
    </row>
    <row r="3" spans="1:15" x14ac:dyDescent="0.25">
      <c r="A3" t="str">
        <f>PLANTILLA!D12</f>
        <v>E. Romweber</v>
      </c>
      <c r="B3" s="159">
        <f>PLANTILLA!J12</f>
        <v>1.4940985749411331</v>
      </c>
      <c r="C3" s="290">
        <f>PLANTILLA!AA12</f>
        <v>7.7700000000000005</v>
      </c>
      <c r="D3" s="290">
        <f>PLANTILLA!AB12</f>
        <v>17.13</v>
      </c>
      <c r="E3" s="159">
        <f>PLANTILLA!AG12</f>
        <v>16.128997280575486</v>
      </c>
      <c r="F3" s="159">
        <f>PLANTILLA!AH12</f>
        <v>10.826414364876301</v>
      </c>
      <c r="G3" s="159">
        <f>PLANTILLA!AI12</f>
        <v>1.1419278859952908</v>
      </c>
      <c r="H3" s="159">
        <f>PLANTILLA!AJ12</f>
        <v>1.2030869002458793</v>
      </c>
      <c r="K3" t="str">
        <f>A5</f>
        <v>L. Bauman</v>
      </c>
      <c r="L3" s="438">
        <f t="shared" ref="L3:L11" si="1">B3</f>
        <v>1.4940985749411331</v>
      </c>
      <c r="M3" s="438">
        <f t="shared" ref="M3:M11" si="2">C3</f>
        <v>7.7700000000000005</v>
      </c>
      <c r="N3" s="438">
        <f t="shared" ref="N3:N11" si="3">D3</f>
        <v>17.13</v>
      </c>
      <c r="O3" s="438"/>
    </row>
    <row r="4" spans="1:15" x14ac:dyDescent="0.25">
      <c r="A4" t="str">
        <f>PLANTILLA!D22</f>
        <v>L. Calosso</v>
      </c>
      <c r="B4" s="159">
        <f>PLANTILLA!J22</f>
        <v>1.3937639717155432</v>
      </c>
      <c r="C4" s="290">
        <f>PLANTILLA!AA22</f>
        <v>10</v>
      </c>
      <c r="D4" s="290">
        <f>PLANTILLA!AB22</f>
        <v>9.3000000000000007</v>
      </c>
      <c r="E4" s="159">
        <f>PLANTILLA!AG22</f>
        <v>18.988772424605859</v>
      </c>
      <c r="F4" s="159">
        <f>PLANTILLA!AH22</f>
        <v>8.8045491488369638</v>
      </c>
      <c r="G4" s="159">
        <f>PLANTILLA!AI22</f>
        <v>1.0105011177372434</v>
      </c>
      <c r="H4" s="159">
        <f>PLANTILLA!AJ22</f>
        <v>0.56156347802008799</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PLANTILLA!AA18</f>
        <v>7.4318888888888894</v>
      </c>
      <c r="D5" s="290">
        <f>PLANTILLA!AB18</f>
        <v>16.07</v>
      </c>
      <c r="E5" s="159">
        <f>PLANTILLA!AG18</f>
        <v>18.240757716052801</v>
      </c>
      <c r="F5" s="159">
        <f>PLANTILLA!AH18</f>
        <v>12.478727936124319</v>
      </c>
      <c r="G5" s="159">
        <f>PLANTILLA!AI18</f>
        <v>1.0754803121179726</v>
      </c>
      <c r="H5" s="159">
        <f>PLANTILLA!AJ18</f>
        <v>0.88740707865878155</v>
      </c>
      <c r="K5" t="str">
        <f>A14</f>
        <v>D. Toh</v>
      </c>
      <c r="L5" s="438">
        <f t="shared" si="1"/>
        <v>1.2723233459190999</v>
      </c>
      <c r="M5" s="438">
        <f t="shared" si="2"/>
        <v>7.4318888888888894</v>
      </c>
      <c r="N5" s="438">
        <f t="shared" si="3"/>
        <v>16.07</v>
      </c>
      <c r="O5" s="438"/>
    </row>
    <row r="6" spans="1:15" x14ac:dyDescent="0.25">
      <c r="A6" t="str">
        <f>PLANTILLA!D23</f>
        <v>P .Trivadi</v>
      </c>
      <c r="B6" s="159">
        <f>PLANTILLA!J23</f>
        <v>1.0657873992714422</v>
      </c>
      <c r="C6" s="290">
        <f>PLANTILLA!AA23</f>
        <v>8.384500000000001</v>
      </c>
      <c r="D6" s="290">
        <f>PLANTILLA!AB23</f>
        <v>13.566666666666668</v>
      </c>
      <c r="E6" s="159">
        <f>PLANTILLA!AG23</f>
        <v>19.450326819056556</v>
      </c>
      <c r="F6" s="159">
        <f>PLANTILLA!AH23</f>
        <v>12.012016666666668</v>
      </c>
      <c r="G6" s="159">
        <f>PLANTILLA!AI23</f>
        <v>1.0314879919417155</v>
      </c>
      <c r="H6" s="159">
        <f>PLANTILLA!AJ23</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PLANTILLA!AA13</f>
        <v>5.4050000000000002</v>
      </c>
      <c r="D8" s="290">
        <f>PLANTILLA!AB13</f>
        <v>17.300000000000004</v>
      </c>
      <c r="E8" s="159">
        <f>PLANTILLA!AG13</f>
        <v>16.011128892458355</v>
      </c>
      <c r="F8" s="159">
        <f>PLANTILLA!AH13</f>
        <v>12.712898700026791</v>
      </c>
      <c r="G8" s="159">
        <f>PLANTILLA!AI13</f>
        <v>1.0211665890848196</v>
      </c>
      <c r="H8" s="159">
        <f>PLANTILLA!AJ13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PLANTILLA!AA15</f>
        <v>5.0296666666666656</v>
      </c>
      <c r="D9" s="290">
        <f>PLANTILLA!AB15</f>
        <v>15.2</v>
      </c>
      <c r="E9" s="159">
        <f>PLANTILLA!AG15</f>
        <v>14.385941686346632</v>
      </c>
      <c r="F9" s="159">
        <f>PLANTILLA!AH15</f>
        <v>11.247695810126748</v>
      </c>
      <c r="G9" s="159">
        <f>PLANTILLA!AI15</f>
        <v>0.94021985080922366</v>
      </c>
      <c r="H9" s="159">
        <f>PLANTILLA!AJ15</f>
        <v>1.0233911194580707</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1.4340626151900411</v>
      </c>
      <c r="C10" s="290">
        <f>PLANTILLA!AA16</f>
        <v>4.3999999999999995</v>
      </c>
      <c r="D10" s="290">
        <f>PLANTILLA!AB16</f>
        <v>16.544444444444441</v>
      </c>
      <c r="E10" s="159">
        <f>PLANTILLA!AG16</f>
        <v>14.153681070224152</v>
      </c>
      <c r="F10" s="159">
        <f>PLANTILLA!AH16</f>
        <v>11.944107976065657</v>
      </c>
      <c r="G10" s="159">
        <f>PLANTILLA!AI16</f>
        <v>0.9510583425485365</v>
      </c>
      <c r="H10" s="159">
        <f>PLANTILLA!AJ16</f>
        <v>1.0460199386188584</v>
      </c>
      <c r="K10" t="str">
        <f>A11</f>
        <v>B. Bartolache</v>
      </c>
      <c r="L10" s="438">
        <f t="shared" si="1"/>
        <v>1.4340626151900411</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12.623400168463897</v>
      </c>
      <c r="F11" s="159">
        <f>PLANTILLA!AH10</f>
        <v>10.400468258689124</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6">
        <f>AVERAGE(M2:M11)</f>
        <v>6.9080222222222218</v>
      </c>
      <c r="N12" s="626">
        <f>AVERAGE(N2:N11)</f>
        <v>15.46211111111111</v>
      </c>
      <c r="O12" s="627">
        <f>1.66*(M12+1.5)+0.55*(N12+1.5)-7.6</f>
        <v>15.686477999999999</v>
      </c>
    </row>
    <row r="13" spans="1:15" x14ac:dyDescent="0.25">
      <c r="A13" t="str">
        <f>PLANTILLA!D9</f>
        <v>E. Toney</v>
      </c>
      <c r="B13" s="159">
        <f>PLANTILLA!J9</f>
        <v>1.4896950608743522</v>
      </c>
      <c r="C13" s="290">
        <f>PLANTILLA!AA9</f>
        <v>3.6816666666666658</v>
      </c>
      <c r="D13" s="290">
        <f>PLANTILLA!AB9</f>
        <v>16.627777777777773</v>
      </c>
      <c r="E13" s="159">
        <f>PLANTILLA!AG9</f>
        <v>13.205963200299976</v>
      </c>
      <c r="F13" s="159">
        <f>PLANTILLA!AH9</f>
        <v>11.798599917051403</v>
      </c>
      <c r="G13" s="159">
        <f>PLANTILLA!AI9</f>
        <v>0.92209227153661466</v>
      </c>
      <c r="H13" s="159">
        <f>PLANTILLA!AJ9</f>
        <v>1.190511987594538</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10.93330984448696</v>
      </c>
      <c r="F15" s="159">
        <f>PLANTILLA!AH17</f>
        <v>10.789239215864241</v>
      </c>
      <c r="G15" s="159">
        <f>PLANTILLA!AI17</f>
        <v>0.88446666666666651</v>
      </c>
      <c r="H15" s="159">
        <f>PLANTILLA!AJ17</f>
        <v>1.1131333333333331</v>
      </c>
    </row>
    <row r="16" spans="1:15" x14ac:dyDescent="0.25">
      <c r="A16" t="str">
        <f>PLANTILLA!D11</f>
        <v>F. Lasprilla</v>
      </c>
      <c r="B16" s="159">
        <f>PLANTILLA!J11</f>
        <v>1.0278026821895256</v>
      </c>
      <c r="C16" s="290">
        <f>PLANTILLA!AA11</f>
        <v>3.2566666666666673</v>
      </c>
      <c r="D16" s="290">
        <f>PLANTILLA!AB11</f>
        <v>13.238888888888889</v>
      </c>
      <c r="E16" s="159">
        <f>PLANTILLA!AG11</f>
        <v>8.0687095862380751</v>
      </c>
      <c r="F16" s="159">
        <f>PLANTILLA!AH11</f>
        <v>7.7439041072232726</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7.9383747670995977</v>
      </c>
      <c r="F17" s="159">
        <f>PLANTILLA!AH19</f>
        <v>7.3911204673269708</v>
      </c>
      <c r="G17" s="159">
        <f>PLANTILLA!AI19</f>
        <v>0.74514568935139747</v>
      </c>
      <c r="H17" s="159">
        <f>PLANTILLA!AJ19</f>
        <v>0.76899942262691712</v>
      </c>
    </row>
    <row r="18" spans="1:8" x14ac:dyDescent="0.25">
      <c r="A18" t="str">
        <f>PLANTILLA!D5</f>
        <v>D. Gehmacher</v>
      </c>
      <c r="B18" s="159">
        <f>PLANTILLA!J5</f>
        <v>1.7050048012704384</v>
      </c>
      <c r="C18" s="290">
        <f>PLANTILLA!AA5</f>
        <v>0.14055555555555557</v>
      </c>
      <c r="D18" s="290">
        <f>PLANTILLA!AB5</f>
        <v>17.849999999999998</v>
      </c>
      <c r="E18" s="159">
        <f>PLANTILLA!AG5</f>
        <v>8.8266603556955481</v>
      </c>
      <c r="F18" s="159">
        <f>PLANTILLA!AH5</f>
        <v>11.607160894198437</v>
      </c>
      <c r="G18" s="159">
        <f>PLANTILLA!AI5</f>
        <v>0.79892816187941273</v>
      </c>
      <c r="H18" s="159">
        <f>PLANTILLA!AJ5</f>
        <v>1.2258866997252944</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403" priority="4" operator="lessThan">
      <formula>11</formula>
    </cfRule>
    <cfRule type="cellIs" dxfId="402" priority="5" operator="between">
      <formula>11</formula>
      <formula>15</formula>
    </cfRule>
    <cfRule type="cellIs" dxfId="401"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61" t="s">
        <v>696</v>
      </c>
      <c r="C2" s="762"/>
      <c r="D2" s="762"/>
      <c r="E2" s="762"/>
      <c r="F2" s="762"/>
      <c r="G2" s="763"/>
      <c r="I2" s="771" t="s">
        <v>587</v>
      </c>
      <c r="J2" s="771"/>
      <c r="K2" s="771"/>
      <c r="L2" s="771"/>
      <c r="M2" s="771"/>
      <c r="N2" s="771"/>
      <c r="O2" s="771"/>
      <c r="P2" s="771"/>
      <c r="Q2" s="771"/>
      <c r="R2" s="771"/>
      <c r="S2" s="771"/>
      <c r="T2" s="771"/>
    </row>
    <row r="3" spans="2:21"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68" t="s">
        <v>114</v>
      </c>
      <c r="C4" s="769"/>
      <c r="D4" s="109"/>
      <c r="E4" s="770" t="s">
        <v>115</v>
      </c>
      <c r="F4" s="769"/>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706</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752</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2">
        <v>125000</v>
      </c>
      <c r="J6" s="492">
        <v>567000</v>
      </c>
      <c r="K6" s="492">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3">
        <f t="shared" ref="I7:K7" si="4">H7*(1+I43)</f>
        <v>132296.52871784955</v>
      </c>
      <c r="J7" s="493">
        <f t="shared" si="4"/>
        <v>133696.42525623669</v>
      </c>
      <c r="K7" s="493">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2"/>
      <c r="J8" s="492">
        <v>0</v>
      </c>
      <c r="K8" s="492"/>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2"/>
      <c r="J9" s="499">
        <v>95000</v>
      </c>
      <c r="K9" s="492"/>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3"/>
      <c r="J10" s="493">
        <v>0</v>
      </c>
      <c r="K10" s="493"/>
      <c r="L10" s="72">
        <v>0</v>
      </c>
      <c r="M10" s="72">
        <v>0</v>
      </c>
      <c r="N10" s="72">
        <v>7920</v>
      </c>
      <c r="O10" s="72">
        <v>0</v>
      </c>
      <c r="P10" s="72">
        <v>0</v>
      </c>
      <c r="Q10" s="72">
        <v>0</v>
      </c>
      <c r="R10" s="72">
        <v>0</v>
      </c>
      <c r="S10" s="70">
        <v>13520</v>
      </c>
      <c r="Y10" s="67" t="s">
        <v>77</v>
      </c>
      <c r="Z10" s="71">
        <f t="shared" si="5"/>
        <v>3.1039581409092768E-3</v>
      </c>
    </row>
    <row r="11" spans="1:26" x14ac:dyDescent="0.25">
      <c r="A11" s="752" t="s">
        <v>78</v>
      </c>
      <c r="B11" s="67" t="s">
        <v>79</v>
      </c>
      <c r="C11" s="68">
        <f t="shared" si="3"/>
        <v>82440</v>
      </c>
      <c r="D11" s="72">
        <v>270</v>
      </c>
      <c r="E11" s="72">
        <v>300</v>
      </c>
      <c r="F11" s="72">
        <v>240</v>
      </c>
      <c r="G11" s="72">
        <v>180</v>
      </c>
      <c r="H11" s="72">
        <v>180</v>
      </c>
      <c r="I11" s="493"/>
      <c r="J11" s="493"/>
      <c r="K11" s="493"/>
      <c r="L11" s="72"/>
      <c r="M11" s="72">
        <v>240</v>
      </c>
      <c r="N11" s="72">
        <v>300</v>
      </c>
      <c r="O11" s="72">
        <v>120</v>
      </c>
      <c r="P11" s="72">
        <v>0</v>
      </c>
      <c r="Q11" s="72">
        <v>0</v>
      </c>
      <c r="R11" s="72">
        <v>0</v>
      </c>
      <c r="S11" s="70">
        <f>80580+30</f>
        <v>80610</v>
      </c>
      <c r="Y11" s="67" t="s">
        <v>79</v>
      </c>
      <c r="Z11" s="71">
        <f t="shared" si="5"/>
        <v>1.1935182329130635E-2</v>
      </c>
    </row>
    <row r="12" spans="1:26" x14ac:dyDescent="0.25">
      <c r="A12" s="753"/>
      <c r="B12" s="67" t="s">
        <v>80</v>
      </c>
      <c r="C12" s="68">
        <f t="shared" si="3"/>
        <v>25000</v>
      </c>
      <c r="D12" s="72">
        <v>0</v>
      </c>
      <c r="E12" s="72">
        <v>0</v>
      </c>
      <c r="F12" s="72">
        <v>0</v>
      </c>
      <c r="G12" s="72">
        <v>0</v>
      </c>
      <c r="H12" s="72">
        <v>0</v>
      </c>
      <c r="I12" s="493"/>
      <c r="J12" s="493">
        <v>0</v>
      </c>
      <c r="K12" s="493"/>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4">
        <f t="shared" ref="I13:S13" si="7">SUM(I6:I12)</f>
        <v>257296.52871784955</v>
      </c>
      <c r="J13" s="494">
        <f t="shared" si="7"/>
        <v>795696.42525623669</v>
      </c>
      <c r="K13" s="494">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5">
        <f t="shared" ref="I14:J14" si="8">H14+200</f>
        <v>65470</v>
      </c>
      <c r="J14" s="495">
        <f t="shared" si="8"/>
        <v>65670</v>
      </c>
      <c r="K14" s="495">
        <v>66550</v>
      </c>
      <c r="L14" s="83">
        <v>66550</v>
      </c>
      <c r="M14" s="83">
        <v>68690</v>
      </c>
      <c r="N14" s="83">
        <v>68710</v>
      </c>
      <c r="O14" s="83">
        <v>69590</v>
      </c>
      <c r="P14" s="83">
        <v>69590</v>
      </c>
      <c r="Q14" s="83">
        <v>69710</v>
      </c>
      <c r="R14" s="83">
        <v>71090</v>
      </c>
      <c r="S14" s="70">
        <v>71850</v>
      </c>
      <c r="Y14" s="754">
        <f>C13</f>
        <v>6907309.643589247</v>
      </c>
      <c r="Z14" s="755"/>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5">
        <f t="shared" si="9"/>
        <v>34706</v>
      </c>
      <c r="J15" s="495">
        <f t="shared" si="9"/>
        <v>34706</v>
      </c>
      <c r="K15" s="495">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8">
        <f t="shared" si="10"/>
        <v>0</v>
      </c>
      <c r="J16" s="498">
        <f t="shared" si="10"/>
        <v>0</v>
      </c>
      <c r="K16" s="498">
        <f t="shared" si="10"/>
        <v>0</v>
      </c>
      <c r="L16" s="498">
        <f t="shared" si="10"/>
        <v>0</v>
      </c>
      <c r="M16" s="498">
        <f t="shared" si="10"/>
        <v>0</v>
      </c>
      <c r="N16" s="498">
        <f t="shared" si="10"/>
        <v>0</v>
      </c>
      <c r="O16" s="498">
        <v>112900</v>
      </c>
      <c r="P16" s="498">
        <v>0</v>
      </c>
      <c r="Q16" s="498">
        <f t="shared" si="10"/>
        <v>0</v>
      </c>
      <c r="R16" s="498">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8">
        <f t="shared" si="11"/>
        <v>120000</v>
      </c>
      <c r="J17" s="498">
        <f t="shared" si="11"/>
        <v>120000</v>
      </c>
      <c r="K17" s="498">
        <f t="shared" si="11"/>
        <v>120000</v>
      </c>
      <c r="L17" s="498">
        <f t="shared" si="11"/>
        <v>120000</v>
      </c>
      <c r="M17" s="498">
        <f t="shared" si="11"/>
        <v>120000</v>
      </c>
      <c r="N17" s="498">
        <f t="shared" si="11"/>
        <v>120000</v>
      </c>
      <c r="O17" s="498">
        <f t="shared" si="11"/>
        <v>120000</v>
      </c>
      <c r="P17" s="498">
        <f t="shared" si="11"/>
        <v>120000</v>
      </c>
      <c r="Q17" s="498">
        <f t="shared" si="11"/>
        <v>120000</v>
      </c>
      <c r="R17" s="498">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8">
        <f t="shared" si="11"/>
        <v>20000</v>
      </c>
      <c r="J18" s="498">
        <f t="shared" si="11"/>
        <v>20000</v>
      </c>
      <c r="K18" s="498">
        <f t="shared" si="11"/>
        <v>20000</v>
      </c>
      <c r="L18" s="498">
        <f t="shared" si="11"/>
        <v>20000</v>
      </c>
      <c r="M18" s="498">
        <f t="shared" si="11"/>
        <v>20000</v>
      </c>
      <c r="N18" s="498">
        <f t="shared" si="11"/>
        <v>20000</v>
      </c>
      <c r="O18" s="498">
        <f t="shared" si="11"/>
        <v>20000</v>
      </c>
      <c r="P18" s="498">
        <f t="shared" si="11"/>
        <v>20000</v>
      </c>
      <c r="Q18" s="498">
        <f t="shared" si="11"/>
        <v>20000</v>
      </c>
      <c r="R18" s="498">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5">
        <f t="shared" si="11"/>
        <v>0</v>
      </c>
      <c r="J19" s="495">
        <f t="shared" si="11"/>
        <v>0</v>
      </c>
      <c r="K19" s="495">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5">
        <f t="shared" si="11"/>
        <v>0</v>
      </c>
      <c r="J20" s="495">
        <f t="shared" si="11"/>
        <v>0</v>
      </c>
      <c r="K20" s="495">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5">
        <v>0</v>
      </c>
      <c r="J21" s="495">
        <v>4000</v>
      </c>
      <c r="K21" s="495">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5">
        <f t="shared" si="11"/>
        <v>0</v>
      </c>
      <c r="J22" s="495">
        <f t="shared" si="11"/>
        <v>0</v>
      </c>
      <c r="K22" s="495">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6">
        <f t="shared" si="12"/>
        <v>240176</v>
      </c>
      <c r="J23" s="496">
        <f t="shared" si="12"/>
        <v>244376</v>
      </c>
      <c r="K23" s="496">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7">
        <f t="shared" si="13"/>
        <v>5748972.8998837993</v>
      </c>
      <c r="J24" s="497">
        <f t="shared" si="13"/>
        <v>6300293.3251400357</v>
      </c>
      <c r="K24" s="497">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56" t="s">
        <v>94</v>
      </c>
      <c r="B26" s="75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57" t="s">
        <v>95</v>
      </c>
      <c r="B27" s="75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58" t="s">
        <v>96</v>
      </c>
      <c r="B28" s="75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56" t="s">
        <v>97</v>
      </c>
      <c r="B29" s="75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57" t="s">
        <v>98</v>
      </c>
      <c r="B30" s="75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58" t="s">
        <v>99</v>
      </c>
      <c r="B31" s="75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59"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49">
        <f>C23</f>
        <v>4106107</v>
      </c>
      <c r="Z34" s="750"/>
    </row>
    <row r="35" spans="1:26" x14ac:dyDescent="0.25">
      <c r="A35" s="57"/>
      <c r="B35" s="759"/>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59"/>
      <c r="C36" s="174" t="s">
        <v>62</v>
      </c>
      <c r="D36" s="176" t="s">
        <v>758</v>
      </c>
      <c r="E36" s="176"/>
      <c r="F36" s="176" t="s">
        <v>715</v>
      </c>
      <c r="G36" s="176" t="s">
        <v>769</v>
      </c>
      <c r="H36" s="176" t="s">
        <v>775</v>
      </c>
      <c r="I36" s="176"/>
      <c r="J36" s="176"/>
      <c r="K36" s="176"/>
      <c r="L36" s="176"/>
      <c r="M36" s="176" t="s">
        <v>777</v>
      </c>
      <c r="N36" s="176" t="s">
        <v>780</v>
      </c>
      <c r="O36" s="176" t="s">
        <v>782</v>
      </c>
      <c r="P36" s="176" t="s">
        <v>786</v>
      </c>
      <c r="Q36" s="176"/>
      <c r="R36" s="176" t="s">
        <v>793</v>
      </c>
      <c r="S36" s="176" t="s">
        <v>794</v>
      </c>
    </row>
    <row r="37" spans="1:26" x14ac:dyDescent="0.25">
      <c r="A37" s="57"/>
      <c r="B37" s="759"/>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59"/>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59"/>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5"/>
      <c r="G41" s="751"/>
      <c r="H41" s="751"/>
      <c r="I41" s="751"/>
      <c r="J41" s="751"/>
    </row>
    <row r="42" spans="1:26" x14ac:dyDescent="0.25">
      <c r="C42" s="4" t="s">
        <v>578</v>
      </c>
      <c r="D42" s="9">
        <v>85845</v>
      </c>
      <c r="E42" s="371">
        <v>92875</v>
      </c>
      <c r="F42" s="264">
        <v>97870</v>
      </c>
      <c r="G42" s="486">
        <v>101200</v>
      </c>
      <c r="H42" s="486">
        <v>103420</v>
      </c>
      <c r="I42" s="486">
        <v>104900</v>
      </c>
      <c r="J42" s="486">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c r="M46" s="413"/>
    </row>
    <row r="47" spans="1:26" x14ac:dyDescent="0.25">
      <c r="E47" s="106"/>
      <c r="G47" s="486"/>
      <c r="H47" s="486"/>
      <c r="I47" s="486"/>
      <c r="J47" s="486"/>
    </row>
    <row r="48" spans="1:26" x14ac:dyDescent="0.25">
      <c r="G48" s="760"/>
      <c r="H48" s="760"/>
      <c r="I48" s="760"/>
      <c r="J48" s="760"/>
      <c r="P48" s="413"/>
    </row>
    <row r="49" spans="7:10" ht="15" customHeight="1" x14ac:dyDescent="0.25">
      <c r="G49" s="760"/>
      <c r="H49" s="760"/>
      <c r="I49" s="76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756</v>
      </c>
      <c r="C2" s="762"/>
      <c r="D2" s="762"/>
      <c r="E2" s="762"/>
      <c r="F2" s="762"/>
      <c r="G2" s="763"/>
      <c r="I2" s="771" t="s">
        <v>757</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767</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776</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778</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781</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0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9">
        <v>8310</v>
      </c>
      <c r="N6" s="499">
        <v>461286</v>
      </c>
      <c r="O6" s="499">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3">
        <v>187500</v>
      </c>
      <c r="N7" s="597">
        <v>187965</v>
      </c>
      <c r="O7" s="597">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2">
        <v>0</v>
      </c>
      <c r="N8" s="499">
        <v>0</v>
      </c>
      <c r="O8" s="499">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2">
        <v>0</v>
      </c>
      <c r="N9" s="499">
        <v>0</v>
      </c>
      <c r="O9" s="499">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3">
        <v>0</v>
      </c>
      <c r="N10" s="597">
        <v>0</v>
      </c>
      <c r="O10" s="597">
        <v>0</v>
      </c>
      <c r="P10" s="70">
        <v>0</v>
      </c>
      <c r="Q10" s="72">
        <v>10000</v>
      </c>
      <c r="R10" s="72">
        <v>120</v>
      </c>
      <c r="S10" s="72">
        <v>0</v>
      </c>
      <c r="Y10" s="67" t="s">
        <v>77</v>
      </c>
      <c r="Z10" s="71">
        <f t="shared" si="4"/>
        <v>1.4744551340901927E-3</v>
      </c>
    </row>
    <row r="11" spans="1:26" x14ac:dyDescent="0.25">
      <c r="A11" s="752" t="s">
        <v>78</v>
      </c>
      <c r="B11" s="67" t="s">
        <v>79</v>
      </c>
      <c r="C11" s="68">
        <f t="shared" si="3"/>
        <v>84270</v>
      </c>
      <c r="D11" s="72">
        <v>120</v>
      </c>
      <c r="E11" s="72">
        <v>60</v>
      </c>
      <c r="F11" s="72">
        <v>90</v>
      </c>
      <c r="G11" s="72">
        <v>0</v>
      </c>
      <c r="H11" s="72">
        <v>0</v>
      </c>
      <c r="I11" s="72">
        <v>0</v>
      </c>
      <c r="J11" s="72">
        <v>120</v>
      </c>
      <c r="K11" s="72">
        <v>300</v>
      </c>
      <c r="L11" s="72">
        <v>60</v>
      </c>
      <c r="M11" s="597">
        <v>240</v>
      </c>
      <c r="N11" s="597">
        <v>300</v>
      </c>
      <c r="O11" s="597">
        <v>300</v>
      </c>
      <c r="P11" s="70">
        <v>60</v>
      </c>
      <c r="Q11" s="72">
        <v>0</v>
      </c>
      <c r="R11" s="72">
        <v>180</v>
      </c>
      <c r="S11" s="72">
        <v>82440</v>
      </c>
      <c r="Y11" s="67" t="s">
        <v>79</v>
      </c>
      <c r="Z11" s="71">
        <f t="shared" si="4"/>
        <v>1.1677850953926741E-2</v>
      </c>
    </row>
    <row r="12" spans="1:26" x14ac:dyDescent="0.25">
      <c r="A12" s="753"/>
      <c r="B12" s="67" t="s">
        <v>80</v>
      </c>
      <c r="C12" s="68">
        <f t="shared" si="3"/>
        <v>0</v>
      </c>
      <c r="D12" s="72">
        <v>0</v>
      </c>
      <c r="E12" s="72">
        <v>0</v>
      </c>
      <c r="F12" s="72">
        <v>0</v>
      </c>
      <c r="G12" s="72"/>
      <c r="H12" s="72">
        <v>0</v>
      </c>
      <c r="I12" s="72">
        <v>0</v>
      </c>
      <c r="J12" s="72">
        <v>0</v>
      </c>
      <c r="K12" s="72">
        <v>0</v>
      </c>
      <c r="L12" s="72"/>
      <c r="M12" s="493">
        <v>0</v>
      </c>
      <c r="N12" s="597">
        <v>0</v>
      </c>
      <c r="O12" s="597">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5">
        <v>82690</v>
      </c>
      <c r="N14" s="498">
        <v>82690</v>
      </c>
      <c r="O14" s="498">
        <v>83870</v>
      </c>
      <c r="P14" s="70">
        <f t="shared" si="7"/>
        <v>83870</v>
      </c>
      <c r="Q14" s="83">
        <f t="shared" si="7"/>
        <v>83870</v>
      </c>
      <c r="R14" s="83">
        <f t="shared" si="7"/>
        <v>83870</v>
      </c>
      <c r="S14" s="83">
        <v>85220</v>
      </c>
      <c r="Y14" s="754">
        <f>C13</f>
        <v>7216225</v>
      </c>
      <c r="Z14" s="755"/>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8">
        <f t="shared" si="8"/>
        <v>35776</v>
      </c>
      <c r="N15" s="498">
        <f t="shared" si="8"/>
        <v>35776</v>
      </c>
      <c r="O15" s="498">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8">
        <f t="shared" si="9"/>
        <v>0</v>
      </c>
      <c r="N16" s="498">
        <f t="shared" si="9"/>
        <v>0</v>
      </c>
      <c r="O16" s="498">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8">
        <f t="shared" si="9"/>
        <v>65280.000000000007</v>
      </c>
      <c r="N17" s="498">
        <f t="shared" si="9"/>
        <v>65280.000000000007</v>
      </c>
      <c r="O17" s="498">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8">
        <f t="shared" si="9"/>
        <v>20000</v>
      </c>
      <c r="N18" s="498">
        <f t="shared" si="9"/>
        <v>20000</v>
      </c>
      <c r="O18" s="498">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5">
        <f t="shared" si="9"/>
        <v>0</v>
      </c>
      <c r="N19" s="498">
        <f t="shared" si="9"/>
        <v>0</v>
      </c>
      <c r="O19" s="498">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5">
        <f t="shared" si="9"/>
        <v>0</v>
      </c>
      <c r="N20" s="498">
        <f t="shared" si="9"/>
        <v>0</v>
      </c>
      <c r="O20" s="498">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5">
        <f t="shared" si="9"/>
        <v>2000</v>
      </c>
      <c r="N21" s="498">
        <v>6000</v>
      </c>
      <c r="O21" s="498">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5">
        <f t="shared" si="9"/>
        <v>0</v>
      </c>
      <c r="N22" s="498">
        <f t="shared" si="9"/>
        <v>0</v>
      </c>
      <c r="O22" s="498">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56" t="s">
        <v>94</v>
      </c>
      <c r="B26" s="75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57" t="s">
        <v>95</v>
      </c>
      <c r="B27" s="75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58" t="s">
        <v>96</v>
      </c>
      <c r="B28" s="75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56" t="s">
        <v>97</v>
      </c>
      <c r="B29" s="75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57" t="s">
        <v>98</v>
      </c>
      <c r="B30" s="75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58" t="s">
        <v>99</v>
      </c>
      <c r="B31" s="75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59"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49">
        <f>C23</f>
        <v>5755973</v>
      </c>
      <c r="Z34" s="750"/>
    </row>
    <row r="35" spans="1:26" x14ac:dyDescent="0.25">
      <c r="A35" s="57"/>
      <c r="B35" s="759"/>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59"/>
      <c r="C36" s="174" t="s">
        <v>805</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59"/>
      <c r="C37" s="174" t="s">
        <v>806</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59"/>
      <c r="C38" s="174" t="s">
        <v>807</v>
      </c>
      <c r="D38" s="176" t="s">
        <v>811</v>
      </c>
      <c r="E38" s="176" t="s">
        <v>820</v>
      </c>
      <c r="F38" s="176" t="s">
        <v>848</v>
      </c>
      <c r="G38" s="176" t="s">
        <v>849</v>
      </c>
      <c r="H38" s="176" t="s">
        <v>854</v>
      </c>
      <c r="I38" s="176" t="s">
        <v>856</v>
      </c>
      <c r="J38" s="176" t="s">
        <v>883</v>
      </c>
      <c r="K38" s="176" t="s">
        <v>884</v>
      </c>
      <c r="L38" s="176" t="s">
        <v>794</v>
      </c>
      <c r="M38" s="176"/>
      <c r="N38" s="176"/>
      <c r="O38" s="176" t="s">
        <v>913</v>
      </c>
      <c r="P38" s="176" t="s">
        <v>914</v>
      </c>
      <c r="Q38" s="176"/>
      <c r="R38" s="176"/>
      <c r="S38" s="176"/>
    </row>
    <row r="39" spans="1:26" x14ac:dyDescent="0.25">
      <c r="A39" s="57"/>
      <c r="B39" s="759"/>
      <c r="C39" s="174" t="s">
        <v>808</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59"/>
      <c r="C40" s="174" t="s">
        <v>809</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59"/>
      <c r="C41" s="174" t="s">
        <v>810</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500"/>
      <c r="G43" s="751"/>
      <c r="H43" s="751"/>
      <c r="I43" s="751"/>
      <c r="J43" s="751"/>
    </row>
    <row r="44" spans="1:26" x14ac:dyDescent="0.25">
      <c r="C44" s="4" t="s">
        <v>578</v>
      </c>
      <c r="D44" s="9">
        <v>85845</v>
      </c>
      <c r="E44" s="371">
        <v>92875</v>
      </c>
      <c r="F44" s="264">
        <v>97870</v>
      </c>
      <c r="G44" s="501">
        <v>101200</v>
      </c>
      <c r="H44" s="501">
        <v>103420</v>
      </c>
      <c r="I44" s="501">
        <v>104900</v>
      </c>
      <c r="J44" s="501">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60"/>
      <c r="H48" s="760"/>
      <c r="I48" s="760"/>
      <c r="J48" s="760"/>
      <c r="M48" s="413"/>
    </row>
    <row r="49" spans="5:16" x14ac:dyDescent="0.25">
      <c r="E49" s="106"/>
      <c r="G49" s="501"/>
      <c r="H49" s="501"/>
      <c r="I49" s="501"/>
      <c r="J49" s="501"/>
    </row>
    <row r="50" spans="5:16" x14ac:dyDescent="0.25">
      <c r="G50" s="760"/>
      <c r="H50" s="760"/>
      <c r="I50" s="760"/>
      <c r="J50" s="760"/>
      <c r="P50" s="413"/>
    </row>
    <row r="51" spans="5:16" ht="15" customHeight="1" x14ac:dyDescent="0.25">
      <c r="G51" s="760"/>
      <c r="H51" s="760"/>
      <c r="I51" s="760"/>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1" t="s">
        <v>796</v>
      </c>
      <c r="C2" s="762"/>
      <c r="D2" s="762"/>
      <c r="E2" s="762"/>
      <c r="F2" s="762"/>
      <c r="G2" s="763"/>
      <c r="I2" s="772" t="s">
        <v>797</v>
      </c>
      <c r="J2" s="773"/>
      <c r="K2" s="773"/>
      <c r="L2" s="773"/>
      <c r="M2" s="773"/>
      <c r="N2" s="773"/>
      <c r="O2" s="773"/>
      <c r="P2" s="773"/>
      <c r="Q2" s="773"/>
      <c r="R2" s="773"/>
      <c r="S2" s="774"/>
    </row>
    <row r="3" spans="2:19" x14ac:dyDescent="0.25">
      <c r="B3" s="765" t="s">
        <v>103</v>
      </c>
      <c r="C3" s="766"/>
      <c r="D3" s="766"/>
      <c r="E3" s="766"/>
      <c r="F3" s="766"/>
      <c r="G3" s="767"/>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5" t="s">
        <v>114</v>
      </c>
      <c r="C4" s="776"/>
      <c r="D4" s="109"/>
      <c r="E4" s="777" t="s">
        <v>115</v>
      </c>
      <c r="F4" s="778"/>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850</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915</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6"/>
      <c r="J8" s="506"/>
      <c r="K8" s="506"/>
      <c r="L8" s="506"/>
      <c r="M8" s="506"/>
      <c r="N8" s="506"/>
      <c r="O8" s="506"/>
      <c r="P8" s="506"/>
      <c r="Q8" s="506"/>
      <c r="R8" s="506"/>
      <c r="S8" s="506"/>
    </row>
    <row r="9" spans="2:19" x14ac:dyDescent="0.25">
      <c r="B9" s="122" t="s">
        <v>120</v>
      </c>
      <c r="C9" s="123">
        <v>-2068800</v>
      </c>
      <c r="D9" s="220">
        <f>C9/C30</f>
        <v>-0.10308377332845778</v>
      </c>
      <c r="E9" s="221" t="s">
        <v>798</v>
      </c>
      <c r="F9" s="222">
        <f ca="1">'A-P_T47'!F11-EconomiaT47!C24+EconomiaT47!C5</f>
        <v>2985317.643589247</v>
      </c>
      <c r="G9" s="121">
        <f ca="1">F9/$F$30</f>
        <v>0.1487518403350733</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0</v>
      </c>
      <c r="D11" s="140">
        <f>C11/C30</f>
        <v>0</v>
      </c>
      <c r="E11" s="116" t="s">
        <v>799</v>
      </c>
      <c r="F11" s="117">
        <f>SUM(F12:F17)+C9</f>
        <v>2458112</v>
      </c>
      <c r="G11" s="118">
        <f t="shared" ref="G11:G17" ca="1" si="6">F11/$F$30</f>
        <v>0.12248233769526393</v>
      </c>
      <c r="I11" s="506"/>
      <c r="J11" s="506"/>
      <c r="K11" s="506"/>
      <c r="L11" s="506"/>
      <c r="M11" s="506"/>
      <c r="N11" s="506"/>
      <c r="O11" s="506"/>
      <c r="P11" s="506"/>
      <c r="Q11" s="506"/>
      <c r="R11" s="506"/>
      <c r="S11" s="506"/>
    </row>
    <row r="12" spans="2:19" x14ac:dyDescent="0.25">
      <c r="B12" s="129" t="s">
        <v>122</v>
      </c>
      <c r="C12" s="130">
        <f>SUMIF(I4:I516,"S",$P$4:$P$516)</f>
        <v>0</v>
      </c>
      <c r="D12" s="220">
        <f>C12/C30</f>
        <v>0</v>
      </c>
      <c r="E12" s="49" t="s">
        <v>123</v>
      </c>
      <c r="F12" s="131">
        <f>SUMIF(I4:I516,"J",$O$4:$O$516)</f>
        <v>-1052940</v>
      </c>
      <c r="G12" s="121">
        <f t="shared" ca="1" si="6"/>
        <v>-5.2465694261632993E-2</v>
      </c>
      <c r="I12" s="506"/>
      <c r="J12" s="506"/>
      <c r="K12" s="506"/>
      <c r="L12" s="506"/>
      <c r="M12" s="506"/>
      <c r="N12" s="506"/>
      <c r="O12" s="506"/>
      <c r="P12" s="506"/>
      <c r="Q12" s="506"/>
      <c r="R12" s="506"/>
      <c r="S12" s="506"/>
    </row>
    <row r="13" spans="2:19" x14ac:dyDescent="0.25">
      <c r="B13" s="129" t="s">
        <v>101</v>
      </c>
      <c r="C13" s="130">
        <f>SUMIF(I4:I516,"J",$P$4:$P$516)</f>
        <v>0</v>
      </c>
      <c r="D13" s="220">
        <f>C13/C30</f>
        <v>0</v>
      </c>
      <c r="E13" s="49" t="s">
        <v>124</v>
      </c>
      <c r="F13" s="131">
        <f>SUMIF(I4:I516,"S",$O$4:$O$516)</f>
        <v>0</v>
      </c>
      <c r="G13" s="121">
        <f t="shared" ca="1" si="6"/>
        <v>0</v>
      </c>
      <c r="I13" s="506"/>
      <c r="J13" s="506"/>
      <c r="K13" s="506"/>
      <c r="L13" s="506"/>
      <c r="M13" s="506"/>
      <c r="N13" s="506"/>
      <c r="O13" s="506"/>
      <c r="P13" s="506"/>
      <c r="Q13" s="506"/>
      <c r="R13" s="506"/>
      <c r="S13" s="506"/>
    </row>
    <row r="14" spans="2:19" x14ac:dyDescent="0.25">
      <c r="B14" s="129" t="s">
        <v>100</v>
      </c>
      <c r="C14" s="130">
        <f>SUMIF(I4:I516,"E",$P$4:$P$516)</f>
        <v>0</v>
      </c>
      <c r="D14" s="220">
        <f>C14/C30</f>
        <v>0</v>
      </c>
      <c r="E14" s="49" t="s">
        <v>125</v>
      </c>
      <c r="F14" s="131">
        <f>SUMIF(I4:I516,"C",$O$4:$O$516)</f>
        <v>476900</v>
      </c>
      <c r="G14" s="121">
        <f t="shared" ca="1" si="6"/>
        <v>2.3762882589105527E-2</v>
      </c>
      <c r="I14" s="506"/>
      <c r="J14" s="506"/>
      <c r="K14" s="506"/>
      <c r="L14" s="506"/>
      <c r="M14" s="506"/>
      <c r="N14" s="506"/>
      <c r="O14" s="506"/>
      <c r="P14" s="506"/>
      <c r="Q14" s="506"/>
      <c r="R14" s="506"/>
      <c r="S14" s="506"/>
    </row>
    <row r="15" spans="2:19" x14ac:dyDescent="0.25">
      <c r="B15" s="129" t="s">
        <v>126</v>
      </c>
      <c r="C15" s="130">
        <f>SUMIF(I4:I516,"M",$P$4:$P$516)</f>
        <v>0</v>
      </c>
      <c r="D15" s="220">
        <f>C15/C30</f>
        <v>0</v>
      </c>
      <c r="E15" s="49" t="s">
        <v>127</v>
      </c>
      <c r="F15" s="131">
        <f>SUMIF(I4:I516,"E",$O$4:$O$516)</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SUMIF(I4:I516,"M",$O$4:$O$516)</f>
        <v>0</v>
      </c>
      <c r="G16" s="121">
        <f t="shared" ca="1" si="6"/>
        <v>0</v>
      </c>
      <c r="I16" s="506"/>
      <c r="J16" s="506"/>
      <c r="K16" s="506"/>
      <c r="L16" s="506"/>
      <c r="M16" s="506"/>
      <c r="N16" s="506"/>
      <c r="O16" s="506"/>
      <c r="P16" s="506"/>
      <c r="Q16" s="506"/>
      <c r="R16" s="506"/>
      <c r="S16" s="506"/>
    </row>
    <row r="17" spans="2:11" x14ac:dyDescent="0.25">
      <c r="B17" s="116" t="s">
        <v>75</v>
      </c>
      <c r="C17" s="134">
        <f>C18+C19</f>
        <v>476900</v>
      </c>
      <c r="D17" s="140">
        <f>C17/C30</f>
        <v>2.3762882589105527E-2</v>
      </c>
      <c r="E17" s="135" t="s">
        <v>800</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801</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4"/>
      <c r="G22" s="505"/>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7" t="s">
        <v>91</v>
      </c>
      <c r="F29" s="508">
        <f>EconomiaT48!C22</f>
        <v>0</v>
      </c>
      <c r="G29" s="509">
        <f t="shared" ca="1" si="7"/>
        <v>0</v>
      </c>
    </row>
    <row r="30" spans="2:11" ht="18.75" x14ac:dyDescent="0.3">
      <c r="B30" s="146" t="s">
        <v>27</v>
      </c>
      <c r="C30" s="147">
        <f>C23+C21+C17+C11+C6</f>
        <v>20069114.014755197</v>
      </c>
      <c r="D30" s="510">
        <f>C30/C30</f>
        <v>1</v>
      </c>
      <c r="E30" s="146" t="s">
        <v>27</v>
      </c>
      <c r="F30" s="147">
        <f ca="1">F23+F19+F11+F6</f>
        <v>20069114.014755197</v>
      </c>
      <c r="G30" s="145">
        <f ca="1">F30/$F$30</f>
        <v>1</v>
      </c>
      <c r="J30" s="106"/>
    </row>
    <row r="31" spans="2:11" x14ac:dyDescent="0.25">
      <c r="C31" s="106"/>
      <c r="D31" s="511"/>
      <c r="E31" s="512" t="s">
        <v>740</v>
      </c>
      <c r="F31" s="513">
        <f ca="1">F30-C30</f>
        <v>0</v>
      </c>
      <c r="G31" s="106"/>
    </row>
    <row r="32" spans="2:11" x14ac:dyDescent="0.25">
      <c r="C32" s="106"/>
      <c r="D32" s="106"/>
      <c r="F32" s="106"/>
      <c r="G32" s="106"/>
      <c r="H32" s="106"/>
    </row>
    <row r="33" spans="2:7" ht="15.75" x14ac:dyDescent="0.25">
      <c r="B33" s="514" t="s">
        <v>802</v>
      </c>
      <c r="C33" s="515">
        <f>EconomiaT48!C24</f>
        <v>9386456.0147551969</v>
      </c>
      <c r="D33" s="106"/>
      <c r="E33" s="4" t="s">
        <v>803</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9">
        <v>21921</v>
      </c>
      <c r="N6" s="499">
        <v>633023</v>
      </c>
      <c r="O6" s="499">
        <v>19414</v>
      </c>
      <c r="P6" s="499">
        <f>609647+15477</f>
        <v>625124</v>
      </c>
      <c r="Q6" s="499">
        <v>18667</v>
      </c>
      <c r="R6" s="499">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7">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2">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2">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3">
        <v>0</v>
      </c>
      <c r="N10" s="72">
        <v>0</v>
      </c>
      <c r="O10" s="72">
        <v>0</v>
      </c>
      <c r="P10" s="72">
        <v>0</v>
      </c>
      <c r="Q10" s="72">
        <v>39020</v>
      </c>
      <c r="R10" s="72">
        <v>0</v>
      </c>
      <c r="S10" s="70">
        <v>0</v>
      </c>
      <c r="Y10" s="67" t="s">
        <v>77</v>
      </c>
      <c r="Z10" s="71">
        <f t="shared" si="4"/>
        <v>1.2443392560305147E-2</v>
      </c>
    </row>
    <row r="11" spans="1:26" x14ac:dyDescent="0.25">
      <c r="A11" s="752" t="s">
        <v>78</v>
      </c>
      <c r="B11" s="67" t="s">
        <v>79</v>
      </c>
      <c r="C11" s="68">
        <f t="shared" si="3"/>
        <v>88230</v>
      </c>
      <c r="D11" s="72">
        <v>210</v>
      </c>
      <c r="E11" s="72">
        <v>300</v>
      </c>
      <c r="F11" s="72">
        <v>300</v>
      </c>
      <c r="G11" s="72">
        <v>270</v>
      </c>
      <c r="H11" s="72">
        <v>240</v>
      </c>
      <c r="I11" s="72">
        <v>120</v>
      </c>
      <c r="J11" s="72">
        <v>0</v>
      </c>
      <c r="K11" s="72">
        <v>60</v>
      </c>
      <c r="L11" s="72">
        <v>120</v>
      </c>
      <c r="M11" s="597">
        <v>120</v>
      </c>
      <c r="N11" s="72">
        <v>240</v>
      </c>
      <c r="O11" s="72">
        <v>240</v>
      </c>
      <c r="P11" s="72">
        <v>240</v>
      </c>
      <c r="Q11" s="72">
        <v>60</v>
      </c>
      <c r="R11" s="72">
        <v>240</v>
      </c>
      <c r="S11" s="70">
        <f>85230+240</f>
        <v>85470</v>
      </c>
      <c r="Y11" s="67" t="s">
        <v>79</v>
      </c>
      <c r="Z11" s="71">
        <f t="shared" si="4"/>
        <v>9.1067339565161966E-3</v>
      </c>
    </row>
    <row r="12" spans="1:26" x14ac:dyDescent="0.25">
      <c r="A12" s="753"/>
      <c r="B12" s="67" t="s">
        <v>80</v>
      </c>
      <c r="C12" s="68">
        <f t="shared" si="3"/>
        <v>1105000</v>
      </c>
      <c r="D12" s="72">
        <v>0</v>
      </c>
      <c r="E12" s="72">
        <v>0</v>
      </c>
      <c r="F12" s="72">
        <v>0</v>
      </c>
      <c r="G12" s="72">
        <v>0</v>
      </c>
      <c r="H12" s="72">
        <v>0</v>
      </c>
      <c r="I12" s="72">
        <v>0</v>
      </c>
      <c r="J12" s="72">
        <v>180000</v>
      </c>
      <c r="K12" s="72">
        <v>0</v>
      </c>
      <c r="L12" s="72">
        <v>0</v>
      </c>
      <c r="M12" s="493">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8">
        <v>147606</v>
      </c>
      <c r="N14" s="83">
        <v>147606</v>
      </c>
      <c r="O14" s="83">
        <v>147886</v>
      </c>
      <c r="P14" s="83">
        <f t="shared" ref="M14:S15" si="7">O14</f>
        <v>147886</v>
      </c>
      <c r="Q14" s="83">
        <v>148566</v>
      </c>
      <c r="R14" s="83">
        <v>150696</v>
      </c>
      <c r="S14" s="70">
        <v>153622</v>
      </c>
      <c r="Y14" s="754">
        <f>C13</f>
        <v>9688435</v>
      </c>
      <c r="Z14" s="755"/>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8">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8">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8">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8">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8">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8">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8">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8">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56" t="s">
        <v>94</v>
      </c>
      <c r="B26" s="75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57" t="s">
        <v>95</v>
      </c>
      <c r="B27" s="75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58" t="s">
        <v>96</v>
      </c>
      <c r="B28" s="75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56" t="s">
        <v>97</v>
      </c>
      <c r="B29" s="75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57" t="s">
        <v>98</v>
      </c>
      <c r="B30" s="75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58" t="s">
        <v>99</v>
      </c>
      <c r="B31" s="75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59"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49">
        <f>C23</f>
        <v>16032490</v>
      </c>
      <c r="Z34" s="750"/>
    </row>
    <row r="35" spans="1:26" x14ac:dyDescent="0.25">
      <c r="A35" s="57"/>
      <c r="B35" s="759"/>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59"/>
      <c r="C36" s="174" t="s">
        <v>805</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59"/>
      <c r="C37" s="174" t="s">
        <v>806</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59"/>
      <c r="C38" s="174" t="s">
        <v>807</v>
      </c>
      <c r="D38" s="176" t="s">
        <v>919</v>
      </c>
      <c r="E38" s="176" t="s">
        <v>926</v>
      </c>
      <c r="F38" s="176" t="s">
        <v>927</v>
      </c>
      <c r="G38" s="176"/>
      <c r="H38" s="176" t="s">
        <v>928</v>
      </c>
      <c r="I38" s="176"/>
      <c r="J38" s="176" t="s">
        <v>931</v>
      </c>
      <c r="K38" s="176" t="s">
        <v>933</v>
      </c>
      <c r="L38" s="176" t="s">
        <v>936</v>
      </c>
      <c r="M38" s="176"/>
      <c r="N38" s="176"/>
      <c r="O38" s="176" t="s">
        <v>940</v>
      </c>
      <c r="P38" s="176" t="s">
        <v>941</v>
      </c>
      <c r="Q38" s="176"/>
      <c r="R38" s="176" t="s">
        <v>942</v>
      </c>
      <c r="S38" s="176" t="s">
        <v>945</v>
      </c>
    </row>
    <row r="39" spans="1:26" x14ac:dyDescent="0.25">
      <c r="A39" s="57"/>
      <c r="B39" s="759"/>
      <c r="C39" s="174" t="s">
        <v>808</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59"/>
      <c r="C40" s="174" t="s">
        <v>809</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59"/>
      <c r="C41" s="174" t="s">
        <v>810</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8"/>
      <c r="G43" s="751"/>
      <c r="H43" s="751"/>
      <c r="I43" s="751"/>
      <c r="J43" s="75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c r="M46" s="413"/>
    </row>
    <row r="47" spans="1:26" x14ac:dyDescent="0.25">
      <c r="E47" s="106"/>
      <c r="G47" s="599"/>
      <c r="H47" s="599"/>
      <c r="I47" s="599"/>
      <c r="J47" s="599"/>
    </row>
    <row r="48" spans="1:26" x14ac:dyDescent="0.25">
      <c r="G48" s="760"/>
      <c r="H48" s="760"/>
      <c r="I48" s="760"/>
      <c r="J48" s="760"/>
      <c r="P48" s="413"/>
    </row>
    <row r="49" spans="7:10" ht="15" customHeight="1" x14ac:dyDescent="0.25">
      <c r="G49" s="760"/>
      <c r="H49" s="760"/>
      <c r="I49" s="760"/>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1" t="s">
        <v>916</v>
      </c>
      <c r="C2" s="762"/>
      <c r="D2" s="762"/>
      <c r="E2" s="762"/>
      <c r="F2" s="762"/>
      <c r="G2" s="763"/>
      <c r="I2" s="772" t="s">
        <v>917</v>
      </c>
      <c r="J2" s="773"/>
      <c r="K2" s="773"/>
      <c r="L2" s="773"/>
      <c r="M2" s="773"/>
      <c r="N2" s="773"/>
      <c r="O2" s="773"/>
      <c r="P2" s="773"/>
      <c r="Q2" s="773"/>
      <c r="R2" s="773"/>
      <c r="S2" s="774"/>
    </row>
    <row r="3" spans="2:19" x14ac:dyDescent="0.25">
      <c r="B3" s="765" t="s">
        <v>103</v>
      </c>
      <c r="C3" s="766"/>
      <c r="D3" s="766"/>
      <c r="E3" s="766"/>
      <c r="F3" s="766"/>
      <c r="G3" s="767"/>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5" t="s">
        <v>114</v>
      </c>
      <c r="C4" s="776"/>
      <c r="D4" s="109"/>
      <c r="E4" s="777" t="s">
        <v>115</v>
      </c>
      <c r="F4" s="778"/>
      <c r="G4" s="109"/>
      <c r="I4" s="429" t="s">
        <v>584</v>
      </c>
      <c r="J4" s="430" t="s">
        <v>938</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939</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7" t="s">
        <v>116</v>
      </c>
      <c r="J6" s="110" t="s">
        <v>935</v>
      </c>
      <c r="K6" s="607">
        <v>11662680</v>
      </c>
      <c r="L6" s="607">
        <v>53436</v>
      </c>
      <c r="M6" s="607">
        <v>0</v>
      </c>
      <c r="N6" s="607">
        <v>0</v>
      </c>
      <c r="O6" s="111">
        <f t="shared" ref="O6" si="4">IF(M6=0,0,M6-K6)-N6</f>
        <v>0</v>
      </c>
      <c r="P6" s="111">
        <f t="shared" ref="P6" si="5">IF(M6=0,K6,0)</f>
        <v>11662680</v>
      </c>
      <c r="Q6" s="608"/>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6"/>
      <c r="J7" s="506"/>
      <c r="K7" s="506"/>
      <c r="L7" s="506"/>
      <c r="M7" s="506"/>
      <c r="N7" s="506"/>
      <c r="O7" s="506"/>
      <c r="P7" s="506"/>
      <c r="Q7" s="506"/>
      <c r="R7" s="506"/>
      <c r="S7" s="506"/>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6"/>
      <c r="J8" s="506"/>
      <c r="K8" s="506"/>
      <c r="L8" s="506"/>
      <c r="M8" s="506"/>
      <c r="N8" s="506"/>
      <c r="O8" s="506"/>
      <c r="P8" s="506"/>
      <c r="Q8" s="506"/>
      <c r="R8" s="506"/>
      <c r="S8" s="506"/>
    </row>
    <row r="9" spans="2:19" x14ac:dyDescent="0.25">
      <c r="B9" s="122" t="s">
        <v>120</v>
      </c>
      <c r="C9" s="123">
        <v>0</v>
      </c>
      <c r="D9" s="220">
        <f>C9/C34</f>
        <v>0</v>
      </c>
      <c r="E9" s="221" t="s">
        <v>918</v>
      </c>
      <c r="F9" s="222">
        <f>'A-P_T48'!F11-2059800</f>
        <v>398312</v>
      </c>
      <c r="G9" s="121">
        <f ca="1">F9/$F$34</f>
        <v>1.1111642386177878E-2</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11662680</v>
      </c>
      <c r="D11" s="140">
        <f>C11/C34</f>
        <v>0.32535180819164122</v>
      </c>
      <c r="E11" s="116" t="s">
        <v>799</v>
      </c>
      <c r="F11" s="117">
        <f>SUM(F12:F17)</f>
        <v>5554171</v>
      </c>
      <c r="G11" s="118">
        <f t="shared" ref="G11:G17" ca="1" si="6">F11/$F$34</f>
        <v>0.15494376745787214</v>
      </c>
      <c r="I11" s="506"/>
      <c r="J11" s="506"/>
      <c r="K11" s="506"/>
      <c r="L11" s="506"/>
      <c r="M11" s="506"/>
      <c r="N11" s="506"/>
      <c r="O11" s="506"/>
      <c r="P11" s="506"/>
      <c r="Q11" s="506"/>
      <c r="R11" s="506"/>
      <c r="S11" s="506"/>
    </row>
    <row r="12" spans="2:19" x14ac:dyDescent="0.25">
      <c r="B12" s="129" t="s">
        <v>122</v>
      </c>
      <c r="C12" s="130">
        <f>SUMIF(I4:I520,"S",$P$4:$P$520)</f>
        <v>0</v>
      </c>
      <c r="D12" s="220">
        <f>C12/C34</f>
        <v>0</v>
      </c>
      <c r="E12" s="49" t="s">
        <v>123</v>
      </c>
      <c r="F12" s="131">
        <f>SUMIF(I4:I520,"J",$O$4:$O$520)</f>
        <v>0</v>
      </c>
      <c r="G12" s="121">
        <f t="shared" ca="1" si="6"/>
        <v>0</v>
      </c>
      <c r="I12" s="506"/>
      <c r="J12" s="506"/>
      <c r="K12" s="506"/>
      <c r="L12" s="506"/>
      <c r="M12" s="506"/>
      <c r="N12" s="506"/>
      <c r="O12" s="506"/>
      <c r="P12" s="506"/>
      <c r="Q12" s="506"/>
      <c r="R12" s="506"/>
      <c r="S12" s="506"/>
    </row>
    <row r="13" spans="2:19" x14ac:dyDescent="0.25">
      <c r="B13" s="129" t="s">
        <v>101</v>
      </c>
      <c r="C13" s="130">
        <f>SUMIF(I4:I520,"J",$P$4:$P$520)</f>
        <v>11662680</v>
      </c>
      <c r="D13" s="220">
        <f>C13/C34</f>
        <v>0.32535180819164122</v>
      </c>
      <c r="E13" s="49" t="s">
        <v>124</v>
      </c>
      <c r="F13" s="131">
        <f>SUMIF(I4:I520,"S",$O$4:$O$520)</f>
        <v>0</v>
      </c>
      <c r="G13" s="121">
        <f t="shared" ca="1" si="6"/>
        <v>0</v>
      </c>
      <c r="I13" s="506"/>
      <c r="J13" s="506"/>
      <c r="K13" s="506"/>
      <c r="L13" s="506"/>
      <c r="M13" s="506"/>
      <c r="N13" s="506"/>
      <c r="O13" s="506"/>
      <c r="P13" s="506"/>
      <c r="Q13" s="506"/>
      <c r="R13" s="506"/>
      <c r="S13" s="506"/>
    </row>
    <row r="14" spans="2:19" x14ac:dyDescent="0.25">
      <c r="B14" s="129" t="s">
        <v>100</v>
      </c>
      <c r="C14" s="130">
        <f>SUMIF(I4:I520,"E",$P$4:$P$520)</f>
        <v>0</v>
      </c>
      <c r="D14" s="220">
        <f>C14/C34</f>
        <v>0</v>
      </c>
      <c r="E14" s="49" t="s">
        <v>125</v>
      </c>
      <c r="F14" s="131">
        <f>SUMIF(I4:I520,"C",$O$4:$O$520)</f>
        <v>80181</v>
      </c>
      <c r="G14" s="121">
        <f t="shared" ca="1" si="6"/>
        <v>2.236795773579828E-3</v>
      </c>
      <c r="I14" s="506"/>
      <c r="J14" s="506"/>
      <c r="K14" s="506"/>
      <c r="L14" s="506"/>
      <c r="M14" s="506"/>
      <c r="N14" s="506"/>
      <c r="O14" s="506"/>
      <c r="P14" s="506"/>
      <c r="Q14" s="506"/>
      <c r="R14" s="506"/>
      <c r="S14" s="506"/>
    </row>
    <row r="15" spans="2:19" x14ac:dyDescent="0.25">
      <c r="B15" s="129" t="s">
        <v>126</v>
      </c>
      <c r="C15" s="130">
        <f>SUMIF(I4:I520,"M",$P$4:$P$520)</f>
        <v>0</v>
      </c>
      <c r="D15" s="220">
        <f>C15/C34</f>
        <v>0</v>
      </c>
      <c r="E15" s="49" t="s">
        <v>127</v>
      </c>
      <c r="F15" s="131">
        <f>SUMIF(I4:I520,"E",$O$4:$O$520)</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SUMIF(I4:I520,"M",$O$4:$O$520)</f>
        <v>0</v>
      </c>
      <c r="G16" s="121">
        <f t="shared" ca="1" si="6"/>
        <v>0</v>
      </c>
      <c r="I16" s="506"/>
      <c r="J16" s="506"/>
      <c r="K16" s="506"/>
      <c r="L16" s="506"/>
      <c r="M16" s="506"/>
      <c r="N16" s="506"/>
      <c r="O16" s="506"/>
      <c r="P16" s="506"/>
      <c r="Q16" s="506"/>
      <c r="R16" s="506"/>
      <c r="S16" s="506"/>
    </row>
    <row r="17" spans="2:11" x14ac:dyDescent="0.25">
      <c r="B17" s="116" t="s">
        <v>75</v>
      </c>
      <c r="C17" s="134">
        <f>C18+C19</f>
        <v>80181</v>
      </c>
      <c r="D17" s="140">
        <f>C17/C34</f>
        <v>2.236795773579828E-3</v>
      </c>
      <c r="E17" s="135" t="s">
        <v>800</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801</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4"/>
      <c r="G22" s="505"/>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9"/>
      <c r="C26" s="610"/>
      <c r="D26" s="611"/>
      <c r="E26" s="612"/>
      <c r="F26" s="613"/>
      <c r="G26" s="614"/>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7" t="s">
        <v>91</v>
      </c>
      <c r="F33" s="508">
        <f>EconomiaT49!C22</f>
        <v>0</v>
      </c>
      <c r="G33" s="509">
        <f t="shared" ca="1" si="7"/>
        <v>0</v>
      </c>
    </row>
    <row r="34" spans="2:10" ht="18.75" x14ac:dyDescent="0.3">
      <c r="B34" s="146" t="s">
        <v>27</v>
      </c>
      <c r="C34" s="147">
        <f>C27+C21+C17+C11+C6</f>
        <v>35846366.014755197</v>
      </c>
      <c r="D34" s="510">
        <f>C34/C34</f>
        <v>1</v>
      </c>
      <c r="E34" s="146" t="s">
        <v>27</v>
      </c>
      <c r="F34" s="147">
        <f ca="1">F27+F19+F11+F6+F23</f>
        <v>35846366.014755197</v>
      </c>
      <c r="G34" s="145">
        <f ca="1">F34/$F$34</f>
        <v>1</v>
      </c>
      <c r="J34" s="106"/>
    </row>
    <row r="35" spans="2:10" x14ac:dyDescent="0.25">
      <c r="C35" s="106"/>
      <c r="D35" s="511"/>
      <c r="E35" s="512" t="s">
        <v>740</v>
      </c>
      <c r="F35" s="513">
        <f ca="1">F34-C34</f>
        <v>0</v>
      </c>
      <c r="G35" s="106"/>
    </row>
    <row r="36" spans="2:10" x14ac:dyDescent="0.25">
      <c r="C36" s="106"/>
      <c r="D36" s="106"/>
      <c r="F36" s="106"/>
      <c r="G36" s="106"/>
      <c r="H36" s="106"/>
    </row>
    <row r="37" spans="2:10" ht="15.75" x14ac:dyDescent="0.25">
      <c r="B37" s="514" t="s">
        <v>802</v>
      </c>
      <c r="C37" s="515">
        <f>EconomiaT48!C24</f>
        <v>9386456.0147551969</v>
      </c>
      <c r="D37" s="106"/>
      <c r="E37" s="4" t="s">
        <v>803</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9">
        <f>25483+550584</f>
        <v>576067</v>
      </c>
      <c r="N6" s="499">
        <f>14126+59043</f>
        <v>73169</v>
      </c>
      <c r="O6" s="499">
        <v>21707</v>
      </c>
      <c r="P6" s="499">
        <f>22579+394156</f>
        <v>416735</v>
      </c>
      <c r="Q6" s="499">
        <v>21824</v>
      </c>
      <c r="R6" s="499">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52"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53"/>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54">
        <f>C13</f>
        <v>10943703</v>
      </c>
      <c r="Z14" s="755"/>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56" t="s">
        <v>94</v>
      </c>
      <c r="B26" s="75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57" t="s">
        <v>95</v>
      </c>
      <c r="B27" s="75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58" t="s">
        <v>96</v>
      </c>
      <c r="B28" s="75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56" t="s">
        <v>97</v>
      </c>
      <c r="B29" s="75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57" t="s">
        <v>98</v>
      </c>
      <c r="B30" s="75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58" t="s">
        <v>99</v>
      </c>
      <c r="B31" s="75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59"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49">
        <f>C23</f>
        <v>7143175</v>
      </c>
      <c r="Z34" s="750"/>
    </row>
    <row r="35" spans="1:26" x14ac:dyDescent="0.25">
      <c r="A35" s="57"/>
      <c r="B35" s="759"/>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59"/>
      <c r="C36" s="174" t="s">
        <v>805</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59"/>
      <c r="C37" s="174" t="s">
        <v>806</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59"/>
      <c r="C38" s="174" t="s">
        <v>807</v>
      </c>
      <c r="D38" s="176" t="s">
        <v>968</v>
      </c>
      <c r="E38" s="176" t="s">
        <v>972</v>
      </c>
      <c r="F38" s="176"/>
      <c r="G38" s="176" t="s">
        <v>990</v>
      </c>
      <c r="H38" s="176" t="s">
        <v>991</v>
      </c>
      <c r="I38" s="176" t="s">
        <v>992</v>
      </c>
      <c r="J38" s="176" t="s">
        <v>996</v>
      </c>
      <c r="K38" s="176" t="s">
        <v>1002</v>
      </c>
      <c r="L38" s="176" t="s">
        <v>1013</v>
      </c>
      <c r="M38" s="176"/>
      <c r="N38" s="176"/>
      <c r="O38" s="176"/>
      <c r="P38" s="176"/>
      <c r="Q38" s="176"/>
      <c r="R38" s="176" t="s">
        <v>1019</v>
      </c>
      <c r="S38" s="176" t="s">
        <v>1022</v>
      </c>
    </row>
    <row r="39" spans="1:26" x14ac:dyDescent="0.25">
      <c r="A39" s="57"/>
      <c r="B39" s="759"/>
      <c r="C39" s="174" t="s">
        <v>808</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59"/>
      <c r="C40" s="174" t="s">
        <v>809</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59"/>
      <c r="C41" s="174" t="s">
        <v>810</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8"/>
      <c r="G43" s="751"/>
      <c r="H43" s="751"/>
      <c r="I43" s="751"/>
      <c r="J43" s="75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c r="M46" s="413"/>
    </row>
    <row r="47" spans="1:26" x14ac:dyDescent="0.25">
      <c r="E47" s="106"/>
      <c r="G47" s="629"/>
      <c r="H47" s="629"/>
      <c r="I47" s="629"/>
      <c r="J47" s="629"/>
    </row>
    <row r="48" spans="1:26" x14ac:dyDescent="0.25">
      <c r="G48" s="760"/>
      <c r="H48" s="760"/>
      <c r="I48" s="760"/>
      <c r="J48" s="760"/>
      <c r="P48" s="413"/>
    </row>
    <row r="49" spans="7:10" ht="15" customHeight="1" x14ac:dyDescent="0.25">
      <c r="G49" s="760"/>
      <c r="H49" s="760"/>
      <c r="I49" s="760"/>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1" t="s">
        <v>965</v>
      </c>
      <c r="C2" s="762"/>
      <c r="D2" s="762"/>
      <c r="E2" s="762"/>
      <c r="F2" s="762"/>
      <c r="G2" s="763"/>
      <c r="I2" s="772" t="s">
        <v>966</v>
      </c>
      <c r="J2" s="773"/>
      <c r="K2" s="773"/>
      <c r="L2" s="773"/>
      <c r="M2" s="773"/>
      <c r="N2" s="773"/>
      <c r="O2" s="773"/>
      <c r="P2" s="773"/>
      <c r="Q2" s="773"/>
      <c r="R2" s="773"/>
      <c r="S2" s="774"/>
    </row>
    <row r="3" spans="2:19" x14ac:dyDescent="0.25">
      <c r="B3" s="765" t="s">
        <v>103</v>
      </c>
      <c r="C3" s="766"/>
      <c r="D3" s="766"/>
      <c r="E3" s="766"/>
      <c r="F3" s="766"/>
      <c r="G3" s="767"/>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5" t="s">
        <v>114</v>
      </c>
      <c r="C4" s="776"/>
      <c r="D4" s="109"/>
      <c r="E4" s="777" t="s">
        <v>115</v>
      </c>
      <c r="F4" s="778"/>
      <c r="G4" s="109"/>
      <c r="I4" s="607" t="s">
        <v>116</v>
      </c>
      <c r="J4" s="110" t="s">
        <v>935</v>
      </c>
      <c r="K4" s="670">
        <f>11662680+53436</f>
        <v>11716116</v>
      </c>
      <c r="L4" s="670">
        <v>0</v>
      </c>
      <c r="M4" s="670">
        <v>0</v>
      </c>
      <c r="N4" s="670">
        <v>0</v>
      </c>
      <c r="O4" s="111">
        <f t="shared" ref="O4:O5" si="0">IF(M4=0,0,M4-K4)-N4</f>
        <v>0</v>
      </c>
      <c r="P4" s="111">
        <f t="shared" ref="P4:P5" si="1">IF(M4=0,K4,0)</f>
        <v>11716116</v>
      </c>
      <c r="Q4" s="608"/>
      <c r="R4" s="112">
        <v>42468</v>
      </c>
      <c r="S4" s="112"/>
    </row>
    <row r="5" spans="2:19" x14ac:dyDescent="0.25">
      <c r="B5" s="113"/>
      <c r="C5" s="114"/>
      <c r="D5" s="219"/>
      <c r="E5" s="113"/>
      <c r="F5" s="114"/>
      <c r="G5" s="115"/>
      <c r="I5" s="429" t="s">
        <v>584</v>
      </c>
      <c r="J5" s="430" t="s">
        <v>993</v>
      </c>
      <c r="K5" s="671">
        <v>0</v>
      </c>
      <c r="L5" s="671">
        <v>0</v>
      </c>
      <c r="M5" s="671">
        <v>2000</v>
      </c>
      <c r="N5" s="671">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994</v>
      </c>
      <c r="K6" s="671">
        <v>0</v>
      </c>
      <c r="L6" s="671">
        <v>0</v>
      </c>
      <c r="M6" s="671">
        <v>59000</v>
      </c>
      <c r="N6" s="671">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999</v>
      </c>
      <c r="K7" s="671">
        <v>0</v>
      </c>
      <c r="L7" s="671">
        <v>0</v>
      </c>
      <c r="M7" s="671">
        <v>261000</v>
      </c>
      <c r="N7" s="671">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1001</v>
      </c>
      <c r="K8" s="671">
        <v>0</v>
      </c>
      <c r="L8" s="671">
        <v>0</v>
      </c>
      <c r="M8" s="671">
        <v>84660</v>
      </c>
      <c r="N8" s="671">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967</v>
      </c>
      <c r="F9" s="222">
        <f>'A-P_T49'!F11+192375</f>
        <v>5746546</v>
      </c>
      <c r="G9" s="121">
        <f ca="1">F9/$F$34</f>
        <v>0.17223117405929145</v>
      </c>
      <c r="I9" s="429" t="s">
        <v>584</v>
      </c>
      <c r="J9" s="430" t="s">
        <v>1016</v>
      </c>
      <c r="K9" s="671">
        <v>0</v>
      </c>
      <c r="L9" s="671">
        <v>0</v>
      </c>
      <c r="M9" s="671">
        <v>84000</v>
      </c>
      <c r="N9" s="671">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1017</v>
      </c>
      <c r="K10" s="671">
        <v>0</v>
      </c>
      <c r="L10" s="671">
        <v>0</v>
      </c>
      <c r="M10" s="671">
        <v>10000</v>
      </c>
      <c r="N10" s="671">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799</v>
      </c>
      <c r="F11" s="117">
        <f>SUM(F12:F17)</f>
        <v>6162445</v>
      </c>
      <c r="G11" s="118">
        <f t="shared" ref="G11:G17" ca="1" si="12">F11/$F$34</f>
        <v>0.18469618748824254</v>
      </c>
      <c r="I11" s="429" t="s">
        <v>584</v>
      </c>
      <c r="J11" s="430" t="s">
        <v>1018</v>
      </c>
      <c r="K11" s="671">
        <v>0</v>
      </c>
      <c r="L11" s="671">
        <v>0</v>
      </c>
      <c r="M11" s="671">
        <v>116000</v>
      </c>
      <c r="N11" s="671">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7" t="s">
        <v>502</v>
      </c>
      <c r="J12" s="110" t="s">
        <v>1021</v>
      </c>
      <c r="K12" s="670">
        <v>1916000</v>
      </c>
      <c r="L12" s="670">
        <v>372</v>
      </c>
      <c r="M12" s="670">
        <v>0</v>
      </c>
      <c r="N12" s="670">
        <v>0</v>
      </c>
      <c r="O12" s="111">
        <f t="shared" si="13"/>
        <v>0</v>
      </c>
      <c r="P12" s="111">
        <f t="shared" si="14"/>
        <v>1916000</v>
      </c>
      <c r="Q12" s="608"/>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6"/>
      <c r="J13" s="506"/>
      <c r="K13" s="506"/>
      <c r="L13" s="506"/>
      <c r="M13" s="506"/>
      <c r="N13" s="506"/>
      <c r="O13" s="506"/>
      <c r="P13" s="506"/>
      <c r="Q13" s="506"/>
      <c r="R13" s="506"/>
      <c r="S13" s="506"/>
    </row>
    <row r="14" spans="2:19" x14ac:dyDescent="0.25">
      <c r="B14" s="129" t="s">
        <v>100</v>
      </c>
      <c r="C14" s="130">
        <f>SUMIF(I4:I518,"E",$P$4:$P$518)</f>
        <v>0</v>
      </c>
      <c r="D14" s="220">
        <f>C14/C34</f>
        <v>0</v>
      </c>
      <c r="E14" s="49" t="s">
        <v>125</v>
      </c>
      <c r="F14" s="131">
        <f>SUMIF(I4:I518,"C",$O$4:$O$518)</f>
        <v>588577</v>
      </c>
      <c r="G14" s="121">
        <f t="shared" ca="1" si="12"/>
        <v>1.764038915451048E-2</v>
      </c>
      <c r="I14" s="506"/>
      <c r="J14" s="506"/>
      <c r="K14" s="506"/>
      <c r="L14" s="506"/>
      <c r="M14" s="506"/>
      <c r="N14" s="506"/>
      <c r="O14" s="506"/>
      <c r="P14" s="506"/>
      <c r="Q14" s="506"/>
      <c r="R14" s="506"/>
      <c r="S14" s="506"/>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800</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801</v>
      </c>
      <c r="C21" s="117">
        <f>EconomiaT50!C5</f>
        <v>3042401.0147551969</v>
      </c>
      <c r="D21" s="140">
        <f>C21/C34</f>
        <v>9.1184565255453834E-2</v>
      </c>
      <c r="E21" s="122" t="s">
        <v>131</v>
      </c>
      <c r="F21" s="226">
        <v>0</v>
      </c>
      <c r="G21" s="121">
        <f ca="1">F21/$F$34</f>
        <v>0</v>
      </c>
    </row>
    <row r="22" spans="2:10" x14ac:dyDescent="0.25">
      <c r="B22" s="116"/>
      <c r="C22" s="117"/>
      <c r="D22" s="140"/>
      <c r="E22" s="132"/>
      <c r="F22" s="504"/>
      <c r="G22" s="505"/>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9"/>
      <c r="C26" s="610"/>
      <c r="D26" s="611"/>
      <c r="E26" s="612"/>
      <c r="F26" s="613"/>
      <c r="G26" s="614"/>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7" t="s">
        <v>91</v>
      </c>
      <c r="F33" s="508">
        <f>EconomiaT50!C22</f>
        <v>0</v>
      </c>
      <c r="G33" s="509">
        <f t="shared" ca="1" si="15"/>
        <v>0</v>
      </c>
    </row>
    <row r="34" spans="2:8" ht="18.75" x14ac:dyDescent="0.3">
      <c r="B34" s="146" t="s">
        <v>27</v>
      </c>
      <c r="C34" s="147">
        <f>C27+C21+C17+C11+C6</f>
        <v>33365307.014755197</v>
      </c>
      <c r="D34" s="510">
        <f>C34/C34</f>
        <v>1</v>
      </c>
      <c r="E34" s="146" t="s">
        <v>27</v>
      </c>
      <c r="F34" s="147">
        <f ca="1">F27+F19+F11+F6+F23</f>
        <v>33365307.014755197</v>
      </c>
      <c r="G34" s="145">
        <f ca="1">F34/$F$34</f>
        <v>1</v>
      </c>
    </row>
    <row r="35" spans="2:8" x14ac:dyDescent="0.25">
      <c r="C35" s="106"/>
      <c r="D35" s="511"/>
      <c r="E35" s="512" t="s">
        <v>740</v>
      </c>
      <c r="F35" s="513">
        <f ca="1">F34-C34</f>
        <v>0</v>
      </c>
      <c r="G35" s="106"/>
    </row>
    <row r="36" spans="2:8" x14ac:dyDescent="0.25">
      <c r="C36" s="106"/>
      <c r="D36" s="106"/>
      <c r="F36" s="106"/>
      <c r="G36" s="106"/>
      <c r="H36" s="106"/>
    </row>
    <row r="37" spans="2:8" ht="15.75" x14ac:dyDescent="0.25">
      <c r="B37" s="514" t="s">
        <v>802</v>
      </c>
      <c r="C37" s="515">
        <f>EconomiaT48!C24</f>
        <v>9386456.0147551969</v>
      </c>
      <c r="D37" s="106"/>
      <c r="E37" s="4" t="s">
        <v>803</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720</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721</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770</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851</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937</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995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A15" sqref="A15"/>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1.7109375" bestFit="1" customWidth="1"/>
    <col min="16" max="17" width="5.5703125" bestFit="1" customWidth="1"/>
    <col min="18"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A10</f>
        <v>E. Romweber</v>
      </c>
      <c r="P3" s="386">
        <f>E10</f>
        <v>12.2</v>
      </c>
      <c r="Q3" s="386">
        <f t="shared" ref="Q3:S3" si="2">F10</f>
        <v>12.299999999999999</v>
      </c>
      <c r="R3" s="386">
        <v>6</v>
      </c>
      <c r="S3" s="386">
        <f t="shared" si="2"/>
        <v>0.99</v>
      </c>
      <c r="U3" s="4" t="s">
        <v>612</v>
      </c>
      <c r="V3" s="180" t="str">
        <f>A8</f>
        <v>B. Bartolache</v>
      </c>
      <c r="W3" s="386">
        <f>E8</f>
        <v>9.1999999999999993</v>
      </c>
      <c r="X3" s="386">
        <f t="shared" ref="X3:Z3" si="3">F8</f>
        <v>9.2999999999999989</v>
      </c>
      <c r="Y3" s="386">
        <f t="shared" si="3"/>
        <v>3</v>
      </c>
      <c r="Z3" s="386">
        <f t="shared" si="3"/>
        <v>3.99</v>
      </c>
    </row>
    <row r="4" spans="1:26" x14ac:dyDescent="0.25">
      <c r="A4" s="389" t="str">
        <f>PLANTILLA!D6</f>
        <v>T. Hammond</v>
      </c>
      <c r="B4" s="165">
        <f>PLANTILLA!E6</f>
        <v>33</v>
      </c>
      <c r="C4" s="165">
        <f>PLANTILLA!H6</f>
        <v>3</v>
      </c>
      <c r="D4" s="391">
        <f>PLANTILLA!I6</f>
        <v>7.8</v>
      </c>
      <c r="E4" s="384">
        <f t="shared" ref="E4:E21" si="4">D4</f>
        <v>7.8</v>
      </c>
      <c r="F4" s="384">
        <f t="shared" ref="F4:F21" si="5">E4+0.1</f>
        <v>7.8999999999999995</v>
      </c>
      <c r="G4" s="384">
        <f t="shared" ref="G4:G21" si="6">C4</f>
        <v>3</v>
      </c>
      <c r="H4" s="384">
        <f t="shared" ref="H4:H21" si="7">G4+0.99</f>
        <v>3.99</v>
      </c>
      <c r="I4" s="388">
        <f t="shared" ref="I4:I21" si="8">G4*G4*E4</f>
        <v>70.2</v>
      </c>
      <c r="J4" s="388">
        <f t="shared" ref="J4:J21" si="9">H4*H4*F4</f>
        <v>125.76879000000001</v>
      </c>
      <c r="K4" s="385"/>
      <c r="O4" t="str">
        <f>A8</f>
        <v>B. Bartolache</v>
      </c>
      <c r="P4" s="386">
        <f>E8</f>
        <v>9.1999999999999993</v>
      </c>
      <c r="Q4" s="386">
        <f t="shared" ref="Q4:S4" si="10">F8</f>
        <v>9.2999999999999989</v>
      </c>
      <c r="R4" s="386">
        <f t="shared" si="10"/>
        <v>3</v>
      </c>
      <c r="S4" s="386">
        <f t="shared" si="10"/>
        <v>3.99</v>
      </c>
      <c r="V4" s="180" t="str">
        <f>A4</f>
        <v>T. Hammond</v>
      </c>
      <c r="W4" s="386">
        <f>E4</f>
        <v>7.8</v>
      </c>
      <c r="X4" s="386">
        <f t="shared" ref="X4:Z4" si="11">F4</f>
        <v>7.8999999999999995</v>
      </c>
      <c r="Y4" s="386">
        <f t="shared" si="11"/>
        <v>3</v>
      </c>
      <c r="Z4" s="386">
        <f t="shared" si="11"/>
        <v>3.99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A9</f>
        <v>F. Lasprilla</v>
      </c>
      <c r="P5" s="386">
        <f>E9</f>
        <v>4.9000000000000004</v>
      </c>
      <c r="Q5" s="386">
        <f t="shared" ref="Q5:S5" si="12">F9</f>
        <v>5</v>
      </c>
      <c r="R5" s="386">
        <f t="shared" si="12"/>
        <v>4</v>
      </c>
      <c r="S5" s="386">
        <f t="shared" si="12"/>
        <v>4.99</v>
      </c>
      <c r="V5" s="180" t="str">
        <f>A12</f>
        <v>S. Zobbe</v>
      </c>
      <c r="W5" s="386">
        <f>E12</f>
        <v>8.6</v>
      </c>
      <c r="X5" s="386">
        <f t="shared" ref="X5:Z5" si="13">F12</f>
        <v>8.6999999999999993</v>
      </c>
      <c r="Y5" s="386">
        <f t="shared" si="13"/>
        <v>2</v>
      </c>
      <c r="Z5" s="386">
        <f t="shared" si="13"/>
        <v>2.99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A17</f>
        <v>W. Gelifini</v>
      </c>
      <c r="P6" s="386">
        <f>E17</f>
        <v>4</v>
      </c>
      <c r="Q6" s="386">
        <f t="shared" ref="Q6:S6" si="14">F17</f>
        <v>4.0999999999999996</v>
      </c>
      <c r="R6" s="386">
        <f t="shared" si="14"/>
        <v>2</v>
      </c>
      <c r="S6" s="386">
        <f t="shared" si="14"/>
        <v>2.99</v>
      </c>
      <c r="V6" s="180" t="str">
        <f>A9</f>
        <v>F. Lasprilla</v>
      </c>
      <c r="W6" s="386">
        <f>E9</f>
        <v>4.9000000000000004</v>
      </c>
      <c r="X6" s="386">
        <f t="shared" ref="X6:Z6" si="15">F9</f>
        <v>5</v>
      </c>
      <c r="Y6" s="386">
        <f t="shared" si="15"/>
        <v>4</v>
      </c>
      <c r="Z6" s="386">
        <f t="shared" si="15"/>
        <v>4.99</v>
      </c>
    </row>
    <row r="7" spans="1:26" x14ac:dyDescent="0.25">
      <c r="A7" s="389" t="str">
        <f>PLANTILLA!D9</f>
        <v>E. Toney</v>
      </c>
      <c r="B7" s="165">
        <f>PLANTILLA!E9</f>
        <v>30</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A16</f>
        <v>L. Bauman</v>
      </c>
      <c r="P7" s="386">
        <f>E16</f>
        <v>8</v>
      </c>
      <c r="Q7" s="386">
        <f t="shared" ref="Q7:S7" si="16">F16</f>
        <v>8.1</v>
      </c>
      <c r="R7" s="386">
        <f t="shared" si="16"/>
        <v>0</v>
      </c>
      <c r="S7" s="386">
        <f t="shared" si="16"/>
        <v>0.99</v>
      </c>
      <c r="V7" s="180" t="str">
        <f>A17</f>
        <v>W. Gelifini</v>
      </c>
      <c r="W7" s="386">
        <f>E17</f>
        <v>4</v>
      </c>
      <c r="X7" s="386">
        <f t="shared" ref="X7:Z7" si="17">F17</f>
        <v>4.0999999999999996</v>
      </c>
      <c r="Y7" s="386">
        <f t="shared" si="17"/>
        <v>2</v>
      </c>
      <c r="Z7" s="386">
        <f t="shared" si="17"/>
        <v>2.99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A18</f>
        <v>M. Amico</v>
      </c>
      <c r="P8" s="386">
        <f>E18</f>
        <v>1.2</v>
      </c>
      <c r="Q8" s="386">
        <f t="shared" ref="Q8:S8" si="18">F18</f>
        <v>1.3</v>
      </c>
      <c r="R8" s="386">
        <f t="shared" si="18"/>
        <v>4</v>
      </c>
      <c r="S8" s="386">
        <f t="shared" si="18"/>
        <v>4.99</v>
      </c>
      <c r="V8" s="180" t="str">
        <f>A7</f>
        <v>E. Toney</v>
      </c>
      <c r="W8" s="386">
        <f>E7</f>
        <v>12.1</v>
      </c>
      <c r="X8" s="386">
        <f t="shared" ref="X8:Z8" si="19">F7</f>
        <v>12.2</v>
      </c>
      <c r="Y8" s="386">
        <f t="shared" si="19"/>
        <v>4</v>
      </c>
      <c r="Z8" s="386">
        <f t="shared" si="19"/>
        <v>4.99</v>
      </c>
    </row>
    <row r="9" spans="1:26" x14ac:dyDescent="0.25">
      <c r="A9" s="389" t="str">
        <f>PLANTILLA!D11</f>
        <v>F. Lasprilla</v>
      </c>
      <c r="B9" s="165">
        <f>PLANTILLA!E11</f>
        <v>26</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A15</f>
        <v>E. Gross</v>
      </c>
      <c r="P9" s="386">
        <f>E15</f>
        <v>9</v>
      </c>
      <c r="Q9" s="386">
        <f t="shared" ref="Q9:S9" si="20">F15</f>
        <v>9.1</v>
      </c>
      <c r="R9" s="386">
        <f t="shared" si="20"/>
        <v>3</v>
      </c>
      <c r="S9" s="386">
        <f t="shared" si="20"/>
        <v>3.99</v>
      </c>
      <c r="V9" s="180" t="str">
        <f>A14</f>
        <v>C. Rojas</v>
      </c>
      <c r="W9" s="386">
        <f>E14</f>
        <v>10.9</v>
      </c>
      <c r="X9" s="386">
        <f t="shared" ref="X9:Z9" si="21">F14</f>
        <v>11</v>
      </c>
      <c r="Y9" s="386">
        <f t="shared" si="21"/>
        <v>4</v>
      </c>
      <c r="Z9" s="386">
        <f t="shared" si="21"/>
        <v>4.99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A13</f>
        <v>S. Buschelman</v>
      </c>
      <c r="P10" s="386">
        <f>E13</f>
        <v>10.4</v>
      </c>
      <c r="Q10" s="386">
        <f t="shared" ref="Q10:S10" si="22">F13</f>
        <v>10.5</v>
      </c>
      <c r="R10" s="386">
        <f t="shared" si="22"/>
        <v>3</v>
      </c>
      <c r="S10" s="386">
        <f t="shared" si="22"/>
        <v>3.99</v>
      </c>
      <c r="V10" s="180" t="str">
        <f>A13</f>
        <v>S. Buschelman</v>
      </c>
      <c r="W10" s="386">
        <f>E13</f>
        <v>10.4</v>
      </c>
      <c r="X10" s="386">
        <f t="shared" ref="X10:Z10" si="23">F13</f>
        <v>10.5</v>
      </c>
      <c r="Y10" s="386">
        <f t="shared" si="23"/>
        <v>3</v>
      </c>
      <c r="Z10" s="386">
        <f t="shared" si="23"/>
        <v>3.99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A12</f>
        <v>S. Zobbe</v>
      </c>
      <c r="P11" s="386">
        <f>E12</f>
        <v>8.6</v>
      </c>
      <c r="Q11" s="386">
        <f t="shared" ref="Q11:S11" si="24">F12</f>
        <v>8.6999999999999993</v>
      </c>
      <c r="R11" s="386">
        <f t="shared" si="24"/>
        <v>2</v>
      </c>
      <c r="S11" s="386">
        <f t="shared" si="24"/>
        <v>2.99</v>
      </c>
      <c r="V11" s="180" t="str">
        <f>A16</f>
        <v>L. Bauman</v>
      </c>
      <c r="W11" s="386">
        <f>E16</f>
        <v>8</v>
      </c>
      <c r="X11" s="386">
        <f t="shared" ref="X11:Z11" si="25">F16</f>
        <v>8.1</v>
      </c>
      <c r="Y11" s="386">
        <f t="shared" si="25"/>
        <v>0</v>
      </c>
      <c r="Z11" s="386">
        <f t="shared" si="25"/>
        <v>0.99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P .Trivadi</v>
      </c>
      <c r="P12" s="386">
        <f>E21</f>
        <v>5.3</v>
      </c>
      <c r="Q12" s="386">
        <f t="shared" ref="Q12:S12" si="26">F21</f>
        <v>5.3999999999999995</v>
      </c>
      <c r="R12" s="386">
        <f t="shared" si="26"/>
        <v>5</v>
      </c>
      <c r="S12" s="386">
        <f t="shared" si="26"/>
        <v>5.99</v>
      </c>
      <c r="V12" s="180" t="str">
        <f>A15</f>
        <v>E. Gross</v>
      </c>
      <c r="W12" s="386">
        <f>E15</f>
        <v>9</v>
      </c>
      <c r="X12" s="386">
        <f t="shared" ref="X12:Z12" si="27">F15</f>
        <v>9.1</v>
      </c>
      <c r="Y12" s="386">
        <f t="shared" si="27"/>
        <v>3</v>
      </c>
      <c r="Z12" s="386">
        <f t="shared" si="27"/>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A14</f>
        <v>C. Rojas</v>
      </c>
      <c r="P13" s="386">
        <f>E14</f>
        <v>10.9</v>
      </c>
      <c r="Q13" s="386">
        <f t="shared" ref="Q13:S13" si="28">F14</f>
        <v>11</v>
      </c>
      <c r="R13" s="386">
        <f t="shared" si="28"/>
        <v>4</v>
      </c>
      <c r="S13" s="386">
        <f t="shared" si="28"/>
        <v>4.99</v>
      </c>
      <c r="V13" s="180" t="str">
        <f>A21</f>
        <v>P .Trivadi</v>
      </c>
      <c r="W13" s="386">
        <f>E21</f>
        <v>5.3</v>
      </c>
      <c r="X13" s="386">
        <f t="shared" ref="X13:Z13" si="29">F21</f>
        <v>5.3999999999999995</v>
      </c>
      <c r="Y13" s="386">
        <f t="shared" si="29"/>
        <v>5</v>
      </c>
      <c r="Z13" s="386">
        <f t="shared" si="29"/>
        <v>5.99</v>
      </c>
    </row>
    <row r="14" spans="1:26" x14ac:dyDescent="0.25">
      <c r="A14" s="389" t="str">
        <f>PLANTILLA!D16</f>
        <v>C. Rojas</v>
      </c>
      <c r="B14" s="165">
        <f>PLANTILLA!E16</f>
        <v>31</v>
      </c>
      <c r="C14" s="165">
        <f>PLANTILLA!H16</f>
        <v>4</v>
      </c>
      <c r="D14" s="391">
        <f>PLANTILLA!I16</f>
        <v>10.9</v>
      </c>
      <c r="E14" s="384">
        <f t="shared" si="4"/>
        <v>10.9</v>
      </c>
      <c r="F14" s="384">
        <f t="shared" si="5"/>
        <v>11</v>
      </c>
      <c r="G14" s="384">
        <f t="shared" si="6"/>
        <v>4</v>
      </c>
      <c r="H14" s="384">
        <f t="shared" si="7"/>
        <v>4.99</v>
      </c>
      <c r="I14" s="388">
        <f t="shared" si="8"/>
        <v>174.4</v>
      </c>
      <c r="J14" s="388">
        <f t="shared" si="9"/>
        <v>273.90110000000004</v>
      </c>
      <c r="K14" s="385"/>
      <c r="P14" s="159">
        <f>SUM(P4:P13)/10</f>
        <v>7.15</v>
      </c>
      <c r="Q14" s="159">
        <f>SUM(Q4:Q13)/10</f>
        <v>7.25</v>
      </c>
      <c r="R14" s="159"/>
      <c r="S14" s="159"/>
      <c r="W14" s="159">
        <f>SUM(W4:W13)/10</f>
        <v>8.0999999999999979</v>
      </c>
      <c r="X14" s="159">
        <f>SUM(X4:X13)/10</f>
        <v>8.1999999999999993</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83.7</v>
      </c>
      <c r="Q16" s="290">
        <f>SUM(Q3:Q13)</f>
        <v>84.8</v>
      </c>
      <c r="R16" s="290"/>
      <c r="V16" s="180" t="s">
        <v>614</v>
      </c>
      <c r="W16" s="290">
        <f>SUM(W3:W13)</f>
        <v>90.2</v>
      </c>
      <c r="X16" s="290">
        <f>SUM(X3:X13)</f>
        <v>91.3</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t="s">
        <v>615</v>
      </c>
      <c r="P17" s="159">
        <f>P16/17</f>
        <v>4.9235294117647062</v>
      </c>
      <c r="Q17" s="159">
        <f>Q16/17</f>
        <v>4.9882352941176471</v>
      </c>
      <c r="R17" s="159"/>
      <c r="V17" s="180" t="s">
        <v>615</v>
      </c>
      <c r="W17" s="159">
        <f>W16/17</f>
        <v>5.3058823529411763</v>
      </c>
      <c r="X17" s="159">
        <f>X16/17</f>
        <v>5.3705882352941172</v>
      </c>
      <c r="Y17" s="159"/>
    </row>
    <row r="18" spans="1:25" x14ac:dyDescent="0.25">
      <c r="A18" s="389" t="str">
        <f>PLANTILLA!D20</f>
        <v>M. Amico</v>
      </c>
      <c r="B18" s="165">
        <f>PLANTILLA!E20</f>
        <v>28</v>
      </c>
      <c r="C18" s="165">
        <f>PLANTILLA!H20</f>
        <v>4</v>
      </c>
      <c r="D18" s="391">
        <f>PLANTILLA!I20</f>
        <v>1.2</v>
      </c>
      <c r="E18" s="384">
        <f t="shared" si="4"/>
        <v>1.2</v>
      </c>
      <c r="F18" s="384">
        <f t="shared" si="5"/>
        <v>1.3</v>
      </c>
      <c r="G18" s="384">
        <f t="shared" si="6"/>
        <v>4</v>
      </c>
      <c r="H18" s="384">
        <f t="shared" si="7"/>
        <v>4.99</v>
      </c>
      <c r="I18" s="388">
        <f t="shared" si="8"/>
        <v>19.2</v>
      </c>
      <c r="J18" s="388">
        <f t="shared" si="9"/>
        <v>32.370130000000003</v>
      </c>
      <c r="K18" s="385"/>
      <c r="L18" s="202" t="s">
        <v>616</v>
      </c>
      <c r="O18" t="s">
        <v>617</v>
      </c>
      <c r="P18" s="290">
        <f>R3^2</f>
        <v>36</v>
      </c>
      <c r="Q18" s="290">
        <f>S3^2</f>
        <v>0.98009999999999997</v>
      </c>
      <c r="R18" s="290"/>
      <c r="V18" s="180" t="s">
        <v>617</v>
      </c>
      <c r="W18" s="290">
        <f>Y3^2</f>
        <v>9</v>
      </c>
      <c r="X18" s="290">
        <f>Z3^2</f>
        <v>15.920100000000001</v>
      </c>
      <c r="Y18" s="290"/>
    </row>
    <row r="19" spans="1:25" x14ac:dyDescent="0.25">
      <c r="A19" s="389" t="str">
        <f>PLANTILLA!D21</f>
        <v>J. Limon</v>
      </c>
      <c r="B19" s="165">
        <f>PLANTILLA!E21</f>
        <v>29</v>
      </c>
      <c r="C19" s="165">
        <f>PLANTILLA!H21</f>
        <v>3</v>
      </c>
      <c r="D19" s="391">
        <f>PLANTILLA!I21</f>
        <v>9.9</v>
      </c>
      <c r="E19" s="384">
        <f t="shared" si="4"/>
        <v>9.9</v>
      </c>
      <c r="F19" s="384">
        <f t="shared" si="5"/>
        <v>10</v>
      </c>
      <c r="G19" s="384">
        <f t="shared" si="6"/>
        <v>3</v>
      </c>
      <c r="H19" s="384">
        <f t="shared" si="7"/>
        <v>3.99</v>
      </c>
      <c r="I19" s="388">
        <f t="shared" si="8"/>
        <v>89.100000000000009</v>
      </c>
      <c r="J19" s="388">
        <f t="shared" si="9"/>
        <v>159.20100000000002</v>
      </c>
      <c r="K19" s="385"/>
      <c r="L19" s="202" t="s">
        <v>618</v>
      </c>
      <c r="O19" t="s">
        <v>619</v>
      </c>
      <c r="P19" s="290">
        <f>P18*P3</f>
        <v>439.2</v>
      </c>
      <c r="Q19" s="290">
        <f>Q18*Q3</f>
        <v>12.055229999999998</v>
      </c>
      <c r="R19" s="290"/>
      <c r="V19" s="180" t="s">
        <v>619</v>
      </c>
      <c r="W19" s="290">
        <f>W18*W3</f>
        <v>82.8</v>
      </c>
      <c r="X19" s="290">
        <f>X18*X3</f>
        <v>148.05692999999999</v>
      </c>
      <c r="Y19" s="290"/>
    </row>
    <row r="20" spans="1:25" x14ac:dyDescent="0.25">
      <c r="A20" s="389" t="str">
        <f>PLANTILLA!D22</f>
        <v>L. Calosso</v>
      </c>
      <c r="B20" s="165">
        <f>PLANTILLA!E22</f>
        <v>30</v>
      </c>
      <c r="C20" s="165">
        <f>PLANTILLA!H22</f>
        <v>3</v>
      </c>
      <c r="D20" s="391">
        <f>PLANTILLA!I22</f>
        <v>10.1</v>
      </c>
      <c r="E20" s="384">
        <f t="shared" si="4"/>
        <v>10.1</v>
      </c>
      <c r="F20" s="384">
        <f t="shared" si="5"/>
        <v>10.199999999999999</v>
      </c>
      <c r="G20" s="384">
        <f t="shared" si="6"/>
        <v>3</v>
      </c>
      <c r="H20" s="384">
        <f t="shared" si="7"/>
        <v>3.99</v>
      </c>
      <c r="I20" s="388">
        <f t="shared" si="8"/>
        <v>90.899999999999991</v>
      </c>
      <c r="J20" s="388">
        <f t="shared" si="9"/>
        <v>162.38502</v>
      </c>
      <c r="K20" s="385"/>
      <c r="L20" s="202" t="s">
        <v>620</v>
      </c>
      <c r="O20" t="s">
        <v>621</v>
      </c>
      <c r="P20" s="159">
        <f>(P19^(2/3))/30</f>
        <v>1.9259882484032831</v>
      </c>
      <c r="Q20" s="159">
        <f>(Q19^(2/3))/30</f>
        <v>0.17525176977448334</v>
      </c>
      <c r="R20" s="159"/>
      <c r="V20" s="180" t="s">
        <v>621</v>
      </c>
      <c r="W20" s="159">
        <f>(W19^(2/3))/30</f>
        <v>0.63323605769763192</v>
      </c>
      <c r="X20" s="159">
        <f>(X19^(2/3))/30</f>
        <v>0.93289172023352052</v>
      </c>
      <c r="Y20" s="159"/>
    </row>
    <row r="21" spans="1:25" x14ac:dyDescent="0.25">
      <c r="A21" s="389" t="str">
        <f>PLANTILLA!D23</f>
        <v>P .Trivadi</v>
      </c>
      <c r="B21" s="165">
        <f>PLANTILLA!E23</f>
        <v>26</v>
      </c>
      <c r="C21" s="165">
        <f>PLANTILLA!H23</f>
        <v>5</v>
      </c>
      <c r="D21" s="391">
        <f>PLANTILLA!I23</f>
        <v>5.3</v>
      </c>
      <c r="E21" s="384">
        <f t="shared" si="4"/>
        <v>5.3</v>
      </c>
      <c r="F21" s="384">
        <f t="shared" si="5"/>
        <v>5.3999999999999995</v>
      </c>
      <c r="G21" s="384">
        <f t="shared" si="6"/>
        <v>5</v>
      </c>
      <c r="H21" s="384">
        <f t="shared" si="7"/>
        <v>5.99</v>
      </c>
      <c r="I21" s="388">
        <f t="shared" si="8"/>
        <v>132.5</v>
      </c>
      <c r="J21" s="388">
        <f t="shared" si="9"/>
        <v>193.75254000000001</v>
      </c>
      <c r="K21" s="385"/>
      <c r="L21" s="202" t="s">
        <v>622</v>
      </c>
      <c r="O21" s="180" t="s">
        <v>623</v>
      </c>
      <c r="P21" s="387">
        <f>P17+P20</f>
        <v>6.8495176601679892</v>
      </c>
      <c r="Q21" s="387">
        <f>Q17+Q20</f>
        <v>5.1634870638921306</v>
      </c>
      <c r="V21" s="180" t="s">
        <v>623</v>
      </c>
      <c r="W21" s="387">
        <f>W17+W20</f>
        <v>5.939118410638808</v>
      </c>
      <c r="X21" s="387">
        <f>X17+X20</f>
        <v>6.3034799555276377</v>
      </c>
    </row>
    <row r="22" spans="1:25" x14ac:dyDescent="0.25">
      <c r="A22" s="389"/>
      <c r="B22" s="165"/>
      <c r="C22" s="165"/>
      <c r="D22" s="391"/>
      <c r="E22" s="384"/>
      <c r="F22" s="384"/>
      <c r="G22" s="384"/>
      <c r="H22" s="384"/>
      <c r="I22" s="388"/>
      <c r="J22" s="388"/>
      <c r="K22" s="385"/>
      <c r="L22" t="s">
        <v>624</v>
      </c>
    </row>
    <row r="23" spans="1:25" x14ac:dyDescent="0.25">
      <c r="A23" s="389"/>
      <c r="B23" s="165"/>
      <c r="C23" s="165"/>
      <c r="D23" s="391"/>
      <c r="E23" s="384"/>
      <c r="F23" s="384"/>
      <c r="G23" s="384"/>
      <c r="H23" s="384"/>
      <c r="I23" s="388"/>
      <c r="J23" s="388"/>
      <c r="K23" s="385"/>
      <c r="O23" s="317">
        <v>42576</v>
      </c>
      <c r="P23">
        <v>6.76</v>
      </c>
      <c r="Q23">
        <v>6.99</v>
      </c>
      <c r="R23" t="s">
        <v>1000</v>
      </c>
      <c r="V23" s="180" t="s">
        <v>736</v>
      </c>
      <c r="W23" s="159">
        <v>3</v>
      </c>
      <c r="X23">
        <v>3.25</v>
      </c>
    </row>
    <row r="24" spans="1:25" x14ac:dyDescent="0.25">
      <c r="A24" s="389"/>
      <c r="B24" s="165"/>
      <c r="C24" s="165"/>
      <c r="D24" s="391"/>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sheetData>
  <conditionalFormatting sqref="I3:J23">
    <cfRule type="cellIs" dxfId="400" priority="1" operator="between">
      <formula>70</formula>
      <formula>100</formula>
    </cfRule>
    <cfRule type="cellIs" dxfId="399"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79" t="s">
        <v>148</v>
      </c>
      <c r="B6" s="150" t="s">
        <v>149</v>
      </c>
      <c r="C6" s="150" t="s">
        <v>150</v>
      </c>
      <c r="D6" s="2">
        <v>0</v>
      </c>
      <c r="E6" s="2">
        <v>22</v>
      </c>
      <c r="F6" s="2">
        <v>0</v>
      </c>
      <c r="G6" s="2">
        <v>0</v>
      </c>
      <c r="H6" s="155">
        <f>H4*2</f>
        <v>8.8000000000000007</v>
      </c>
      <c r="I6" s="2">
        <f t="shared" si="0"/>
        <v>35.200000000000003</v>
      </c>
    </row>
    <row r="7" spans="1:9" x14ac:dyDescent="0.25">
      <c r="A7" s="779"/>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32" t="s">
        <v>366</v>
      </c>
      <c r="B30" s="732"/>
      <c r="C30" s="732"/>
      <c r="D30" s="732"/>
      <c r="F30" s="258" t="s">
        <v>377</v>
      </c>
      <c r="G30" s="253"/>
      <c r="H30" s="246">
        <v>4210500</v>
      </c>
      <c r="I30" s="252"/>
      <c r="J30" s="106"/>
    </row>
    <row r="31" spans="1:14" x14ac:dyDescent="0.25">
      <c r="A31" s="733" t="s">
        <v>297</v>
      </c>
      <c r="B31" s="734" t="s">
        <v>367</v>
      </c>
      <c r="C31" s="734" t="s">
        <v>368</v>
      </c>
      <c r="D31" s="734" t="s">
        <v>369</v>
      </c>
      <c r="F31" s="259" t="s">
        <v>381</v>
      </c>
      <c r="G31" s="254"/>
      <c r="H31" s="246">
        <v>3750000</v>
      </c>
      <c r="I31" s="252"/>
      <c r="J31" s="106"/>
    </row>
    <row r="32" spans="1:14" x14ac:dyDescent="0.25">
      <c r="A32" s="733"/>
      <c r="B32" s="734"/>
      <c r="C32" s="734"/>
      <c r="D32" s="734"/>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812</v>
      </c>
      <c r="D1" s="4" t="s">
        <v>442</v>
      </c>
      <c r="E1" s="4" t="s">
        <v>816</v>
      </c>
      <c r="F1" s="4" t="s">
        <v>817</v>
      </c>
      <c r="G1" s="4" t="s">
        <v>818</v>
      </c>
      <c r="H1" s="4" t="s">
        <v>17</v>
      </c>
      <c r="I1" s="4" t="s">
        <v>819</v>
      </c>
      <c r="K1" s="4" t="s">
        <v>442</v>
      </c>
      <c r="L1" s="4" t="s">
        <v>816</v>
      </c>
      <c r="M1" s="4" t="s">
        <v>817</v>
      </c>
      <c r="N1" s="4" t="s">
        <v>818</v>
      </c>
      <c r="O1" s="4" t="s">
        <v>17</v>
      </c>
      <c r="P1" s="4" t="s">
        <v>819</v>
      </c>
    </row>
    <row r="2" spans="1:16" x14ac:dyDescent="0.25">
      <c r="A2">
        <v>3.5</v>
      </c>
      <c r="B2" t="s">
        <v>813</v>
      </c>
      <c r="D2" s="517">
        <v>10</v>
      </c>
      <c r="E2" s="518">
        <f t="shared" ref="E2:E11" si="0">D2*$A$2</f>
        <v>35</v>
      </c>
      <c r="F2" s="518">
        <f t="shared" ref="F2:F11" si="1">D2*$A$3</f>
        <v>25</v>
      </c>
      <c r="G2" s="519">
        <f t="shared" ref="G2:G11" si="2">D2*$A$4</f>
        <v>0.33333333333333331</v>
      </c>
      <c r="H2" s="517">
        <f>48000*0.68</f>
        <v>32640.000000000004</v>
      </c>
      <c r="I2" s="520">
        <f t="shared" ref="I2:I11" si="3">H2/D2</f>
        <v>3264.0000000000005</v>
      </c>
      <c r="K2">
        <v>15</v>
      </c>
      <c r="L2" s="290">
        <f>K2*3.2</f>
        <v>48</v>
      </c>
      <c r="M2" s="290">
        <f>K2*$A$3</f>
        <v>37.5</v>
      </c>
      <c r="N2" s="438">
        <f>K2*$A$4</f>
        <v>0.5</v>
      </c>
      <c r="O2">
        <f>24000*3</f>
        <v>72000</v>
      </c>
      <c r="P2">
        <f>O2/K2</f>
        <v>4800</v>
      </c>
    </row>
    <row r="3" spans="1:16" x14ac:dyDescent="0.25">
      <c r="A3">
        <v>2.5</v>
      </c>
      <c r="B3" t="s">
        <v>815</v>
      </c>
      <c r="D3" s="517">
        <v>9</v>
      </c>
      <c r="E3" s="518">
        <f t="shared" si="0"/>
        <v>31.5</v>
      </c>
      <c r="F3" s="518">
        <f t="shared" si="1"/>
        <v>22.5</v>
      </c>
      <c r="G3" s="519">
        <f t="shared" si="2"/>
        <v>0.3</v>
      </c>
      <c r="H3" s="517">
        <f>36000*0.68</f>
        <v>24480</v>
      </c>
      <c r="I3" s="520">
        <f t="shared" si="3"/>
        <v>2720</v>
      </c>
      <c r="K3">
        <v>12</v>
      </c>
      <c r="L3" s="290">
        <f>K3*3.2</f>
        <v>38.400000000000006</v>
      </c>
      <c r="M3" s="290">
        <f>K3*$A$3</f>
        <v>30</v>
      </c>
      <c r="N3" s="438">
        <f>K3*$A$4</f>
        <v>0.4</v>
      </c>
      <c r="O3">
        <f>12000*3</f>
        <v>36000</v>
      </c>
      <c r="P3">
        <f>O3/K3</f>
        <v>3000</v>
      </c>
    </row>
    <row r="4" spans="1:16" x14ac:dyDescent="0.25">
      <c r="A4" s="516">
        <f>0.5/15</f>
        <v>3.3333333333333333E-2</v>
      </c>
      <c r="B4" t="s">
        <v>814</v>
      </c>
      <c r="D4" s="517">
        <v>8</v>
      </c>
      <c r="E4" s="518">
        <f t="shared" si="0"/>
        <v>28</v>
      </c>
      <c r="F4" s="518">
        <f t="shared" si="1"/>
        <v>20</v>
      </c>
      <c r="G4" s="519">
        <f t="shared" si="2"/>
        <v>0.26666666666666666</v>
      </c>
      <c r="H4" s="517">
        <f>24000*0.68</f>
        <v>16320.000000000002</v>
      </c>
      <c r="I4" s="520">
        <f t="shared" si="3"/>
        <v>2040.0000000000002</v>
      </c>
    </row>
    <row r="5" spans="1:16" x14ac:dyDescent="0.25">
      <c r="D5" s="517">
        <v>7</v>
      </c>
      <c r="E5" s="518">
        <f t="shared" si="0"/>
        <v>24.5</v>
      </c>
      <c r="F5" s="518">
        <f t="shared" si="1"/>
        <v>17.5</v>
      </c>
      <c r="G5" s="519">
        <f t="shared" si="2"/>
        <v>0.23333333333333334</v>
      </c>
      <c r="H5" s="517">
        <f>18000*0.68</f>
        <v>12240</v>
      </c>
      <c r="I5" s="520">
        <f t="shared" si="3"/>
        <v>1748.5714285714287</v>
      </c>
    </row>
    <row r="6" spans="1:16" x14ac:dyDescent="0.25">
      <c r="D6" s="517">
        <v>6</v>
      </c>
      <c r="E6" s="518">
        <f t="shared" si="0"/>
        <v>21</v>
      </c>
      <c r="F6" s="518">
        <f t="shared" si="1"/>
        <v>15</v>
      </c>
      <c r="G6" s="519">
        <f t="shared" si="2"/>
        <v>0.2</v>
      </c>
      <c r="H6" s="517">
        <f>12000*0.68</f>
        <v>8160.0000000000009</v>
      </c>
      <c r="I6" s="520">
        <f t="shared" si="3"/>
        <v>1360.0000000000002</v>
      </c>
    </row>
    <row r="7" spans="1:16" x14ac:dyDescent="0.25">
      <c r="D7" s="517">
        <v>5</v>
      </c>
      <c r="E7" s="518">
        <f t="shared" si="0"/>
        <v>17.5</v>
      </c>
      <c r="F7" s="518">
        <f t="shared" si="1"/>
        <v>12.5</v>
      </c>
      <c r="G7" s="519">
        <f t="shared" si="2"/>
        <v>0.16666666666666666</v>
      </c>
      <c r="H7" s="517">
        <f>24000*0.68</f>
        <v>16320.000000000002</v>
      </c>
      <c r="I7" s="520">
        <f t="shared" si="3"/>
        <v>3264.0000000000005</v>
      </c>
      <c r="L7" s="290"/>
    </row>
    <row r="8" spans="1:16" x14ac:dyDescent="0.25">
      <c r="D8" s="517">
        <v>4</v>
      </c>
      <c r="E8" s="518">
        <f t="shared" si="0"/>
        <v>14</v>
      </c>
      <c r="F8" s="518">
        <f t="shared" si="1"/>
        <v>10</v>
      </c>
      <c r="G8" s="519">
        <f t="shared" si="2"/>
        <v>0.13333333333333333</v>
      </c>
      <c r="H8" s="517">
        <f>12000*0.68</f>
        <v>8160.0000000000009</v>
      </c>
      <c r="I8" s="520">
        <f t="shared" si="3"/>
        <v>2040.0000000000002</v>
      </c>
    </row>
    <row r="9" spans="1:16" x14ac:dyDescent="0.25">
      <c r="D9" s="517">
        <v>3</v>
      </c>
      <c r="E9" s="518">
        <f t="shared" si="0"/>
        <v>10.5</v>
      </c>
      <c r="F9" s="518">
        <f t="shared" si="1"/>
        <v>7.5</v>
      </c>
      <c r="G9" s="519">
        <f t="shared" si="2"/>
        <v>0.1</v>
      </c>
      <c r="H9" s="517">
        <f>6000*0.68</f>
        <v>4080.0000000000005</v>
      </c>
      <c r="I9" s="520">
        <f t="shared" si="3"/>
        <v>1360.0000000000002</v>
      </c>
    </row>
    <row r="10" spans="1:16" x14ac:dyDescent="0.25">
      <c r="D10" s="517">
        <v>2</v>
      </c>
      <c r="E10" s="518">
        <f t="shared" si="0"/>
        <v>7</v>
      </c>
      <c r="F10" s="518">
        <f t="shared" si="1"/>
        <v>5</v>
      </c>
      <c r="G10" s="519">
        <f t="shared" si="2"/>
        <v>6.6666666666666666E-2</v>
      </c>
      <c r="H10" s="517">
        <f>3000*0.68</f>
        <v>2040.0000000000002</v>
      </c>
      <c r="I10" s="520">
        <f t="shared" si="3"/>
        <v>1020.0000000000001</v>
      </c>
    </row>
    <row r="11" spans="1:16" x14ac:dyDescent="0.25">
      <c r="D11" s="517">
        <v>1</v>
      </c>
      <c r="E11" s="518">
        <f t="shared" si="0"/>
        <v>3.5</v>
      </c>
      <c r="F11" s="518">
        <f t="shared" si="1"/>
        <v>2.5</v>
      </c>
      <c r="G11" s="519">
        <f t="shared" si="2"/>
        <v>3.3333333333333333E-2</v>
      </c>
      <c r="H11" s="517">
        <f>1500*0.68</f>
        <v>1020.0000000000001</v>
      </c>
      <c r="I11" s="520">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2" bestFit="1" customWidth="1"/>
    <col min="14" max="14" width="21.5703125" style="452" bestFit="1" customWidth="1"/>
    <col min="15" max="15" width="14" style="502" bestFit="1" customWidth="1"/>
    <col min="16" max="16" width="13" style="452" bestFit="1" customWidth="1"/>
    <col min="17" max="17" width="10.42578125" style="452" bestFit="1" customWidth="1"/>
    <col min="18" max="18" width="10.28515625" style="452" bestFit="1" customWidth="1"/>
    <col min="19" max="19" width="21" style="452" bestFit="1" customWidth="1"/>
    <col min="20" max="20" width="12" style="452" bestFit="1" customWidth="1"/>
    <col min="21" max="21" width="16.85546875" style="452"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3" t="s">
        <v>729</v>
      </c>
      <c r="N1" s="453" t="s">
        <v>730</v>
      </c>
      <c r="O1" s="453" t="s">
        <v>804</v>
      </c>
      <c r="P1" s="453" t="s">
        <v>727</v>
      </c>
      <c r="Q1" s="453" t="s">
        <v>733</v>
      </c>
      <c r="R1" s="453" t="s">
        <v>734</v>
      </c>
      <c r="S1" s="453" t="s">
        <v>728</v>
      </c>
      <c r="T1" s="453" t="s">
        <v>630</v>
      </c>
      <c r="U1" s="453" t="s">
        <v>731</v>
      </c>
      <c r="V1" s="453" t="s">
        <v>732</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4">
        <v>41576</v>
      </c>
      <c r="N2" s="454">
        <v>41731</v>
      </c>
      <c r="O2" s="454">
        <v>42305</v>
      </c>
      <c r="P2" s="246">
        <v>772000</v>
      </c>
      <c r="Q2" s="246">
        <f>((N2-M2)/7)*L2</f>
        <v>6642.8571428571431</v>
      </c>
      <c r="R2" s="246">
        <f ca="1">((TODAY()-N2)/7)*L2</f>
        <v>56742.857142857145</v>
      </c>
      <c r="S2" s="246">
        <v>2068800</v>
      </c>
      <c r="T2" s="246">
        <f ca="1">S2+Q2+P2+R2</f>
        <v>2904185.7142857146</v>
      </c>
      <c r="U2" s="251">
        <f ca="1">T2/((O2-N2)/112)</f>
        <v>566670.38327526138</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3" t="s">
        <v>729</v>
      </c>
      <c r="N3" s="453" t="s">
        <v>730</v>
      </c>
      <c r="O3" s="453" t="s">
        <v>804</v>
      </c>
      <c r="P3" s="453" t="s">
        <v>727</v>
      </c>
      <c r="Q3" s="453" t="s">
        <v>733</v>
      </c>
      <c r="R3" s="453" t="s">
        <v>734</v>
      </c>
      <c r="S3" s="453" t="s">
        <v>728</v>
      </c>
      <c r="T3" s="453" t="s">
        <v>630</v>
      </c>
      <c r="U3" s="453" t="s">
        <v>731</v>
      </c>
      <c r="V3" s="453" t="s">
        <v>732</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4">
        <v>41976</v>
      </c>
      <c r="N4" s="454">
        <v>42305</v>
      </c>
      <c r="O4" s="454">
        <v>42908</v>
      </c>
      <c r="P4" s="246">
        <v>1052640</v>
      </c>
      <c r="Q4" s="246">
        <f>((N4-M4)/7)*L4</f>
        <v>14100</v>
      </c>
      <c r="R4" s="246">
        <f ca="1">((TODAY()-N4)/7)*L4</f>
        <v>32142.857142857141</v>
      </c>
      <c r="S4" s="246">
        <v>2059800</v>
      </c>
      <c r="T4" s="246">
        <f>S4+Q4+P4</f>
        <v>3126540</v>
      </c>
      <c r="U4" s="251">
        <f>T4/((O4-N4)/112)</f>
        <v>580717.21393034828</v>
      </c>
      <c r="V4" s="163">
        <f ca="1">(A7-N4)/112</f>
        <v>6.6964285714285712</v>
      </c>
    </row>
    <row r="5" spans="1:22" x14ac:dyDescent="0.25">
      <c r="M5" s="502"/>
      <c r="N5" s="502"/>
      <c r="O5" s="662"/>
      <c r="P5" s="502"/>
      <c r="Q5" s="502"/>
      <c r="R5" s="502"/>
      <c r="S5" s="502"/>
      <c r="T5" s="502"/>
      <c r="U5" s="502"/>
    </row>
    <row r="6" spans="1:22" x14ac:dyDescent="0.25">
      <c r="M6" s="502"/>
      <c r="N6" s="502"/>
      <c r="P6" s="502"/>
      <c r="Q6" s="502"/>
      <c r="R6" s="502"/>
      <c r="S6" s="502"/>
      <c r="T6" s="502"/>
      <c r="U6" s="502"/>
    </row>
    <row r="7" spans="1:22" x14ac:dyDescent="0.25">
      <c r="A7" s="178">
        <f ca="1">TODAY()</f>
        <v>43055</v>
      </c>
    </row>
    <row r="8" spans="1:22" x14ac:dyDescent="0.25">
      <c r="A8" s="178">
        <v>41757</v>
      </c>
    </row>
    <row r="9" spans="1:22" x14ac:dyDescent="0.25">
      <c r="A9" s="180">
        <f ca="1">A7-A8</f>
        <v>1298</v>
      </c>
    </row>
    <row r="10" spans="1:22" x14ac:dyDescent="0.25">
      <c r="A10" s="451">
        <f ca="1">A9/112</f>
        <v>11.589285714285714</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3" t="s">
        <v>729</v>
      </c>
      <c r="N12" s="453" t="s">
        <v>730</v>
      </c>
      <c r="O12" s="453" t="s">
        <v>804</v>
      </c>
      <c r="P12" s="453" t="s">
        <v>727</v>
      </c>
      <c r="Q12" s="453" t="s">
        <v>733</v>
      </c>
      <c r="R12" s="453" t="s">
        <v>734</v>
      </c>
      <c r="S12" s="453" t="s">
        <v>728</v>
      </c>
      <c r="T12" s="453" t="s">
        <v>630</v>
      </c>
      <c r="U12" s="453" t="s">
        <v>731</v>
      </c>
      <c r="V12" s="453" t="s">
        <v>732</v>
      </c>
    </row>
    <row r="13" spans="1:22" x14ac:dyDescent="0.25">
      <c r="D13" s="321" t="s">
        <v>1015</v>
      </c>
      <c r="E13" s="228">
        <v>39</v>
      </c>
      <c r="F13" s="287"/>
      <c r="G13" s="401">
        <v>6</v>
      </c>
      <c r="H13" s="232">
        <v>13</v>
      </c>
      <c r="I13" s="330">
        <f t="shared" ref="I13" si="2">(G13)*(G13)*(H13)</f>
        <v>468</v>
      </c>
      <c r="J13" s="330">
        <f t="shared" ref="J13" si="3">(G13+1)*(G13+1)*H13</f>
        <v>637</v>
      </c>
      <c r="K13" s="322">
        <v>1130</v>
      </c>
      <c r="L13" s="322">
        <v>864</v>
      </c>
      <c r="M13" s="454">
        <v>42628</v>
      </c>
      <c r="N13" s="454">
        <f>O4</f>
        <v>42908</v>
      </c>
      <c r="O13" s="454">
        <f ca="1">TODAY()</f>
        <v>43055</v>
      </c>
      <c r="P13" s="664">
        <v>1800000</v>
      </c>
      <c r="Q13" s="246">
        <v>372</v>
      </c>
      <c r="R13" s="246">
        <f t="shared" ref="R13" ca="1" si="4">((TODAY()-N13)/7)*L13</f>
        <v>18144</v>
      </c>
      <c r="S13" s="664">
        <v>2553000</v>
      </c>
      <c r="T13" s="246">
        <f t="shared" ref="T13" si="5">S13+Q13+P13</f>
        <v>4353372</v>
      </c>
      <c r="U13" s="251">
        <f t="shared" ref="U13" ca="1" si="6">T13/((O13-N13)/112)</f>
        <v>3316854.8571428573</v>
      </c>
      <c r="V13" s="163">
        <v>7</v>
      </c>
    </row>
    <row r="17" spans="1:22" ht="18" x14ac:dyDescent="0.25">
      <c r="A17" s="648">
        <v>42908</v>
      </c>
      <c r="B17" s="317"/>
      <c r="C17">
        <v>112</v>
      </c>
      <c r="D17">
        <v>0</v>
      </c>
    </row>
    <row r="18" spans="1:22" x14ac:dyDescent="0.25">
      <c r="A18" s="317">
        <f ca="1">TODAY()</f>
        <v>43055</v>
      </c>
      <c r="B18" s="317"/>
      <c r="C18">
        <v>400</v>
      </c>
      <c r="D18">
        <v>1</v>
      </c>
    </row>
    <row r="19" spans="1:22" x14ac:dyDescent="0.25">
      <c r="A19">
        <f ca="1">A18-A17</f>
        <v>147</v>
      </c>
      <c r="C19">
        <f>C18-C17</f>
        <v>288</v>
      </c>
      <c r="D19" s="649">
        <f ca="1">(A19-C17)/C19</f>
        <v>0.12152777777777778</v>
      </c>
    </row>
    <row r="20" spans="1:22" x14ac:dyDescent="0.25">
      <c r="D20" t="s">
        <v>1036</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3" t="s">
        <v>729</v>
      </c>
      <c r="N24" s="453" t="s">
        <v>730</v>
      </c>
      <c r="O24" s="453" t="s">
        <v>804</v>
      </c>
      <c r="P24" s="453" t="s">
        <v>727</v>
      </c>
      <c r="Q24" s="453" t="s">
        <v>733</v>
      </c>
      <c r="R24" s="453" t="s">
        <v>734</v>
      </c>
      <c r="S24" s="453" t="s">
        <v>728</v>
      </c>
      <c r="T24" s="453" t="s">
        <v>630</v>
      </c>
      <c r="U24" s="453" t="s">
        <v>731</v>
      </c>
      <c r="V24" s="453" t="s">
        <v>732</v>
      </c>
    </row>
    <row r="28" spans="1:22" ht="19.5" x14ac:dyDescent="0.25">
      <c r="A28" s="732" t="s">
        <v>366</v>
      </c>
      <c r="B28" s="732"/>
      <c r="C28" s="732"/>
      <c r="D28" s="732"/>
    </row>
    <row r="29" spans="1:22" x14ac:dyDescent="0.25">
      <c r="A29" s="733" t="s">
        <v>297</v>
      </c>
      <c r="B29" s="734" t="s">
        <v>367</v>
      </c>
      <c r="C29" s="734" t="s">
        <v>368</v>
      </c>
      <c r="D29" s="734" t="s">
        <v>369</v>
      </c>
    </row>
    <row r="30" spans="1:22" x14ac:dyDescent="0.25">
      <c r="A30" s="733"/>
      <c r="B30" s="734"/>
      <c r="C30" s="734"/>
      <c r="D30" s="734"/>
    </row>
    <row r="31" spans="1:22" x14ac:dyDescent="0.25">
      <c r="A31" s="247" t="s">
        <v>367</v>
      </c>
      <c r="B31" s="248" t="s">
        <v>370</v>
      </c>
      <c r="C31" s="248" t="s">
        <v>371</v>
      </c>
      <c r="D31" s="248" t="s">
        <v>371</v>
      </c>
    </row>
    <row r="32" spans="1:22" x14ac:dyDescent="0.25">
      <c r="A32" s="663" t="s">
        <v>368</v>
      </c>
      <c r="B32" s="250" t="s">
        <v>372</v>
      </c>
      <c r="C32" s="250" t="s">
        <v>373</v>
      </c>
      <c r="D32" s="250" t="s">
        <v>371</v>
      </c>
    </row>
    <row r="33" spans="1:4" x14ac:dyDescent="0.25">
      <c r="A33" s="247" t="s">
        <v>369</v>
      </c>
      <c r="B33" s="248" t="s">
        <v>374</v>
      </c>
      <c r="C33" s="248" t="s">
        <v>375</v>
      </c>
      <c r="D33" s="248" t="s">
        <v>376</v>
      </c>
    </row>
    <row r="34" spans="1:4" x14ac:dyDescent="0.25">
      <c r="A34" s="663" t="s">
        <v>377</v>
      </c>
      <c r="B34" s="250" t="s">
        <v>378</v>
      </c>
      <c r="C34" s="250" t="s">
        <v>379</v>
      </c>
      <c r="D34" s="250" t="s">
        <v>380</v>
      </c>
    </row>
    <row r="35" spans="1:4" x14ac:dyDescent="0.25">
      <c r="A35" s="247" t="s">
        <v>381</v>
      </c>
      <c r="B35" s="248" t="s">
        <v>382</v>
      </c>
      <c r="C35" s="248" t="s">
        <v>383</v>
      </c>
      <c r="D35" s="248" t="s">
        <v>384</v>
      </c>
    </row>
    <row r="36" spans="1:4" x14ac:dyDescent="0.25">
      <c r="A36" s="663" t="s">
        <v>385</v>
      </c>
      <c r="B36" s="250" t="s">
        <v>386</v>
      </c>
      <c r="C36" s="250" t="s">
        <v>387</v>
      </c>
      <c r="D36" s="250" t="s">
        <v>388</v>
      </c>
    </row>
    <row r="37" spans="1:4" x14ac:dyDescent="0.25">
      <c r="A37" s="247" t="s">
        <v>389</v>
      </c>
      <c r="B37" s="248" t="s">
        <v>390</v>
      </c>
      <c r="C37" s="248" t="s">
        <v>391</v>
      </c>
      <c r="D37" s="248" t="s">
        <v>392</v>
      </c>
    </row>
    <row r="38" spans="1:4" x14ac:dyDescent="0.25">
      <c r="A38" s="663" t="s">
        <v>393</v>
      </c>
      <c r="B38" s="250" t="s">
        <v>394</v>
      </c>
      <c r="C38" s="250" t="s">
        <v>395</v>
      </c>
      <c r="D38" s="250" t="s">
        <v>396</v>
      </c>
    </row>
    <row r="39" spans="1:4" x14ac:dyDescent="0.25">
      <c r="A39" s="247" t="s">
        <v>397</v>
      </c>
      <c r="B39" s="248" t="s">
        <v>398</v>
      </c>
      <c r="C39" s="248" t="s">
        <v>399</v>
      </c>
      <c r="D39" s="248" t="s">
        <v>400</v>
      </c>
    </row>
    <row r="40" spans="1:4" x14ac:dyDescent="0.25">
      <c r="A40" s="663" t="s">
        <v>401</v>
      </c>
      <c r="B40" s="250" t="s">
        <v>402</v>
      </c>
      <c r="C40" s="250" t="s">
        <v>403</v>
      </c>
      <c r="D40" s="250" t="s">
        <v>404</v>
      </c>
    </row>
    <row r="41" spans="1:4" x14ac:dyDescent="0.25">
      <c r="A41" s="247" t="s">
        <v>405</v>
      </c>
      <c r="B41" s="248" t="s">
        <v>406</v>
      </c>
      <c r="C41" s="248" t="s">
        <v>407</v>
      </c>
      <c r="D41" s="248" t="s">
        <v>408</v>
      </c>
    </row>
    <row r="42" spans="1:4" x14ac:dyDescent="0.25">
      <c r="A42" s="663" t="s">
        <v>409</v>
      </c>
      <c r="B42" s="250" t="s">
        <v>410</v>
      </c>
      <c r="C42" s="250" t="s">
        <v>411</v>
      </c>
      <c r="D42" s="250" t="s">
        <v>412</v>
      </c>
    </row>
    <row r="43" spans="1:4" x14ac:dyDescent="0.25">
      <c r="A43" s="247" t="s">
        <v>413</v>
      </c>
      <c r="B43" s="248" t="s">
        <v>414</v>
      </c>
      <c r="C43" s="248" t="s">
        <v>415</v>
      </c>
      <c r="D43" s="248" t="s">
        <v>416</v>
      </c>
    </row>
    <row r="44" spans="1:4" x14ac:dyDescent="0.25">
      <c r="A44" s="663"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abSelected="1"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906</v>
      </c>
      <c r="B1" s="4" t="s">
        <v>903</v>
      </c>
      <c r="C1" s="4" t="s">
        <v>904</v>
      </c>
      <c r="D1" s="4" t="s">
        <v>882</v>
      </c>
      <c r="E1" s="4" t="s">
        <v>905</v>
      </c>
      <c r="G1" s="4" t="s">
        <v>885</v>
      </c>
      <c r="H1" s="4" t="s">
        <v>903</v>
      </c>
      <c r="I1" s="4" t="s">
        <v>904</v>
      </c>
      <c r="J1" s="4" t="s">
        <v>882</v>
      </c>
      <c r="K1" s="4" t="s">
        <v>905</v>
      </c>
      <c r="M1" s="4" t="s">
        <v>581</v>
      </c>
      <c r="N1" s="4" t="s">
        <v>903</v>
      </c>
      <c r="O1" s="4" t="s">
        <v>904</v>
      </c>
      <c r="P1" s="4" t="s">
        <v>882</v>
      </c>
      <c r="Q1" s="4" t="s">
        <v>905</v>
      </c>
      <c r="S1" s="4" t="s">
        <v>64</v>
      </c>
      <c r="T1" s="4" t="s">
        <v>903</v>
      </c>
      <c r="U1" s="4" t="s">
        <v>904</v>
      </c>
      <c r="V1" s="4" t="s">
        <v>882</v>
      </c>
      <c r="W1" s="4" t="s">
        <v>905</v>
      </c>
    </row>
    <row r="2" spans="1:23" x14ac:dyDescent="0.25">
      <c r="A2" t="s">
        <v>886</v>
      </c>
      <c r="B2">
        <v>2</v>
      </c>
      <c r="C2">
        <v>3</v>
      </c>
      <c r="D2">
        <v>1.5</v>
      </c>
      <c r="E2">
        <f>D2</f>
        <v>1.5</v>
      </c>
      <c r="G2" t="s">
        <v>886</v>
      </c>
      <c r="H2">
        <v>2</v>
      </c>
      <c r="I2">
        <v>3</v>
      </c>
      <c r="J2">
        <v>3</v>
      </c>
      <c r="K2">
        <f>J2</f>
        <v>3</v>
      </c>
      <c r="M2" t="s">
        <v>886</v>
      </c>
      <c r="N2">
        <v>2</v>
      </c>
      <c r="O2">
        <v>3</v>
      </c>
      <c r="P2">
        <v>3</v>
      </c>
      <c r="Q2">
        <f>P2</f>
        <v>3</v>
      </c>
      <c r="S2" t="s">
        <v>886</v>
      </c>
      <c r="T2">
        <v>2</v>
      </c>
      <c r="U2">
        <v>3</v>
      </c>
      <c r="V2">
        <v>1.5</v>
      </c>
      <c r="W2">
        <f>V2</f>
        <v>1.5</v>
      </c>
    </row>
    <row r="3" spans="1:23" x14ac:dyDescent="0.25">
      <c r="A3" t="s">
        <v>887</v>
      </c>
      <c r="B3">
        <v>3</v>
      </c>
      <c r="C3">
        <v>4</v>
      </c>
      <c r="D3">
        <v>2</v>
      </c>
      <c r="E3">
        <f>E2+D3</f>
        <v>3.5</v>
      </c>
      <c r="G3" t="s">
        <v>887</v>
      </c>
      <c r="H3">
        <v>3</v>
      </c>
      <c r="I3">
        <v>4</v>
      </c>
      <c r="J3">
        <v>3</v>
      </c>
      <c r="K3">
        <f>K2+J3</f>
        <v>6</v>
      </c>
      <c r="M3" t="s">
        <v>887</v>
      </c>
      <c r="N3">
        <v>3</v>
      </c>
      <c r="O3">
        <v>4</v>
      </c>
      <c r="P3">
        <v>3</v>
      </c>
      <c r="Q3">
        <f>Q2+P3</f>
        <v>6</v>
      </c>
      <c r="S3" t="s">
        <v>887</v>
      </c>
      <c r="T3">
        <v>3</v>
      </c>
      <c r="U3">
        <v>4</v>
      </c>
      <c r="V3">
        <v>2</v>
      </c>
      <c r="W3">
        <f>W2+V3</f>
        <v>3.5</v>
      </c>
    </row>
    <row r="4" spans="1:23" x14ac:dyDescent="0.25">
      <c r="A4" t="s">
        <v>888</v>
      </c>
      <c r="B4">
        <v>4</v>
      </c>
      <c r="C4">
        <v>5</v>
      </c>
      <c r="D4">
        <v>2</v>
      </c>
      <c r="E4">
        <f t="shared" ref="E4:E17" si="0">E3+D4</f>
        <v>5.5</v>
      </c>
      <c r="G4" t="s">
        <v>888</v>
      </c>
      <c r="H4">
        <v>4</v>
      </c>
      <c r="I4">
        <v>5</v>
      </c>
      <c r="J4">
        <v>4</v>
      </c>
      <c r="K4">
        <f t="shared" ref="K4:K17" si="1">K3+J4</f>
        <v>10</v>
      </c>
      <c r="M4" t="s">
        <v>888</v>
      </c>
      <c r="N4">
        <v>4</v>
      </c>
      <c r="O4">
        <v>5</v>
      </c>
      <c r="P4">
        <v>3</v>
      </c>
      <c r="Q4">
        <f t="shared" ref="Q4:Q17" si="2">Q3+P4</f>
        <v>9</v>
      </c>
      <c r="S4" t="s">
        <v>888</v>
      </c>
      <c r="T4">
        <v>4</v>
      </c>
      <c r="U4">
        <v>5</v>
      </c>
      <c r="V4">
        <v>2</v>
      </c>
      <c r="W4">
        <f t="shared" ref="W4:W17" si="3">W3+V4</f>
        <v>5.5</v>
      </c>
    </row>
    <row r="5" spans="1:23" x14ac:dyDescent="0.25">
      <c r="A5" t="s">
        <v>889</v>
      </c>
      <c r="B5">
        <v>5</v>
      </c>
      <c r="C5">
        <v>6</v>
      </c>
      <c r="D5">
        <v>2</v>
      </c>
      <c r="E5">
        <f t="shared" si="0"/>
        <v>7.5</v>
      </c>
      <c r="G5" t="s">
        <v>889</v>
      </c>
      <c r="H5">
        <v>5</v>
      </c>
      <c r="I5">
        <v>6</v>
      </c>
      <c r="J5">
        <v>4</v>
      </c>
      <c r="K5">
        <f t="shared" si="1"/>
        <v>14</v>
      </c>
      <c r="M5" t="s">
        <v>889</v>
      </c>
      <c r="N5">
        <v>5</v>
      </c>
      <c r="O5">
        <v>6</v>
      </c>
      <c r="P5">
        <v>3</v>
      </c>
      <c r="Q5">
        <f t="shared" si="2"/>
        <v>12</v>
      </c>
      <c r="S5" t="s">
        <v>889</v>
      </c>
      <c r="T5">
        <v>5</v>
      </c>
      <c r="U5">
        <v>6</v>
      </c>
      <c r="V5">
        <v>3</v>
      </c>
      <c r="W5">
        <f t="shared" si="3"/>
        <v>8.5</v>
      </c>
    </row>
    <row r="6" spans="1:23" x14ac:dyDescent="0.25">
      <c r="A6" t="s">
        <v>890</v>
      </c>
      <c r="B6">
        <v>6</v>
      </c>
      <c r="C6">
        <v>7</v>
      </c>
      <c r="D6">
        <v>3</v>
      </c>
      <c r="E6">
        <f t="shared" si="0"/>
        <v>10.5</v>
      </c>
      <c r="G6" t="s">
        <v>890</v>
      </c>
      <c r="H6">
        <v>6</v>
      </c>
      <c r="I6">
        <v>7</v>
      </c>
      <c r="J6">
        <v>4</v>
      </c>
      <c r="K6">
        <f t="shared" si="1"/>
        <v>18</v>
      </c>
      <c r="M6" t="s">
        <v>890</v>
      </c>
      <c r="N6">
        <v>6</v>
      </c>
      <c r="O6">
        <v>7</v>
      </c>
      <c r="P6">
        <v>4</v>
      </c>
      <c r="Q6">
        <f t="shared" si="2"/>
        <v>16</v>
      </c>
      <c r="S6" t="s">
        <v>890</v>
      </c>
      <c r="T6">
        <v>6</v>
      </c>
      <c r="U6">
        <v>7</v>
      </c>
      <c r="V6">
        <v>2</v>
      </c>
      <c r="W6">
        <f t="shared" si="3"/>
        <v>10.5</v>
      </c>
    </row>
    <row r="7" spans="1:23" x14ac:dyDescent="0.25">
      <c r="A7" t="s">
        <v>891</v>
      </c>
      <c r="B7">
        <v>7</v>
      </c>
      <c r="C7">
        <v>8</v>
      </c>
      <c r="D7">
        <v>3</v>
      </c>
      <c r="E7">
        <f t="shared" si="0"/>
        <v>13.5</v>
      </c>
      <c r="G7" t="s">
        <v>891</v>
      </c>
      <c r="H7">
        <v>7</v>
      </c>
      <c r="I7">
        <v>8</v>
      </c>
      <c r="J7">
        <v>6</v>
      </c>
      <c r="K7">
        <f t="shared" si="1"/>
        <v>24</v>
      </c>
      <c r="M7" t="s">
        <v>891</v>
      </c>
      <c r="N7">
        <v>7</v>
      </c>
      <c r="O7">
        <v>8</v>
      </c>
      <c r="P7">
        <v>5</v>
      </c>
      <c r="Q7">
        <f t="shared" si="2"/>
        <v>21</v>
      </c>
      <c r="S7" t="s">
        <v>891</v>
      </c>
      <c r="T7">
        <v>7</v>
      </c>
      <c r="U7">
        <v>8</v>
      </c>
      <c r="V7">
        <v>4</v>
      </c>
      <c r="W7">
        <f t="shared" si="3"/>
        <v>14.5</v>
      </c>
    </row>
    <row r="8" spans="1:23" x14ac:dyDescent="0.25">
      <c r="A8" t="s">
        <v>892</v>
      </c>
      <c r="B8">
        <v>8</v>
      </c>
      <c r="C8">
        <v>9</v>
      </c>
      <c r="D8">
        <v>3</v>
      </c>
      <c r="E8">
        <f t="shared" si="0"/>
        <v>16.5</v>
      </c>
      <c r="G8" t="s">
        <v>892</v>
      </c>
      <c r="H8">
        <v>8</v>
      </c>
      <c r="I8">
        <v>9</v>
      </c>
      <c r="J8">
        <v>6</v>
      </c>
      <c r="K8">
        <f t="shared" si="1"/>
        <v>30</v>
      </c>
      <c r="M8" t="s">
        <v>892</v>
      </c>
      <c r="N8">
        <v>8</v>
      </c>
      <c r="O8">
        <v>9</v>
      </c>
      <c r="P8">
        <v>5</v>
      </c>
      <c r="Q8">
        <f t="shared" si="2"/>
        <v>26</v>
      </c>
      <c r="S8" t="s">
        <v>892</v>
      </c>
      <c r="T8">
        <v>8</v>
      </c>
      <c r="U8">
        <v>9</v>
      </c>
      <c r="V8">
        <v>3</v>
      </c>
      <c r="W8">
        <f t="shared" si="3"/>
        <v>17.5</v>
      </c>
    </row>
    <row r="9" spans="1:23" x14ac:dyDescent="0.25">
      <c r="A9" t="s">
        <v>893</v>
      </c>
      <c r="B9">
        <v>9</v>
      </c>
      <c r="C9">
        <v>10</v>
      </c>
      <c r="D9">
        <v>4</v>
      </c>
      <c r="E9">
        <f t="shared" si="0"/>
        <v>20.5</v>
      </c>
      <c r="G9" t="s">
        <v>893</v>
      </c>
      <c r="H9">
        <v>9</v>
      </c>
      <c r="I9">
        <v>10</v>
      </c>
      <c r="J9">
        <v>7</v>
      </c>
      <c r="K9">
        <f t="shared" si="1"/>
        <v>37</v>
      </c>
      <c r="M9" t="s">
        <v>893</v>
      </c>
      <c r="N9">
        <v>9</v>
      </c>
      <c r="O9">
        <v>10</v>
      </c>
      <c r="P9">
        <v>7</v>
      </c>
      <c r="Q9">
        <f t="shared" si="2"/>
        <v>33</v>
      </c>
      <c r="S9" t="s">
        <v>893</v>
      </c>
      <c r="T9">
        <v>9</v>
      </c>
      <c r="U9">
        <v>10</v>
      </c>
      <c r="V9">
        <v>5</v>
      </c>
      <c r="W9">
        <f t="shared" si="3"/>
        <v>22.5</v>
      </c>
    </row>
    <row r="10" spans="1:23" x14ac:dyDescent="0.25">
      <c r="A10" t="s">
        <v>894</v>
      </c>
      <c r="B10">
        <v>10</v>
      </c>
      <c r="C10">
        <v>11</v>
      </c>
      <c r="D10">
        <v>5</v>
      </c>
      <c r="E10">
        <f t="shared" si="0"/>
        <v>25.5</v>
      </c>
      <c r="G10" t="s">
        <v>894</v>
      </c>
      <c r="H10">
        <v>10</v>
      </c>
      <c r="I10">
        <v>11</v>
      </c>
      <c r="J10">
        <v>9</v>
      </c>
      <c r="K10">
        <f t="shared" si="1"/>
        <v>46</v>
      </c>
      <c r="M10" t="s">
        <v>894</v>
      </c>
      <c r="N10">
        <v>10</v>
      </c>
      <c r="O10">
        <v>11</v>
      </c>
      <c r="P10">
        <v>7</v>
      </c>
      <c r="Q10">
        <f t="shared" si="2"/>
        <v>40</v>
      </c>
      <c r="S10" t="s">
        <v>894</v>
      </c>
      <c r="T10">
        <v>10</v>
      </c>
      <c r="U10">
        <v>11</v>
      </c>
      <c r="V10">
        <v>5</v>
      </c>
      <c r="W10">
        <f t="shared" si="3"/>
        <v>27.5</v>
      </c>
    </row>
    <row r="11" spans="1:23" x14ac:dyDescent="0.25">
      <c r="A11" t="s">
        <v>895</v>
      </c>
      <c r="B11">
        <v>11</v>
      </c>
      <c r="C11">
        <v>12</v>
      </c>
      <c r="D11">
        <v>5</v>
      </c>
      <c r="E11">
        <f t="shared" si="0"/>
        <v>30.5</v>
      </c>
      <c r="G11" t="s">
        <v>895</v>
      </c>
      <c r="H11">
        <v>11</v>
      </c>
      <c r="I11">
        <v>12</v>
      </c>
      <c r="J11">
        <v>10</v>
      </c>
      <c r="K11">
        <f t="shared" si="1"/>
        <v>56</v>
      </c>
      <c r="M11" t="s">
        <v>895</v>
      </c>
      <c r="N11">
        <v>11</v>
      </c>
      <c r="O11">
        <v>12</v>
      </c>
      <c r="P11">
        <v>8</v>
      </c>
      <c r="Q11">
        <f t="shared" si="2"/>
        <v>48</v>
      </c>
      <c r="S11" t="s">
        <v>895</v>
      </c>
      <c r="T11">
        <v>11</v>
      </c>
      <c r="U11">
        <v>12</v>
      </c>
      <c r="V11">
        <v>5</v>
      </c>
      <c r="W11">
        <f t="shared" si="3"/>
        <v>32.5</v>
      </c>
    </row>
    <row r="12" spans="1:23" x14ac:dyDescent="0.25">
      <c r="A12" t="s">
        <v>896</v>
      </c>
      <c r="B12">
        <v>12</v>
      </c>
      <c r="C12">
        <v>13</v>
      </c>
      <c r="D12">
        <v>6</v>
      </c>
      <c r="E12">
        <f t="shared" si="0"/>
        <v>36.5</v>
      </c>
      <c r="G12" t="s">
        <v>896</v>
      </c>
      <c r="H12">
        <v>12</v>
      </c>
      <c r="I12">
        <v>13</v>
      </c>
      <c r="J12">
        <v>11</v>
      </c>
      <c r="K12">
        <f t="shared" si="1"/>
        <v>67</v>
      </c>
      <c r="M12" t="s">
        <v>896</v>
      </c>
      <c r="N12">
        <v>12</v>
      </c>
      <c r="O12">
        <v>13</v>
      </c>
      <c r="P12">
        <v>10</v>
      </c>
      <c r="Q12">
        <f t="shared" si="2"/>
        <v>58</v>
      </c>
      <c r="S12" t="s">
        <v>896</v>
      </c>
      <c r="T12">
        <v>12</v>
      </c>
      <c r="U12">
        <v>13</v>
      </c>
      <c r="V12">
        <v>7</v>
      </c>
      <c r="W12">
        <f t="shared" si="3"/>
        <v>39.5</v>
      </c>
    </row>
    <row r="13" spans="1:23" x14ac:dyDescent="0.25">
      <c r="A13" t="s">
        <v>897</v>
      </c>
      <c r="B13">
        <v>13</v>
      </c>
      <c r="C13">
        <v>14</v>
      </c>
      <c r="D13">
        <v>7</v>
      </c>
      <c r="E13">
        <f t="shared" si="0"/>
        <v>43.5</v>
      </c>
      <c r="G13" t="s">
        <v>897</v>
      </c>
      <c r="H13">
        <v>13</v>
      </c>
      <c r="I13">
        <v>14</v>
      </c>
      <c r="J13">
        <v>12</v>
      </c>
      <c r="K13">
        <f t="shared" si="1"/>
        <v>79</v>
      </c>
      <c r="M13" t="s">
        <v>897</v>
      </c>
      <c r="N13">
        <v>13</v>
      </c>
      <c r="O13">
        <v>14</v>
      </c>
      <c r="P13">
        <v>10</v>
      </c>
      <c r="Q13">
        <f t="shared" si="2"/>
        <v>68</v>
      </c>
      <c r="S13" t="s">
        <v>897</v>
      </c>
      <c r="T13">
        <v>13</v>
      </c>
      <c r="U13">
        <v>14</v>
      </c>
      <c r="V13">
        <v>7</v>
      </c>
      <c r="W13">
        <f t="shared" si="3"/>
        <v>46.5</v>
      </c>
    </row>
    <row r="14" spans="1:23" x14ac:dyDescent="0.25">
      <c r="A14" t="s">
        <v>898</v>
      </c>
      <c r="B14">
        <v>14</v>
      </c>
      <c r="C14">
        <v>15</v>
      </c>
      <c r="D14">
        <v>8</v>
      </c>
      <c r="E14">
        <f t="shared" si="0"/>
        <v>51.5</v>
      </c>
      <c r="G14" t="s">
        <v>898</v>
      </c>
      <c r="H14">
        <v>14</v>
      </c>
      <c r="I14">
        <v>15</v>
      </c>
      <c r="J14">
        <v>16</v>
      </c>
      <c r="K14">
        <f t="shared" si="1"/>
        <v>95</v>
      </c>
      <c r="M14" t="s">
        <v>898</v>
      </c>
      <c r="N14">
        <v>14</v>
      </c>
      <c r="O14">
        <v>15</v>
      </c>
      <c r="P14">
        <v>13</v>
      </c>
      <c r="Q14">
        <f t="shared" si="2"/>
        <v>81</v>
      </c>
      <c r="S14" t="s">
        <v>898</v>
      </c>
      <c r="T14">
        <v>14</v>
      </c>
      <c r="U14">
        <v>15</v>
      </c>
      <c r="V14">
        <v>9</v>
      </c>
      <c r="W14">
        <f t="shared" si="3"/>
        <v>55.5</v>
      </c>
    </row>
    <row r="15" spans="1:23" x14ac:dyDescent="0.25">
      <c r="A15" t="s">
        <v>899</v>
      </c>
      <c r="B15">
        <v>15</v>
      </c>
      <c r="C15">
        <v>16</v>
      </c>
      <c r="D15">
        <v>10</v>
      </c>
      <c r="E15">
        <f t="shared" si="0"/>
        <v>61.5</v>
      </c>
      <c r="G15" t="s">
        <v>899</v>
      </c>
      <c r="H15">
        <v>15</v>
      </c>
      <c r="I15">
        <v>16</v>
      </c>
      <c r="J15">
        <v>18</v>
      </c>
      <c r="K15">
        <f t="shared" si="1"/>
        <v>113</v>
      </c>
      <c r="M15" t="s">
        <v>899</v>
      </c>
      <c r="N15">
        <v>15</v>
      </c>
      <c r="O15">
        <v>16</v>
      </c>
      <c r="P15">
        <v>15</v>
      </c>
      <c r="Q15">
        <f t="shared" si="2"/>
        <v>96</v>
      </c>
      <c r="S15" t="s">
        <v>899</v>
      </c>
      <c r="T15">
        <v>15</v>
      </c>
      <c r="U15">
        <v>16</v>
      </c>
      <c r="V15">
        <v>10</v>
      </c>
      <c r="W15">
        <f t="shared" si="3"/>
        <v>65.5</v>
      </c>
    </row>
    <row r="16" spans="1:23" x14ac:dyDescent="0.25">
      <c r="A16" t="s">
        <v>900</v>
      </c>
      <c r="B16">
        <v>16</v>
      </c>
      <c r="C16">
        <v>17</v>
      </c>
      <c r="D16">
        <v>11</v>
      </c>
      <c r="E16">
        <f t="shared" si="0"/>
        <v>72.5</v>
      </c>
      <c r="G16" t="s">
        <v>900</v>
      </c>
      <c r="H16">
        <v>16</v>
      </c>
      <c r="I16">
        <v>17</v>
      </c>
      <c r="J16">
        <v>23</v>
      </c>
      <c r="K16">
        <f t="shared" si="1"/>
        <v>136</v>
      </c>
      <c r="M16" t="s">
        <v>900</v>
      </c>
      <c r="N16">
        <v>16</v>
      </c>
      <c r="O16">
        <v>17</v>
      </c>
      <c r="P16">
        <v>19</v>
      </c>
      <c r="Q16">
        <f t="shared" si="2"/>
        <v>115</v>
      </c>
      <c r="S16" t="s">
        <v>900</v>
      </c>
      <c r="T16">
        <v>16</v>
      </c>
      <c r="U16">
        <v>17</v>
      </c>
      <c r="V16">
        <v>12</v>
      </c>
      <c r="W16">
        <f t="shared" si="3"/>
        <v>77.5</v>
      </c>
    </row>
    <row r="17" spans="1:23" x14ac:dyDescent="0.25">
      <c r="A17" t="s">
        <v>901</v>
      </c>
      <c r="B17">
        <v>17</v>
      </c>
      <c r="C17">
        <v>18</v>
      </c>
      <c r="D17">
        <v>14</v>
      </c>
      <c r="E17">
        <f t="shared" si="0"/>
        <v>86.5</v>
      </c>
      <c r="G17" t="s">
        <v>901</v>
      </c>
      <c r="H17">
        <v>17</v>
      </c>
      <c r="I17">
        <v>18</v>
      </c>
      <c r="J17">
        <v>36</v>
      </c>
      <c r="K17">
        <f t="shared" si="1"/>
        <v>172</v>
      </c>
      <c r="M17" t="s">
        <v>901</v>
      </c>
      <c r="N17">
        <v>17</v>
      </c>
      <c r="O17">
        <v>18</v>
      </c>
      <c r="P17">
        <v>26</v>
      </c>
      <c r="Q17">
        <f t="shared" si="2"/>
        <v>141</v>
      </c>
      <c r="S17" t="s">
        <v>901</v>
      </c>
      <c r="T17">
        <v>17</v>
      </c>
      <c r="U17">
        <v>18</v>
      </c>
      <c r="V17">
        <v>15</v>
      </c>
      <c r="W17">
        <f t="shared" si="3"/>
        <v>92.5</v>
      </c>
    </row>
    <row r="18" spans="1:23" x14ac:dyDescent="0.25">
      <c r="A18" t="s">
        <v>902</v>
      </c>
      <c r="B18">
        <v>18</v>
      </c>
      <c r="C18">
        <v>19</v>
      </c>
      <c r="D18">
        <v>19</v>
      </c>
      <c r="G18" t="s">
        <v>902</v>
      </c>
      <c r="H18">
        <v>18</v>
      </c>
      <c r="I18">
        <v>19</v>
      </c>
      <c r="M18" t="s">
        <v>902</v>
      </c>
      <c r="N18">
        <v>18</v>
      </c>
      <c r="O18">
        <v>19</v>
      </c>
      <c r="P18">
        <v>58</v>
      </c>
      <c r="S18" t="s">
        <v>902</v>
      </c>
      <c r="T18">
        <v>18</v>
      </c>
      <c r="U18">
        <v>19</v>
      </c>
      <c r="V18">
        <v>21</v>
      </c>
    </row>
    <row r="21" spans="1:23" x14ac:dyDescent="0.25">
      <c r="A21" s="4" t="s">
        <v>907</v>
      </c>
      <c r="B21" s="4" t="s">
        <v>903</v>
      </c>
      <c r="C21" s="4" t="s">
        <v>904</v>
      </c>
      <c r="D21" s="4" t="s">
        <v>882</v>
      </c>
      <c r="E21" s="4" t="s">
        <v>905</v>
      </c>
      <c r="G21" s="4" t="s">
        <v>908</v>
      </c>
      <c r="H21" s="4" t="s">
        <v>903</v>
      </c>
      <c r="I21" s="4" t="s">
        <v>904</v>
      </c>
      <c r="J21" s="4" t="s">
        <v>882</v>
      </c>
      <c r="K21" s="4" t="s">
        <v>905</v>
      </c>
      <c r="M21" s="4" t="s">
        <v>0</v>
      </c>
      <c r="N21" s="4" t="s">
        <v>903</v>
      </c>
      <c r="O21" s="4" t="s">
        <v>904</v>
      </c>
      <c r="P21" s="4" t="s">
        <v>882</v>
      </c>
      <c r="Q21" s="4" t="s">
        <v>905</v>
      </c>
      <c r="S21" s="4" t="s">
        <v>62</v>
      </c>
      <c r="T21">
        <v>19</v>
      </c>
    </row>
    <row r="22" spans="1:23" x14ac:dyDescent="0.25">
      <c r="A22" t="s">
        <v>886</v>
      </c>
      <c r="B22">
        <v>2</v>
      </c>
      <c r="C22">
        <v>3</v>
      </c>
      <c r="D22">
        <v>2</v>
      </c>
      <c r="E22">
        <f>D22</f>
        <v>2</v>
      </c>
      <c r="G22" t="s">
        <v>886</v>
      </c>
      <c r="H22">
        <v>2</v>
      </c>
      <c r="I22">
        <v>3</v>
      </c>
      <c r="J22">
        <v>2</v>
      </c>
      <c r="K22">
        <f>J22</f>
        <v>2</v>
      </c>
      <c r="M22" t="s">
        <v>886</v>
      </c>
      <c r="N22">
        <v>2</v>
      </c>
      <c r="O22">
        <v>3</v>
      </c>
      <c r="P22">
        <v>1</v>
      </c>
      <c r="Q22">
        <f>P22</f>
        <v>1</v>
      </c>
      <c r="S22" t="s">
        <v>909</v>
      </c>
      <c r="T22" s="595">
        <v>0.15</v>
      </c>
    </row>
    <row r="23" spans="1:23" x14ac:dyDescent="0.25">
      <c r="A23" t="s">
        <v>887</v>
      </c>
      <c r="B23">
        <v>3</v>
      </c>
      <c r="C23">
        <v>4</v>
      </c>
      <c r="D23">
        <v>2</v>
      </c>
      <c r="E23">
        <f>E22+D23</f>
        <v>4</v>
      </c>
      <c r="G23" t="s">
        <v>887</v>
      </c>
      <c r="H23">
        <v>3</v>
      </c>
      <c r="I23">
        <v>4</v>
      </c>
      <c r="J23">
        <v>3</v>
      </c>
      <c r="K23">
        <f>K22+J23</f>
        <v>5</v>
      </c>
      <c r="M23" t="s">
        <v>887</v>
      </c>
      <c r="N23">
        <v>3</v>
      </c>
      <c r="O23">
        <v>4</v>
      </c>
      <c r="P23">
        <v>1</v>
      </c>
      <c r="Q23">
        <f>Q22+P23</f>
        <v>2</v>
      </c>
      <c r="S23" t="s">
        <v>910</v>
      </c>
      <c r="T23" t="s">
        <v>912</v>
      </c>
    </row>
    <row r="24" spans="1:23" x14ac:dyDescent="0.25">
      <c r="A24" t="s">
        <v>888</v>
      </c>
      <c r="B24">
        <v>4</v>
      </c>
      <c r="C24">
        <v>5</v>
      </c>
      <c r="D24">
        <v>3</v>
      </c>
      <c r="E24">
        <f t="shared" ref="E24:E37" si="4">E23+D24</f>
        <v>7</v>
      </c>
      <c r="G24" t="s">
        <v>888</v>
      </c>
      <c r="H24">
        <v>4</v>
      </c>
      <c r="I24">
        <v>5</v>
      </c>
      <c r="J24">
        <v>3</v>
      </c>
      <c r="K24">
        <f t="shared" ref="K24:K37" si="5">K23+J24</f>
        <v>8</v>
      </c>
      <c r="M24" t="s">
        <v>888</v>
      </c>
      <c r="N24">
        <v>4</v>
      </c>
      <c r="O24">
        <v>5</v>
      </c>
      <c r="P24">
        <v>1</v>
      </c>
      <c r="Q24">
        <f t="shared" ref="Q24:Q37" si="6">Q23+P24</f>
        <v>3</v>
      </c>
      <c r="S24" t="s">
        <v>911</v>
      </c>
      <c r="T24" s="595">
        <v>1</v>
      </c>
    </row>
    <row r="25" spans="1:23" x14ac:dyDescent="0.25">
      <c r="A25" t="s">
        <v>889</v>
      </c>
      <c r="B25">
        <v>5</v>
      </c>
      <c r="C25">
        <v>6</v>
      </c>
      <c r="D25">
        <v>3</v>
      </c>
      <c r="E25">
        <f t="shared" si="4"/>
        <v>10</v>
      </c>
      <c r="G25" t="s">
        <v>889</v>
      </c>
      <c r="H25">
        <v>5</v>
      </c>
      <c r="I25">
        <v>6</v>
      </c>
      <c r="J25">
        <v>4</v>
      </c>
      <c r="K25">
        <f t="shared" si="5"/>
        <v>12</v>
      </c>
      <c r="M25" t="s">
        <v>889</v>
      </c>
      <c r="N25">
        <v>5</v>
      </c>
      <c r="O25">
        <v>6</v>
      </c>
      <c r="P25">
        <v>1</v>
      </c>
      <c r="Q25">
        <f t="shared" si="6"/>
        <v>4</v>
      </c>
    </row>
    <row r="26" spans="1:23" x14ac:dyDescent="0.25">
      <c r="A26" t="s">
        <v>890</v>
      </c>
      <c r="B26">
        <v>6</v>
      </c>
      <c r="C26">
        <v>7</v>
      </c>
      <c r="D26">
        <v>4</v>
      </c>
      <c r="E26">
        <f t="shared" si="4"/>
        <v>14</v>
      </c>
      <c r="G26" t="s">
        <v>890</v>
      </c>
      <c r="H26">
        <v>6</v>
      </c>
      <c r="I26">
        <v>7</v>
      </c>
      <c r="J26">
        <v>4</v>
      </c>
      <c r="K26">
        <f t="shared" si="5"/>
        <v>16</v>
      </c>
      <c r="M26" t="s">
        <v>890</v>
      </c>
      <c r="N26">
        <v>6</v>
      </c>
      <c r="O26">
        <v>7</v>
      </c>
      <c r="P26">
        <v>1</v>
      </c>
      <c r="Q26">
        <f t="shared" si="6"/>
        <v>5</v>
      </c>
    </row>
    <row r="27" spans="1:23" x14ac:dyDescent="0.25">
      <c r="A27" t="s">
        <v>891</v>
      </c>
      <c r="B27">
        <v>7</v>
      </c>
      <c r="C27">
        <v>8</v>
      </c>
      <c r="D27">
        <v>4</v>
      </c>
      <c r="E27">
        <f t="shared" si="4"/>
        <v>18</v>
      </c>
      <c r="G27" t="s">
        <v>891</v>
      </c>
      <c r="H27">
        <v>7</v>
      </c>
      <c r="I27">
        <v>8</v>
      </c>
      <c r="J27">
        <v>5</v>
      </c>
      <c r="K27">
        <f t="shared" si="5"/>
        <v>21</v>
      </c>
      <c r="M27" t="s">
        <v>891</v>
      </c>
      <c r="N27">
        <v>7</v>
      </c>
      <c r="O27">
        <v>8</v>
      </c>
      <c r="P27">
        <v>1</v>
      </c>
      <c r="Q27">
        <f t="shared" si="6"/>
        <v>6</v>
      </c>
    </row>
    <row r="28" spans="1:23" x14ac:dyDescent="0.25">
      <c r="A28" t="s">
        <v>892</v>
      </c>
      <c r="B28">
        <v>8</v>
      </c>
      <c r="C28">
        <v>9</v>
      </c>
      <c r="D28">
        <v>5</v>
      </c>
      <c r="E28">
        <f t="shared" si="4"/>
        <v>23</v>
      </c>
      <c r="G28" t="s">
        <v>892</v>
      </c>
      <c r="H28">
        <v>8</v>
      </c>
      <c r="I28">
        <v>9</v>
      </c>
      <c r="J28">
        <v>6</v>
      </c>
      <c r="K28">
        <f t="shared" si="5"/>
        <v>27</v>
      </c>
      <c r="M28" t="s">
        <v>892</v>
      </c>
      <c r="N28">
        <v>8</v>
      </c>
      <c r="O28">
        <v>9</v>
      </c>
      <c r="P28">
        <v>1</v>
      </c>
      <c r="Q28">
        <f t="shared" si="6"/>
        <v>7</v>
      </c>
    </row>
    <row r="29" spans="1:23" x14ac:dyDescent="0.25">
      <c r="A29" t="s">
        <v>893</v>
      </c>
      <c r="B29">
        <v>9</v>
      </c>
      <c r="C29">
        <v>10</v>
      </c>
      <c r="D29">
        <v>6</v>
      </c>
      <c r="E29">
        <f t="shared" si="4"/>
        <v>29</v>
      </c>
      <c r="G29" t="s">
        <v>893</v>
      </c>
      <c r="H29">
        <v>9</v>
      </c>
      <c r="I29">
        <v>10</v>
      </c>
      <c r="J29">
        <v>6</v>
      </c>
      <c r="K29">
        <f t="shared" si="5"/>
        <v>33</v>
      </c>
      <c r="M29" t="s">
        <v>893</v>
      </c>
      <c r="N29">
        <v>9</v>
      </c>
      <c r="O29">
        <v>10</v>
      </c>
      <c r="P29">
        <v>1</v>
      </c>
      <c r="Q29">
        <f t="shared" si="6"/>
        <v>8</v>
      </c>
    </row>
    <row r="30" spans="1:23" x14ac:dyDescent="0.25">
      <c r="A30" t="s">
        <v>894</v>
      </c>
      <c r="B30">
        <v>10</v>
      </c>
      <c r="C30">
        <v>11</v>
      </c>
      <c r="D30">
        <v>7</v>
      </c>
      <c r="E30">
        <f t="shared" si="4"/>
        <v>36</v>
      </c>
      <c r="G30" t="s">
        <v>894</v>
      </c>
      <c r="H30">
        <v>10</v>
      </c>
      <c r="I30">
        <v>11</v>
      </c>
      <c r="J30">
        <v>7</v>
      </c>
      <c r="K30">
        <f t="shared" si="5"/>
        <v>40</v>
      </c>
      <c r="M30" t="s">
        <v>894</v>
      </c>
      <c r="N30">
        <v>10</v>
      </c>
      <c r="O30">
        <v>11</v>
      </c>
      <c r="P30">
        <v>2</v>
      </c>
      <c r="Q30">
        <f t="shared" si="6"/>
        <v>10</v>
      </c>
    </row>
    <row r="31" spans="1:23" x14ac:dyDescent="0.25">
      <c r="A31" t="s">
        <v>895</v>
      </c>
      <c r="B31">
        <v>11</v>
      </c>
      <c r="C31">
        <v>12</v>
      </c>
      <c r="D31">
        <v>7</v>
      </c>
      <c r="E31">
        <f t="shared" si="4"/>
        <v>43</v>
      </c>
      <c r="G31" t="s">
        <v>895</v>
      </c>
      <c r="H31">
        <v>11</v>
      </c>
      <c r="I31">
        <v>12</v>
      </c>
      <c r="J31">
        <v>9</v>
      </c>
      <c r="K31">
        <f t="shared" si="5"/>
        <v>49</v>
      </c>
      <c r="M31" t="s">
        <v>895</v>
      </c>
      <c r="N31">
        <v>11</v>
      </c>
      <c r="O31">
        <v>12</v>
      </c>
      <c r="P31">
        <v>2</v>
      </c>
      <c r="Q31">
        <f t="shared" si="6"/>
        <v>12</v>
      </c>
    </row>
    <row r="32" spans="1:23" x14ac:dyDescent="0.25">
      <c r="A32" t="s">
        <v>896</v>
      </c>
      <c r="B32">
        <v>12</v>
      </c>
      <c r="C32">
        <v>13</v>
      </c>
      <c r="D32">
        <v>9</v>
      </c>
      <c r="E32">
        <f t="shared" si="4"/>
        <v>52</v>
      </c>
      <c r="G32" t="s">
        <v>896</v>
      </c>
      <c r="H32">
        <v>12</v>
      </c>
      <c r="I32">
        <v>13</v>
      </c>
      <c r="J32">
        <v>10</v>
      </c>
      <c r="K32">
        <f t="shared" si="5"/>
        <v>59</v>
      </c>
      <c r="M32" t="s">
        <v>896</v>
      </c>
      <c r="N32">
        <v>12</v>
      </c>
      <c r="O32">
        <v>13</v>
      </c>
      <c r="P32">
        <v>2</v>
      </c>
      <c r="Q32">
        <f t="shared" si="6"/>
        <v>14</v>
      </c>
    </row>
    <row r="33" spans="1:17" x14ac:dyDescent="0.25">
      <c r="A33" t="s">
        <v>897</v>
      </c>
      <c r="B33">
        <v>13</v>
      </c>
      <c r="C33">
        <v>14</v>
      </c>
      <c r="D33">
        <v>10</v>
      </c>
      <c r="E33">
        <f t="shared" si="4"/>
        <v>62</v>
      </c>
      <c r="G33" t="s">
        <v>897</v>
      </c>
      <c r="H33">
        <v>13</v>
      </c>
      <c r="I33">
        <v>14</v>
      </c>
      <c r="J33">
        <v>11</v>
      </c>
      <c r="K33">
        <f t="shared" si="5"/>
        <v>70</v>
      </c>
      <c r="M33" t="s">
        <v>897</v>
      </c>
      <c r="N33">
        <v>13</v>
      </c>
      <c r="O33">
        <v>14</v>
      </c>
      <c r="P33">
        <v>2</v>
      </c>
      <c r="Q33">
        <f t="shared" si="6"/>
        <v>16</v>
      </c>
    </row>
    <row r="34" spans="1:17" x14ac:dyDescent="0.25">
      <c r="A34" t="s">
        <v>898</v>
      </c>
      <c r="B34">
        <v>14</v>
      </c>
      <c r="C34">
        <v>15</v>
      </c>
      <c r="D34">
        <v>12</v>
      </c>
      <c r="E34">
        <f t="shared" si="4"/>
        <v>74</v>
      </c>
      <c r="G34" t="s">
        <v>898</v>
      </c>
      <c r="H34">
        <v>14</v>
      </c>
      <c r="I34">
        <v>15</v>
      </c>
      <c r="J34">
        <v>13</v>
      </c>
      <c r="K34">
        <f t="shared" si="5"/>
        <v>83</v>
      </c>
      <c r="M34" t="s">
        <v>898</v>
      </c>
      <c r="N34">
        <v>14</v>
      </c>
      <c r="O34">
        <v>15</v>
      </c>
      <c r="P34">
        <v>2</v>
      </c>
      <c r="Q34">
        <f t="shared" si="6"/>
        <v>18</v>
      </c>
    </row>
    <row r="35" spans="1:17" x14ac:dyDescent="0.25">
      <c r="A35" t="s">
        <v>899</v>
      </c>
      <c r="B35">
        <v>15</v>
      </c>
      <c r="C35">
        <v>16</v>
      </c>
      <c r="D35">
        <v>14</v>
      </c>
      <c r="E35">
        <f t="shared" si="4"/>
        <v>88</v>
      </c>
      <c r="G35" t="s">
        <v>899</v>
      </c>
      <c r="H35">
        <v>15</v>
      </c>
      <c r="I35">
        <v>16</v>
      </c>
      <c r="J35">
        <v>16</v>
      </c>
      <c r="K35">
        <f t="shared" si="5"/>
        <v>99</v>
      </c>
      <c r="M35" t="s">
        <v>899</v>
      </c>
      <c r="N35">
        <v>15</v>
      </c>
      <c r="O35">
        <v>16</v>
      </c>
      <c r="P35">
        <v>3</v>
      </c>
      <c r="Q35">
        <f t="shared" si="6"/>
        <v>21</v>
      </c>
    </row>
    <row r="36" spans="1:17" x14ac:dyDescent="0.25">
      <c r="A36" t="s">
        <v>900</v>
      </c>
      <c r="B36">
        <v>16</v>
      </c>
      <c r="C36">
        <v>17</v>
      </c>
      <c r="D36">
        <v>17</v>
      </c>
      <c r="E36">
        <f t="shared" si="4"/>
        <v>105</v>
      </c>
      <c r="G36" t="s">
        <v>900</v>
      </c>
      <c r="H36">
        <v>16</v>
      </c>
      <c r="I36">
        <v>17</v>
      </c>
      <c r="J36">
        <v>20</v>
      </c>
      <c r="K36">
        <f t="shared" si="5"/>
        <v>119</v>
      </c>
      <c r="M36" t="s">
        <v>900</v>
      </c>
      <c r="N36">
        <v>16</v>
      </c>
      <c r="O36">
        <v>17</v>
      </c>
      <c r="P36">
        <v>4</v>
      </c>
      <c r="Q36">
        <f t="shared" si="6"/>
        <v>25</v>
      </c>
    </row>
    <row r="37" spans="1:17" x14ac:dyDescent="0.25">
      <c r="A37" t="s">
        <v>901</v>
      </c>
      <c r="B37">
        <v>17</v>
      </c>
      <c r="C37">
        <v>18</v>
      </c>
      <c r="D37">
        <v>23</v>
      </c>
      <c r="E37">
        <f t="shared" si="4"/>
        <v>128</v>
      </c>
      <c r="G37" t="s">
        <v>901</v>
      </c>
      <c r="H37">
        <v>17</v>
      </c>
      <c r="I37">
        <v>18</v>
      </c>
      <c r="J37">
        <v>29</v>
      </c>
      <c r="K37">
        <f t="shared" si="5"/>
        <v>148</v>
      </c>
      <c r="M37" t="s">
        <v>901</v>
      </c>
      <c r="N37">
        <v>17</v>
      </c>
      <c r="O37">
        <v>18</v>
      </c>
      <c r="P37">
        <v>4</v>
      </c>
      <c r="Q37">
        <f t="shared" si="6"/>
        <v>29</v>
      </c>
    </row>
    <row r="38" spans="1:17" x14ac:dyDescent="0.25">
      <c r="A38" t="s">
        <v>902</v>
      </c>
      <c r="B38">
        <v>18</v>
      </c>
      <c r="C38">
        <v>19</v>
      </c>
      <c r="D38">
        <v>41</v>
      </c>
      <c r="G38" t="s">
        <v>902</v>
      </c>
      <c r="H38">
        <v>18</v>
      </c>
      <c r="I38">
        <v>19</v>
      </c>
      <c r="M38" t="s">
        <v>902</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7"/>
  <sheetViews>
    <sheetView zoomScaleNormal="100" workbookViewId="0">
      <pane xSplit="28" ySplit="4" topLeftCell="AC5" activePane="bottomRight" state="frozen"/>
      <selection pane="topRight" activeCell="T1" sqref="T1"/>
      <selection pane="bottomLeft" activeCell="A4" sqref="A4"/>
      <selection pane="bottomRight" activeCell="D7" sqref="D7"/>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9" bestFit="1" customWidth="1"/>
    <col min="15" max="15" width="4.140625" style="450" bestFit="1" customWidth="1"/>
    <col min="16" max="17" width="5.7109375" style="523" bestFit="1" customWidth="1"/>
    <col min="18" max="18" width="12" bestFit="1" customWidth="1"/>
    <col min="19" max="19" width="10.42578125" bestFit="1" customWidth="1"/>
    <col min="20" max="20" width="11.285156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7" width="7.85546875" style="156" bestFit="1" customWidth="1"/>
    <col min="38" max="38" width="8.140625" style="156" bestFit="1" customWidth="1"/>
    <col min="39" max="39" width="4.140625" bestFit="1" customWidth="1"/>
    <col min="40" max="40" width="4.28515625" bestFit="1" customWidth="1"/>
    <col min="41" max="41" width="5.28515625" bestFit="1" customWidth="1"/>
  </cols>
  <sheetData>
    <row r="1" spans="1:44" s="267" customFormat="1" x14ac:dyDescent="0.25">
      <c r="C1" s="680">
        <f ca="1">AVERAGE(C5,C8,C9,C10,C11,C12,C13,C14,C15,C16,C17,C18,C19,C21,C23)</f>
        <v>4.3982142857142863</v>
      </c>
      <c r="D1" s="375">
        <f ca="1">TODAY()</f>
        <v>43055</v>
      </c>
      <c r="E1" s="725">
        <v>41471</v>
      </c>
      <c r="F1" s="725"/>
      <c r="G1" s="725"/>
      <c r="H1" s="269"/>
      <c r="I1" s="269"/>
      <c r="J1" s="269"/>
      <c r="K1" s="270"/>
      <c r="L1" s="269"/>
      <c r="M1" s="270"/>
      <c r="N1" s="270"/>
      <c r="O1" s="680">
        <f>AVERAGE(O5,O8,O9,O10,O11,O12,O13,O14,O15,O16,O17,O18,O19,O21,O23)</f>
        <v>5.333333333333333</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AVERAGE(I5:I23)</f>
        <v>9.121052631578948</v>
      </c>
      <c r="J2" s="324"/>
      <c r="K2" s="324"/>
      <c r="M2" s="377">
        <f>AVERAGE(M5:M23)</f>
        <v>7.2526315789473674</v>
      </c>
      <c r="N2" s="324"/>
      <c r="O2" s="377">
        <f>AVERAGE(O5:O23)</f>
        <v>5.3684210526315788</v>
      </c>
      <c r="P2" s="537">
        <f>AVERAGE(P5:P23)</f>
        <v>0.87130382003085949</v>
      </c>
      <c r="Q2" s="537">
        <f>AVERAGE(Q5:Q23)</f>
        <v>0.94249655023181067</v>
      </c>
      <c r="R2" s="378">
        <f>AVERAGE(R5:R23)</f>
        <v>103955.26315789473</v>
      </c>
      <c r="S2" s="378"/>
      <c r="T2" s="378">
        <f>AVERAGE(T5:T23)</f>
        <v>13618.736842105263</v>
      </c>
      <c r="U2" s="320"/>
      <c r="V2" s="376">
        <f>(V5+V6)/2</f>
        <v>13.483333333333334</v>
      </c>
      <c r="W2" s="376">
        <f>AVERAGE(W5:W11)</f>
        <v>11.562225108225109</v>
      </c>
      <c r="X2" s="376">
        <f>AVERAGE(X12:X20)</f>
        <v>11.806960405643737</v>
      </c>
      <c r="Y2" s="376">
        <f>AVERAGE(Y12:Y14)</f>
        <v>12.828333333333333</v>
      </c>
      <c r="Z2" s="376">
        <f>AVERAGE(Z6:Z23)</f>
        <v>9.5719753086419743</v>
      </c>
      <c r="AA2" s="376">
        <f>AVERAGE(AA21:AA23)</f>
        <v>8.9823333333333348</v>
      </c>
      <c r="AB2" s="376">
        <f>AVERAGE(AB5:AB23)</f>
        <v>14.830350877192981</v>
      </c>
      <c r="AC2" s="320"/>
      <c r="AF2" s="320"/>
      <c r="AG2" s="320"/>
      <c r="AH2" s="320"/>
      <c r="AI2" s="320"/>
      <c r="AJ2" s="320"/>
      <c r="AK2" s="320"/>
      <c r="AL2" s="320"/>
    </row>
    <row r="3" spans="1:44" s="271" customFormat="1" x14ac:dyDescent="0.25">
      <c r="A3" s="325"/>
      <c r="B3" s="325" t="s">
        <v>1020</v>
      </c>
      <c r="C3" s="325"/>
      <c r="D3" s="321" t="s">
        <v>1015</v>
      </c>
      <c r="E3" s="228">
        <v>41</v>
      </c>
      <c r="F3" s="229">
        <v>101</v>
      </c>
      <c r="G3" s="287"/>
      <c r="H3" s="401">
        <v>6</v>
      </c>
      <c r="I3" s="232">
        <v>13.2</v>
      </c>
      <c r="J3" s="232"/>
      <c r="K3" s="330">
        <f>(H3)*(H3)*(I3)</f>
        <v>475.2</v>
      </c>
      <c r="L3" s="330">
        <f>(H3+1)*(H3+1)*I3</f>
        <v>646.79999999999995</v>
      </c>
      <c r="M3" s="287">
        <v>2</v>
      </c>
      <c r="N3" s="287"/>
      <c r="O3" s="287"/>
      <c r="P3" s="669"/>
      <c r="Q3" s="669"/>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783</v>
      </c>
      <c r="D4" s="328" t="s">
        <v>182</v>
      </c>
      <c r="E4" s="326" t="s">
        <v>183</v>
      </c>
      <c r="F4" s="326" t="s">
        <v>63</v>
      </c>
      <c r="G4" s="326" t="s">
        <v>185</v>
      </c>
      <c r="H4" s="326" t="s">
        <v>186</v>
      </c>
      <c r="I4" s="326" t="s">
        <v>176</v>
      </c>
      <c r="J4" s="326" t="s">
        <v>847</v>
      </c>
      <c r="K4" s="329" t="s">
        <v>784</v>
      </c>
      <c r="L4" s="329" t="s">
        <v>785</v>
      </c>
      <c r="M4" s="326" t="s">
        <v>187</v>
      </c>
      <c r="N4" s="326" t="s">
        <v>751</v>
      </c>
      <c r="O4" s="326" t="s">
        <v>725</v>
      </c>
      <c r="P4" s="526" t="s">
        <v>835</v>
      </c>
      <c r="Q4" s="526" t="s">
        <v>836</v>
      </c>
      <c r="R4" s="326" t="s">
        <v>184</v>
      </c>
      <c r="S4" s="326" t="s">
        <v>740</v>
      </c>
      <c r="T4" s="326" t="s">
        <v>212</v>
      </c>
      <c r="U4" s="326" t="s">
        <v>527</v>
      </c>
      <c r="V4" s="326" t="s">
        <v>337</v>
      </c>
      <c r="W4" s="326" t="s">
        <v>188</v>
      </c>
      <c r="X4" s="326" t="s">
        <v>189</v>
      </c>
      <c r="Y4" s="326" t="s">
        <v>190</v>
      </c>
      <c r="Z4" s="326" t="s">
        <v>191</v>
      </c>
      <c r="AA4" s="326" t="s">
        <v>192</v>
      </c>
      <c r="AB4" s="326" t="s">
        <v>185</v>
      </c>
      <c r="AC4" s="326" t="s">
        <v>554</v>
      </c>
      <c r="AD4" s="374" t="s">
        <v>987</v>
      </c>
      <c r="AE4" s="374" t="s">
        <v>988</v>
      </c>
      <c r="AF4" s="374" t="s">
        <v>997</v>
      </c>
      <c r="AG4" s="374" t="s">
        <v>998</v>
      </c>
      <c r="AH4" s="374" t="s">
        <v>602</v>
      </c>
      <c r="AI4" s="374" t="s">
        <v>603</v>
      </c>
      <c r="AJ4" s="374" t="s">
        <v>604</v>
      </c>
      <c r="AK4" s="374" t="s">
        <v>723</v>
      </c>
      <c r="AL4" s="374" t="s">
        <v>724</v>
      </c>
      <c r="AM4" s="326" t="s">
        <v>969</v>
      </c>
      <c r="AN4" s="326" t="s">
        <v>970</v>
      </c>
      <c r="AO4" s="326" t="s">
        <v>971</v>
      </c>
      <c r="AP4" s="453" t="s">
        <v>1023</v>
      </c>
    </row>
    <row r="5" spans="1:44" x14ac:dyDescent="0.25">
      <c r="A5" s="416" t="s">
        <v>443</v>
      </c>
      <c r="B5" s="416" t="s">
        <v>1</v>
      </c>
      <c r="C5" s="417">
        <f ca="1">((34*112)-(E5*112)-(F5))/112</f>
        <v>4.2053571428571432</v>
      </c>
      <c r="D5" s="712" t="s">
        <v>934</v>
      </c>
      <c r="E5" s="419">
        <v>29</v>
      </c>
      <c r="F5" s="427">
        <f ca="1">-42406+$D$1-112-112-112-112-112</f>
        <v>89</v>
      </c>
      <c r="G5" s="420"/>
      <c r="H5" s="435">
        <v>6</v>
      </c>
      <c r="I5" s="335">
        <v>18</v>
      </c>
      <c r="J5" s="522">
        <f>LOG(I5+1)*4/3</f>
        <v>1.7050048012704384</v>
      </c>
      <c r="K5" s="330">
        <f t="shared" ref="K5" si="0">(H5)*(H5)*(I5)</f>
        <v>648</v>
      </c>
      <c r="L5" s="330">
        <f t="shared" ref="L5" si="1">(H5+1)*(H5+1)*I5</f>
        <v>882</v>
      </c>
      <c r="M5" s="421">
        <v>7.7</v>
      </c>
      <c r="N5" s="480">
        <f>M5*10+19</f>
        <v>96</v>
      </c>
      <c r="O5" s="480">
        <v>6</v>
      </c>
      <c r="P5" s="536">
        <f>(O5/7)^0.5</f>
        <v>0.92582009977255142</v>
      </c>
      <c r="Q5" s="536">
        <f>IF(O5=7,1,((O5+0.99)/7)^0.5)</f>
        <v>0.99928545900129484</v>
      </c>
      <c r="R5" s="351">
        <v>93750</v>
      </c>
      <c r="S5" s="672">
        <f t="shared" ref="S5:S23" si="2">R5-AP5</f>
        <v>3090</v>
      </c>
      <c r="T5" s="351">
        <v>44520</v>
      </c>
      <c r="U5" s="343">
        <f t="shared" ref="U5:U24" si="3">R5/T5</f>
        <v>2.1057951482479784</v>
      </c>
      <c r="V5" s="521">
        <f>16+12/18</f>
        <v>16.666666666666668</v>
      </c>
      <c r="W5" s="522">
        <f>10.45+0.11+0.11+0.11+0.11+0.11+1/11+1/11*0.16+1/11+1/11+1/11+1/11+1/11+1/11</f>
        <v>11.650909090909092</v>
      </c>
      <c r="X5" s="521">
        <f>2+0.01+0.01</f>
        <v>2.0199999999999996</v>
      </c>
      <c r="Y5" s="522">
        <f>1.94+0.03+0.03+0.03+0.03+0.03+0.03</f>
        <v>2.1199999999999992</v>
      </c>
      <c r="Z5" s="521">
        <f>0.6+0.04+0.04+0.04+0.04+0.04+0.04+0.03+0.03+0.02+0.02+0.02+0.02+0.02+0.02+0.01</f>
        <v>1.0300000000000002</v>
      </c>
      <c r="AA5" s="522">
        <f>0+0.05+0.05*37/90+0.04+0.02+0.01</f>
        <v>0.14055555555555557</v>
      </c>
      <c r="AB5" s="521">
        <f>13.8+0.5+0.5+0.5+0.34+0.34+0.34+0.34+0.34+0.25+0.2+0.2+0.2</f>
        <v>17.849999999999998</v>
      </c>
      <c r="AC5" s="351">
        <v>1371</v>
      </c>
      <c r="AD5" s="643">
        <f t="shared" ref="AD5:AD23" si="4">(X5+1+J5)*(O5/7)^0.5</f>
        <v>4.3745044165379809</v>
      </c>
      <c r="AE5" s="643">
        <f t="shared" ref="AE5:AE23" si="5">(X5+1+J5)*(IF(O5=7, (O5/7)^0.5, ((O5+1)/7)^0.5))</f>
        <v>4.7250048012704378</v>
      </c>
      <c r="AF5" s="343">
        <f>(((W5+1.5+J5)+(Z5+1.5+J5)*2)/8)*(O5/7)^0.5</f>
        <v>2.6994511021461185</v>
      </c>
      <c r="AG5" s="343">
        <f>(1.66*(AA5+J5+1.5)+0.55*(AB5+J5+1.5)-7.6)*(O5/7)^0.5</f>
        <v>8.8266603556955481</v>
      </c>
      <c r="AH5" s="343">
        <f>(AB5*0.7+AA5*0.3)*(O5/7)^0.5</f>
        <v>11.607160894198437</v>
      </c>
      <c r="AI5" s="343">
        <f t="shared" ref="AI5:AI23" si="6">(0.5*(AA5+1.5+J5)+ 0.3*(AB5+1.5+J5))/10</f>
        <v>0.79892816187941273</v>
      </c>
      <c r="AJ5" s="343">
        <f t="shared" ref="AJ5:AJ23" si="7">(0.4*(W5+1.5+J5)+0.3*(AB5+1.5+J5))/10</f>
        <v>1.2258866997252944</v>
      </c>
      <c r="AK5" s="338">
        <f t="shared" ref="AK5:AK23" si="8">(AB5+1+(LOG(I5)*4/3))*(O5/7)^0.5</f>
        <v>19.001250901934569</v>
      </c>
      <c r="AL5" s="338">
        <f t="shared" ref="AL5:AL23" si="9">(AB5+1+(LOG(I5)*4/3))*(IF(O5=7, (O5/7)^0.5, ((O5+1)/7)^0.5))</f>
        <v>20.523696673471072</v>
      </c>
      <c r="AM5" s="480">
        <v>2</v>
      </c>
      <c r="AN5" s="480">
        <v>2</v>
      </c>
      <c r="AO5" s="630">
        <f>IF(AM5=4,IF(AN5=0,0.137+0.0697,0.137+0.02),IF(AM5=3,IF(AN5=0,0.0958+0.0697,0.0958+0.02),IF(AM5=2,IF(AN5=0,0.0415+0.0697,0.0415+0.02),IF(AM5=1,IF(AN5=0,0.0294+0.0697,0.0294+0.02),IF(AM5=0,IF(AN5=0,0.0063+0.0697,0.0063+0.02))))))</f>
        <v>6.1499999999999999E-2</v>
      </c>
      <c r="AP5">
        <v>90660</v>
      </c>
      <c r="AQ5">
        <f>AP5</f>
        <v>90660</v>
      </c>
      <c r="AR5" s="422">
        <f>AQ5-R5</f>
        <v>-3090</v>
      </c>
    </row>
    <row r="6" spans="1:44" s="288" customFormat="1" x14ac:dyDescent="0.25">
      <c r="A6" s="416" t="s">
        <v>577</v>
      </c>
      <c r="B6" s="416" t="s">
        <v>1</v>
      </c>
      <c r="C6" s="417">
        <f t="shared" ref="C6:C23" ca="1" si="10">((34*112)-(E6*112)-(F6))/112</f>
        <v>0.125</v>
      </c>
      <c r="D6" s="712" t="s">
        <v>307</v>
      </c>
      <c r="E6" s="419">
        <v>33</v>
      </c>
      <c r="F6" s="427">
        <f ca="1">82-41471+$D$1-112-112-112-112-112-112-112-112-112-112-112-112-112-112</f>
        <v>98</v>
      </c>
      <c r="G6" s="420" t="s">
        <v>595</v>
      </c>
      <c r="H6" s="401">
        <v>3</v>
      </c>
      <c r="I6" s="335">
        <v>7.8</v>
      </c>
      <c r="J6" s="522">
        <f t="shared" ref="J6:J23" si="11">LOG(I6+1)*4/3</f>
        <v>1.2593102295335583</v>
      </c>
      <c r="K6" s="330">
        <f t="shared" ref="K6:K23" si="12">(H6)*(H6)*(I6)</f>
        <v>70.2</v>
      </c>
      <c r="L6" s="330">
        <f t="shared" ref="L6:L23" si="13">(H6+1)*(H6+1)*I6</f>
        <v>124.8</v>
      </c>
      <c r="M6" s="421">
        <v>5.2</v>
      </c>
      <c r="N6" s="480">
        <f t="shared" ref="N6:N23" si="14">M6*10+19</f>
        <v>71</v>
      </c>
      <c r="O6" s="480">
        <v>5</v>
      </c>
      <c r="P6" s="536">
        <f t="shared" ref="P6:P23" si="15">(O6/7)^0.5</f>
        <v>0.84515425472851657</v>
      </c>
      <c r="Q6" s="536">
        <f t="shared" ref="Q6:Q23" si="16">IF(O6=7,1,((O6+0.99)/7)^0.5)</f>
        <v>0.92504826128926143</v>
      </c>
      <c r="R6" s="351">
        <v>3760</v>
      </c>
      <c r="S6" s="672">
        <f t="shared" si="2"/>
        <v>-20</v>
      </c>
      <c r="T6" s="351">
        <v>3600</v>
      </c>
      <c r="U6" s="343">
        <f t="shared" si="3"/>
        <v>1.0444444444444445</v>
      </c>
      <c r="V6" s="521">
        <v>10.3</v>
      </c>
      <c r="W6" s="522">
        <f>9.5+0.13+0.13/2+0.13+0.13+0.13+0.13+0.13+0.12+0.12+0.02+0.02+0.02+0.02+0.02+0.02+0.02+0.02+0.02+0.01+0.01+0.01</f>
        <v>10.794999999999998</v>
      </c>
      <c r="X6" s="521">
        <f>4.2+0.04+0.04+0.04+0.03+0.03+0.03+0.03+0.03+0.03+0.03+0.03+0.02+0.02+0.01</f>
        <v>4.6100000000000012</v>
      </c>
      <c r="Y6" s="522">
        <v>4.99</v>
      </c>
      <c r="Z6" s="521">
        <f>4.99+0.05+0.32+0.32+0.32+0.05+0.16+0.05+0.03+0.25*31/90+0.03+0.02+0.02+0.01+0.01+0.01+0.15*29/90+0.01+0.01</f>
        <v>6.5444444444444434</v>
      </c>
      <c r="AA6" s="522">
        <v>3.99</v>
      </c>
      <c r="AB6" s="521">
        <f>11.8+0.67+0.5*1.25+0.35+0.35+0.35+0.35*8/90+0.35*80/90+0.35+0.35*75/90+0.35+0.3</f>
        <v>15.778888888888888</v>
      </c>
      <c r="AC6" s="351">
        <v>1166</v>
      </c>
      <c r="AD6" s="643">
        <f t="shared" si="4"/>
        <v>5.805626767540411</v>
      </c>
      <c r="AE6" s="643">
        <f t="shared" si="5"/>
        <v>6.3597454820753683</v>
      </c>
      <c r="AF6" s="343">
        <f t="shared" ref="AF6:AF23" si="17">(((W6+1.5+J6)+(Z6+1.5+J6)*2)/8)*(O6/7)^0.5</f>
        <v>3.3977123319657752</v>
      </c>
      <c r="AG6" s="343">
        <f t="shared" ref="AG6:AG23" si="18">(1.66*(AA6+J6+1.5)+0.55*(AB6+J6+1.5)-7.6)*(O6/7)^0.5</f>
        <v>11.663014193604974</v>
      </c>
      <c r="AH6" s="343">
        <f t="shared" ref="AH6:AH23" si="19">(AB6*0.7+AA6*0.3)*(O6/7)^0.5</f>
        <v>10.346566198443105</v>
      </c>
      <c r="AI6" s="343">
        <f t="shared" si="6"/>
        <v>0.89361148502935117</v>
      </c>
      <c r="AJ6" s="343">
        <f t="shared" si="7"/>
        <v>1.0983183827340155</v>
      </c>
      <c r="AK6" s="338">
        <f t="shared" si="8"/>
        <v>15.186026066173746</v>
      </c>
      <c r="AL6" s="338">
        <f t="shared" si="9"/>
        <v>16.635458070609602</v>
      </c>
      <c r="AM6" s="480">
        <v>4</v>
      </c>
      <c r="AN6" s="480">
        <v>3</v>
      </c>
      <c r="AO6" s="630">
        <f t="shared" ref="AO6:AO23" si="20">IF(AM6=4,IF(AN6=0,0.137+0.0697,0.137+0.02),IF(AM6=3,IF(AN6=0,0.0958+0.0697,0.0958+0.02),IF(AM6=2,IF(AN6=0,0.0415+0.0697,0.0415+0.02),IF(AM6=1,IF(AN6=0,0.0294+0.0697,0.0294+0.02),IF(AM6=0,IF(AN6=0,0.0063+0.0697,0.0063+0.02))))))</f>
        <v>0.157</v>
      </c>
      <c r="AP6" s="288">
        <v>3780</v>
      </c>
      <c r="AQ6">
        <f t="shared" ref="AQ6:AQ23" si="21">AP6</f>
        <v>3780</v>
      </c>
      <c r="AR6" s="422">
        <f t="shared" ref="AR6:AR22" si="22">AQ6-R6</f>
        <v>20</v>
      </c>
    </row>
    <row r="7" spans="1:44" s="266" customFormat="1" x14ac:dyDescent="0.25">
      <c r="A7" s="416" t="s">
        <v>717</v>
      </c>
      <c r="B7" s="416" t="s">
        <v>2</v>
      </c>
      <c r="C7" s="417">
        <f t="shared" ca="1" si="10"/>
        <v>4.0982142857142856</v>
      </c>
      <c r="D7" s="712" t="s">
        <v>1027</v>
      </c>
      <c r="E7" s="419">
        <v>29</v>
      </c>
      <c r="F7" s="427">
        <f ca="1">82-41471+$D$1-112-112-112-112-112-112-112-112-112-112-112+3-112-112-112</f>
        <v>101</v>
      </c>
      <c r="G7" s="420" t="s">
        <v>595</v>
      </c>
      <c r="H7" s="426">
        <v>2</v>
      </c>
      <c r="I7" s="335">
        <v>14</v>
      </c>
      <c r="J7" s="522">
        <f t="shared" si="11"/>
        <v>1.5681216787409085</v>
      </c>
      <c r="K7" s="330">
        <f>(H7)*(H7)*(I7)</f>
        <v>56</v>
      </c>
      <c r="L7" s="330">
        <f>(H7+1)*(H7+1)*I7</f>
        <v>126</v>
      </c>
      <c r="M7" s="421">
        <v>7.7</v>
      </c>
      <c r="N7" s="480">
        <f>M7*10+19</f>
        <v>96</v>
      </c>
      <c r="O7" s="480">
        <v>6</v>
      </c>
      <c r="P7" s="536">
        <f>(O7/7)^0.5</f>
        <v>0.92582009977255142</v>
      </c>
      <c r="Q7" s="536">
        <f>IF(O7=7,1,((O7+0.99)/7)^0.5)</f>
        <v>0.99928545900129484</v>
      </c>
      <c r="R7" s="351">
        <v>292890</v>
      </c>
      <c r="S7" s="672">
        <f t="shared" si="2"/>
        <v>9690</v>
      </c>
      <c r="T7" s="351">
        <v>32508</v>
      </c>
      <c r="U7" s="343">
        <f>R7/T7</f>
        <v>9.0097822074566256</v>
      </c>
      <c r="V7" s="521">
        <v>0</v>
      </c>
      <c r="W7" s="522">
        <f>14+1/20+1/20+1/20+1/20</f>
        <v>14.200000000000003</v>
      </c>
      <c r="X7" s="521">
        <f>9+1/9*0.5+1/9*0.16+0.1*0.5+0.1*0.5+0.1*0.5+0.01+0.1*0.5</f>
        <v>9.283333333333335</v>
      </c>
      <c r="Y7" s="522">
        <f>14+1/12*0.5+1/12*0.5+1/12*0.5+1/12*0.5+1/12*0.5+1/12*0.5</f>
        <v>14.249999999999996</v>
      </c>
      <c r="Z7" s="521">
        <f>8.45+0.15+0.15+0.02+0.12+0.12+0.11+0.01+0.08+0.07+0.07</f>
        <v>9.3499999999999979</v>
      </c>
      <c r="AA7" s="522">
        <f>1+1/7</f>
        <v>1.1428571428571428</v>
      </c>
      <c r="AB7" s="521">
        <f>9+0.4</f>
        <v>9.4</v>
      </c>
      <c r="AC7" s="351">
        <v>1902</v>
      </c>
      <c r="AD7" s="643">
        <f t="shared" si="4"/>
        <v>10.972315261728481</v>
      </c>
      <c r="AE7" s="643">
        <f t="shared" si="5"/>
        <v>11.851455012074243</v>
      </c>
      <c r="AF7" s="343">
        <f t="shared" si="17"/>
        <v>4.8726334298369558</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80">
        <v>1</v>
      </c>
      <c r="AN7" s="480">
        <v>2</v>
      </c>
      <c r="AO7" s="630">
        <f>IF(AM7=4,IF(AN7=0,0.137+0.0697,0.137+0.02),IF(AM7=3,IF(AN7=0,0.0958+0.0697,0.0958+0.02),IF(AM7=2,IF(AN7=0,0.0415+0.0697,0.0415+0.02),IF(AM7=1,IF(AN7=0,0.0294+0.0697,0.0294+0.02),IF(AM7=0,IF(AN7=0,0.0063+0.0697,0.0063+0.02))))))</f>
        <v>4.9399999999999999E-2</v>
      </c>
      <c r="AP7" s="266">
        <v>283200</v>
      </c>
      <c r="AQ7">
        <f t="shared" si="21"/>
        <v>283200</v>
      </c>
      <c r="AR7" s="422">
        <f t="shared" si="22"/>
        <v>-9690</v>
      </c>
    </row>
    <row r="8" spans="1:44" s="272" customFormat="1" x14ac:dyDescent="0.25">
      <c r="A8" s="332" t="s">
        <v>452</v>
      </c>
      <c r="B8" s="285" t="s">
        <v>2</v>
      </c>
      <c r="C8" s="417">
        <f t="shared" ca="1" si="10"/>
        <v>2.6964285714285716</v>
      </c>
      <c r="D8" s="713" t="s">
        <v>315</v>
      </c>
      <c r="E8" s="228">
        <v>31</v>
      </c>
      <c r="F8" s="229">
        <f ca="1">18-41471+$D$1-112-112-112-112-112-112-112-112-112-112-112-112-112-112</f>
        <v>34</v>
      </c>
      <c r="G8" s="287" t="s">
        <v>595</v>
      </c>
      <c r="H8" s="426">
        <v>4</v>
      </c>
      <c r="I8" s="232">
        <v>7.5</v>
      </c>
      <c r="J8" s="522">
        <f t="shared" si="11"/>
        <v>1.2392252342857237</v>
      </c>
      <c r="K8" s="330">
        <f t="shared" si="12"/>
        <v>120</v>
      </c>
      <c r="L8" s="330">
        <f t="shared" si="13"/>
        <v>187.5</v>
      </c>
      <c r="M8" s="323">
        <v>6.6</v>
      </c>
      <c r="N8" s="480">
        <f t="shared" si="14"/>
        <v>85</v>
      </c>
      <c r="O8" s="481">
        <v>5</v>
      </c>
      <c r="P8" s="536">
        <f t="shared" si="15"/>
        <v>0.84515425472851657</v>
      </c>
      <c r="Q8" s="536">
        <f t="shared" si="16"/>
        <v>0.92504826128926143</v>
      </c>
      <c r="R8" s="673">
        <v>17330</v>
      </c>
      <c r="S8" s="672">
        <f t="shared" si="2"/>
        <v>1550</v>
      </c>
      <c r="T8" s="673">
        <v>3510</v>
      </c>
      <c r="U8" s="343">
        <f t="shared" si="3"/>
        <v>4.9373219373219372</v>
      </c>
      <c r="V8" s="521">
        <v>0</v>
      </c>
      <c r="W8" s="522">
        <v>11</v>
      </c>
      <c r="X8" s="521">
        <f>4.61+0.04+0.04+0.04+0.04+0.25+0.14+0.13+0.13+0.12+0.12+0.12+0.04*55/90+0.025+0.13+0.02+0.02+0.02+0.02+0.02+0.01+0.01+0.01+0.12*0.5+0.01</f>
        <v>6.1594444444444418</v>
      </c>
      <c r="Y8" s="522">
        <v>5.98</v>
      </c>
      <c r="Z8" s="521">
        <f>3.88+0.33+(0.33/3)+(0.33/3)+0.31+0.31+0.04+0.3+0.28+0.28+0.28+0.25+0.25+0.2+0.15+0.15+0.02+0.12+0.12+0.11+0.11*35/90+0.08</f>
        <v>7.7227777777777789</v>
      </c>
      <c r="AA8" s="522">
        <f>3.82+0.06+0.06+0.06+0.06*80/90+0.06+0.05+0.05+0.05+0.02+0.2*0.5</f>
        <v>4.383333333333332</v>
      </c>
      <c r="AB8" s="521">
        <f>8.7+0.75+0.75+0.75+0.6+0.5+0.5+0.45*10/90+0.35+0.35+0.35+0.35+0.35+0.3+0.25+0.25+0.2</f>
        <v>15.349999999999998</v>
      </c>
      <c r="AC8" s="351">
        <v>1155</v>
      </c>
      <c r="AD8" s="643">
        <f t="shared" si="4"/>
        <v>7.098171413038183</v>
      </c>
      <c r="AE8" s="643">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81">
        <v>2</v>
      </c>
      <c r="AN8" s="481">
        <v>3</v>
      </c>
      <c r="AO8" s="630">
        <f t="shared" si="20"/>
        <v>6.1499999999999999E-2</v>
      </c>
      <c r="AP8" s="272">
        <v>15780</v>
      </c>
      <c r="AQ8">
        <f t="shared" si="21"/>
        <v>15780</v>
      </c>
      <c r="AR8" s="422">
        <f t="shared" si="22"/>
        <v>-1550</v>
      </c>
    </row>
    <row r="9" spans="1:44" s="264" customFormat="1" x14ac:dyDescent="0.25">
      <c r="A9" s="416" t="s">
        <v>597</v>
      </c>
      <c r="B9" s="416" t="s">
        <v>2</v>
      </c>
      <c r="C9" s="417">
        <f t="shared" ca="1" si="10"/>
        <v>3.1071428571428572</v>
      </c>
      <c r="D9" s="712" t="s">
        <v>309</v>
      </c>
      <c r="E9" s="419">
        <v>30</v>
      </c>
      <c r="F9" s="427">
        <f ca="1">84-41471+$D$1-112-112-112-112-112-112-112-112-112-112-112-112-112-112</f>
        <v>100</v>
      </c>
      <c r="G9" s="420"/>
      <c r="H9" s="426">
        <v>4</v>
      </c>
      <c r="I9" s="335">
        <v>12.1</v>
      </c>
      <c r="J9" s="522">
        <f t="shared" si="11"/>
        <v>1.4896950608743522</v>
      </c>
      <c r="K9" s="330">
        <f t="shared" si="12"/>
        <v>193.6</v>
      </c>
      <c r="L9" s="330">
        <f t="shared" si="13"/>
        <v>302.5</v>
      </c>
      <c r="M9" s="421">
        <v>7.3</v>
      </c>
      <c r="N9" s="480">
        <f t="shared" si="14"/>
        <v>92</v>
      </c>
      <c r="O9" s="480">
        <v>6</v>
      </c>
      <c r="P9" s="536">
        <f t="shared" si="15"/>
        <v>0.92582009977255142</v>
      </c>
      <c r="Q9" s="536">
        <f t="shared" si="16"/>
        <v>0.99928545900129484</v>
      </c>
      <c r="R9" s="351">
        <v>146290</v>
      </c>
      <c r="S9" s="672">
        <f t="shared" si="2"/>
        <v>-7110</v>
      </c>
      <c r="T9" s="351">
        <v>14490</v>
      </c>
      <c r="U9" s="343">
        <f t="shared" si="3"/>
        <v>10.095928226363009</v>
      </c>
      <c r="V9" s="521">
        <v>0</v>
      </c>
      <c r="W9" s="522">
        <f>9.9+0.14+0.14+0.14+0.14+0.13+0.13+0.13+0.12+0.12+0.09+0.09+0.09+0.09+0.08+0.08+0.08+0.08+0.08+0.07+0.07+0.07</f>
        <v>12.060000000000004</v>
      </c>
      <c r="X9" s="521">
        <f>10.72+0.15+0.15+0.15+0.14+0.14+0.11+0.11+0.11+0.11+0.11+0.11+0.11+0.11*0.5+0.11*0.5+0.11*0.5+0.1+0.1*0.5+0.1*0.5+0.1*0.5+0.1*0.16+0.09+0.08+0.08+0.08*0.5+0.08</f>
        <v>13.020999999999999</v>
      </c>
      <c r="Y9" s="522">
        <f>8.8+0.14+0.14+0.14+0.13+0.12*0.5+0.12*0.5+0.12*0.5+0.12*0.5+0.12*0.5+0.12*0.5</f>
        <v>9.7100000000000062</v>
      </c>
      <c r="Z9" s="521">
        <f>4.57+0.36+0.36+0.36+0.36+0.25+0.25+0.25+0.25+0.25+0.25+0.25+0.25+0.2+0.2+0.15+0.15+0.14+0.12+0.12+0.11+0.11+0.08+0.07+0.07</f>
        <v>9.5299999999999994</v>
      </c>
      <c r="AA9" s="522">
        <f>3+0.07+0.07+0.07+0.07+0.07+0.05+0.05+0.05+0.2*48/90+0.15*0.5</f>
        <v>3.6816666666666658</v>
      </c>
      <c r="AB9" s="521">
        <f>10.7+0.5+0.5*77/90+0.5+0.45+0.45+0.45+0.35+0.35+0.3+0.35+0.3+0.3+0.3+0.25+0.25+0.2+0.2</f>
        <v>16.627777777777773</v>
      </c>
      <c r="AC9" s="351">
        <v>1858</v>
      </c>
      <c r="AD9" s="643">
        <f t="shared" si="4"/>
        <v>14.360113248800312</v>
      </c>
      <c r="AE9" s="643">
        <f t="shared" si="5"/>
        <v>15.510695060874351</v>
      </c>
      <c r="AF9" s="343">
        <f t="shared" si="17"/>
        <v>4.6394101054457995</v>
      </c>
      <c r="AG9" s="343">
        <f t="shared" si="18"/>
        <v>13.205963200299976</v>
      </c>
      <c r="AH9" s="343">
        <f t="shared" si="19"/>
        <v>11.798599917051403</v>
      </c>
      <c r="AI9" s="343">
        <f t="shared" si="6"/>
        <v>0.92209227153661466</v>
      </c>
      <c r="AJ9" s="343">
        <f t="shared" si="7"/>
        <v>1.190511987594538</v>
      </c>
      <c r="AK9" s="338">
        <f t="shared" si="8"/>
        <v>17.656770260428765</v>
      </c>
      <c r="AL9" s="338">
        <f t="shared" si="9"/>
        <v>19.071491604866374</v>
      </c>
      <c r="AM9" s="480">
        <v>2</v>
      </c>
      <c r="AN9" s="480">
        <v>3</v>
      </c>
      <c r="AO9" s="630">
        <f t="shared" si="20"/>
        <v>6.1499999999999999E-2</v>
      </c>
      <c r="AP9" s="264">
        <v>153400</v>
      </c>
      <c r="AQ9">
        <f t="shared" si="21"/>
        <v>153400</v>
      </c>
      <c r="AR9" s="422">
        <f t="shared" si="22"/>
        <v>7110</v>
      </c>
    </row>
    <row r="10" spans="1:44" s="265" customFormat="1" x14ac:dyDescent="0.25">
      <c r="A10" s="416" t="s">
        <v>445</v>
      </c>
      <c r="B10" s="285" t="s">
        <v>2</v>
      </c>
      <c r="C10" s="417">
        <f t="shared" ca="1" si="10"/>
        <v>3.2410714285714284</v>
      </c>
      <c r="D10" s="713" t="s">
        <v>313</v>
      </c>
      <c r="E10" s="228">
        <v>30</v>
      </c>
      <c r="F10" s="229">
        <f ca="1">69-41471+$D$1-112-112-112-112-112-112-112-112-112-112-112-112-112-112</f>
        <v>85</v>
      </c>
      <c r="G10" s="287"/>
      <c r="H10" s="401">
        <v>3</v>
      </c>
      <c r="I10" s="232">
        <v>9.1999999999999993</v>
      </c>
      <c r="J10" s="522">
        <f t="shared" si="11"/>
        <v>1.34480022901589</v>
      </c>
      <c r="K10" s="330">
        <f t="shared" si="12"/>
        <v>82.8</v>
      </c>
      <c r="L10" s="330">
        <f t="shared" si="13"/>
        <v>147.19999999999999</v>
      </c>
      <c r="M10" s="323">
        <v>7</v>
      </c>
      <c r="N10" s="480">
        <f t="shared" si="14"/>
        <v>89</v>
      </c>
      <c r="O10" s="481">
        <v>5</v>
      </c>
      <c r="P10" s="536">
        <f t="shared" si="15"/>
        <v>0.84515425472851657</v>
      </c>
      <c r="Q10" s="536">
        <f t="shared" si="16"/>
        <v>0.92504826128926143</v>
      </c>
      <c r="R10" s="351">
        <v>44550</v>
      </c>
      <c r="S10" s="672">
        <f t="shared" si="2"/>
        <v>-870</v>
      </c>
      <c r="T10" s="673">
        <v>5870</v>
      </c>
      <c r="U10" s="343">
        <f t="shared" si="3"/>
        <v>7.5894378194207839</v>
      </c>
      <c r="V10" s="521">
        <v>0</v>
      </c>
      <c r="W10" s="522">
        <f>9+0.15+0.15+0.15+0.15+0.15+0.15+0.15+0.15+0.15+0.12+0.12+0.12+0.12+0.12+0.1+0.1+0.1+0.1+0.1+0.1+0.1</f>
        <v>11.649999999999997</v>
      </c>
      <c r="X10" s="521">
        <f>5.75+0.04+0.04+(0.04/90*75)+(0.25*15/90)+0.03+0.03+(0.03*20/90)+0.03+0.03+(0.22*0.5*30/90)+(0.22/16*60/90)+0.03+0.03+0.22*0.5+0.2*0.5+0.03+0.22*0.5+0.03+0.03+0.03+0.01+0.01+0.01+0.01+0.01</f>
        <v>6.6275000000000022</v>
      </c>
      <c r="Y10" s="522">
        <f>6.18+0.2+0.2+0.2+0.15*0.5+0.15*0.5+0.15*0.5+0.15*0.5+0.14*0.5+0.14*0.5</f>
        <v>7.2200000000000015</v>
      </c>
      <c r="Z10" s="521">
        <f>4.3+0.35+0.35+0.35+0.33+0.32+0.3+0.27+0.27+0.26+0.2+0.2+0.2+0.2+0.15+0.15+0.14+0.12+0.12+0.11+0.11+0.08+0.07+0.07</f>
        <v>9.0199999999999978</v>
      </c>
      <c r="AA10" s="522">
        <f>4.06+0.06+0.06+0.06+0.06+0.06*75/90+0.05+0.05+0.05+0.02+0.2*0.5</f>
        <v>4.6199999999999966</v>
      </c>
      <c r="AB10" s="521">
        <f>8.4+0.67+0.67+0.67+0.67+0.67+0.5+0.45+0.35+0.35+0.35+0.3+0.3+0.3+0.25+0.25+0.25+0.2</f>
        <v>15.6</v>
      </c>
      <c r="AC10" s="351">
        <v>1268</v>
      </c>
      <c r="AD10" s="643">
        <f t="shared" si="4"/>
        <v>7.5829777132544258</v>
      </c>
      <c r="AE10" s="643">
        <f t="shared" si="5"/>
        <v>8.3067358932167803</v>
      </c>
      <c r="AF10" s="343">
        <f t="shared" si="17"/>
        <v>4.0381893593882454</v>
      </c>
      <c r="AG10" s="343">
        <f t="shared" si="18"/>
        <v>12.623400168463897</v>
      </c>
      <c r="AH10" s="343">
        <f t="shared" si="19"/>
        <v>10.400468258689124</v>
      </c>
      <c r="AI10" s="343">
        <f t="shared" si="6"/>
        <v>0.92658401832127102</v>
      </c>
      <c r="AJ10" s="343">
        <f t="shared" si="7"/>
        <v>1.1331360160311121</v>
      </c>
      <c r="AK10" s="338">
        <f t="shared" si="8"/>
        <v>15.115626472408907</v>
      </c>
      <c r="AL10" s="338">
        <f t="shared" si="9"/>
        <v>16.558339179521198</v>
      </c>
      <c r="AM10" s="481">
        <v>3</v>
      </c>
      <c r="AN10" s="481">
        <v>2</v>
      </c>
      <c r="AO10" s="630">
        <f t="shared" si="20"/>
        <v>0.1158</v>
      </c>
      <c r="AP10" s="265">
        <v>45420</v>
      </c>
      <c r="AQ10">
        <f t="shared" si="21"/>
        <v>45420</v>
      </c>
      <c r="AR10" s="422">
        <f t="shared" si="22"/>
        <v>870</v>
      </c>
    </row>
    <row r="11" spans="1:44" s="289" customFormat="1" x14ac:dyDescent="0.25">
      <c r="A11" s="331" t="s">
        <v>588</v>
      </c>
      <c r="B11" s="285" t="s">
        <v>2</v>
      </c>
      <c r="C11" s="417">
        <f t="shared" ca="1" si="10"/>
        <v>7.0357142857142856</v>
      </c>
      <c r="D11" s="713" t="s">
        <v>702</v>
      </c>
      <c r="E11" s="228">
        <v>26</v>
      </c>
      <c r="F11" s="229">
        <f ca="1">75-41471+$D$1-24-112-10-112-112+6-112-112-112+45-112-112-112-112-112-112-112-112</f>
        <v>108</v>
      </c>
      <c r="G11" s="287"/>
      <c r="H11" s="426">
        <v>4</v>
      </c>
      <c r="I11" s="232">
        <v>4.9000000000000004</v>
      </c>
      <c r="J11" s="522">
        <f t="shared" si="11"/>
        <v>1.0278026821895256</v>
      </c>
      <c r="K11" s="330">
        <f t="shared" si="12"/>
        <v>78.400000000000006</v>
      </c>
      <c r="L11" s="330">
        <f t="shared" si="13"/>
        <v>122.50000000000001</v>
      </c>
      <c r="M11" s="323">
        <v>7</v>
      </c>
      <c r="N11" s="480">
        <f t="shared" si="14"/>
        <v>89</v>
      </c>
      <c r="O11" s="481">
        <v>4</v>
      </c>
      <c r="P11" s="536">
        <f t="shared" si="15"/>
        <v>0.7559289460184544</v>
      </c>
      <c r="Q11" s="536">
        <f t="shared" si="16"/>
        <v>0.84430867747355465</v>
      </c>
      <c r="R11" s="673">
        <v>30980</v>
      </c>
      <c r="S11" s="672">
        <f t="shared" si="2"/>
        <v>4120</v>
      </c>
      <c r="T11" s="673">
        <v>2450</v>
      </c>
      <c r="U11" s="343">
        <f t="shared" si="3"/>
        <v>12.644897959183673</v>
      </c>
      <c r="V11" s="521">
        <v>0</v>
      </c>
      <c r="W11" s="522">
        <f>6.51+0.25+0.25+0.25+0.2+0.2+0.2+0.2+0.19+0.19+0.17+0.16+0.16+0.03+0.16+0.15*33/90+0.14+0.13+0.13*36/90+0.02+0.12*32/90+0.02</f>
        <v>9.5796666666666663</v>
      </c>
      <c r="X11" s="521">
        <f>6.92+0.04+0.04+0.04+0.13+0.04+0.03+0.03+(0.25*30/90*0.5)+(0.25*60/90*0.16)+0.03+0.03+0.25*0.5*1/90+0.026+0.03+0.03+0.03+0.03+0.25*0.5+0.02+0.02</f>
        <v>7.7107222222222234</v>
      </c>
      <c r="Y11" s="522">
        <f>5.8+0.05+0.05+0.05+0.05+0.04+0.04+0.03+0.02</f>
        <v>6.129999999999999</v>
      </c>
      <c r="Z11" s="521">
        <f>4.28+(0.4/3)+0.4+0.4+0.35+0.35+0.35+0.35+0.3+0.3+0.25+0.25+0.25+0.2+0.04+0.17+0.16+0.03+0.15+0.13+0.02</f>
        <v>8.8633333333333315</v>
      </c>
      <c r="AA11" s="522">
        <f>2.7+0.08+0.08+0.08+0.08+0.08+0.06+0.06+0.06*10/90+0.03</f>
        <v>3.2566666666666673</v>
      </c>
      <c r="AB11" s="521">
        <f>9+1*5/90+0.85+0.85*30/90+0.65+0.55+0.5+0.4+0.35+0.35+0.25</f>
        <v>13.238888888888889</v>
      </c>
      <c r="AC11" s="351">
        <v>1011</v>
      </c>
      <c r="AD11" s="643">
        <f t="shared" si="4"/>
        <v>7.3616328667664428</v>
      </c>
      <c r="AE11" s="643">
        <f t="shared" si="5"/>
        <v>8.2305557577432094</v>
      </c>
      <c r="AF11" s="343">
        <f t="shared" si="17"/>
        <v>3.2967706785207129</v>
      </c>
      <c r="AG11" s="343">
        <f t="shared" si="18"/>
        <v>8.0687095862380751</v>
      </c>
      <c r="AH11" s="343">
        <f t="shared" si="19"/>
        <v>7.7439041072232726</v>
      </c>
      <c r="AI11" s="343">
        <f t="shared" si="6"/>
        <v>0.7622242145751621</v>
      </c>
      <c r="AJ11" s="343">
        <f t="shared" si="7"/>
        <v>0.9572995210866001</v>
      </c>
      <c r="AK11" s="338">
        <f t="shared" si="8"/>
        <v>11.459240530681024</v>
      </c>
      <c r="AL11" s="338">
        <f t="shared" si="9"/>
        <v>12.811820398561768</v>
      </c>
      <c r="AM11" s="481">
        <v>3</v>
      </c>
      <c r="AN11" s="481">
        <v>2</v>
      </c>
      <c r="AO11" s="630">
        <f t="shared" si="20"/>
        <v>0.1158</v>
      </c>
      <c r="AP11" s="289">
        <v>26860</v>
      </c>
      <c r="AQ11">
        <f t="shared" si="21"/>
        <v>26860</v>
      </c>
      <c r="AR11" s="422">
        <f t="shared" si="22"/>
        <v>-4120</v>
      </c>
    </row>
    <row r="12" spans="1:44" s="289" customFormat="1" x14ac:dyDescent="0.25">
      <c r="A12" s="416" t="s">
        <v>448</v>
      </c>
      <c r="B12" s="416" t="s">
        <v>66</v>
      </c>
      <c r="C12" s="417">
        <f t="shared" ca="1" si="10"/>
        <v>3.4464285714285716</v>
      </c>
      <c r="D12" s="712" t="s">
        <v>986</v>
      </c>
      <c r="E12" s="419">
        <v>30</v>
      </c>
      <c r="F12" s="229">
        <f ca="1">46-41471+$D$1-112-112-112-112-112-112-112-112-112-112-112-112-112-112</f>
        <v>62</v>
      </c>
      <c r="G12" s="420" t="s">
        <v>311</v>
      </c>
      <c r="H12" s="401">
        <v>0</v>
      </c>
      <c r="I12" s="335">
        <v>12.2</v>
      </c>
      <c r="J12" s="522">
        <f t="shared" si="11"/>
        <v>1.4940985749411331</v>
      </c>
      <c r="K12" s="330">
        <f t="shared" si="12"/>
        <v>0</v>
      </c>
      <c r="L12" s="330">
        <f t="shared" si="13"/>
        <v>12.2</v>
      </c>
      <c r="M12" s="421">
        <v>7.4</v>
      </c>
      <c r="N12" s="480">
        <f t="shared" si="14"/>
        <v>93</v>
      </c>
      <c r="O12" s="480">
        <v>4</v>
      </c>
      <c r="P12" s="536">
        <f t="shared" si="15"/>
        <v>0.7559289460184544</v>
      </c>
      <c r="Q12" s="536">
        <f t="shared" si="16"/>
        <v>0.84430867747355465</v>
      </c>
      <c r="R12" s="351">
        <v>205260</v>
      </c>
      <c r="S12" s="672">
        <f t="shared" si="2"/>
        <v>-6600</v>
      </c>
      <c r="T12" s="351">
        <v>15530</v>
      </c>
      <c r="U12" s="343">
        <f t="shared" si="3"/>
        <v>13.216999356084997</v>
      </c>
      <c r="V12" s="521">
        <v>0</v>
      </c>
      <c r="W12" s="522">
        <v>11.99</v>
      </c>
      <c r="X12" s="521">
        <f>9.9+0.17+(0.17/90*26)+0.17+0.15+0.15+0.15+0.13+0.13+(1/8)+0.13+0.13+0.13*0.5+0.11+0.11+0.11*0.5+0.11*0.5+0.1*0.5+0.1*0.5+0.1+0.1+0.1*0.5+0.09+0.09*0.5+0.09*0.5+0.09*0.5+0.09*0.5</f>
        <v>12.399111111111115</v>
      </c>
      <c r="Y12" s="522">
        <v>13.05</v>
      </c>
      <c r="Z12" s="521">
        <f>10.7+0.07+0.07</f>
        <v>10.84</v>
      </c>
      <c r="AA12" s="522">
        <f>5.71+0.29+0.29+0.29+0.25+0.25+0.2+0.2+0.2+0.015+0.15*0.5</f>
        <v>7.7700000000000005</v>
      </c>
      <c r="AB12" s="521">
        <f>10.8+0.67+0.55+0.55+0.45+0.45+0.4+0.4+0.35+0.35+0.33+0.33+0.3+0.3+0.25+0.25+0.2+0.2</f>
        <v>17.13</v>
      </c>
      <c r="AC12" s="351">
        <v>2108</v>
      </c>
      <c r="AD12" s="643">
        <f t="shared" si="4"/>
        <v>11.258208300809311</v>
      </c>
      <c r="AE12" s="643">
        <f t="shared" si="5"/>
        <v>12.587059532731013</v>
      </c>
      <c r="AF12" s="343">
        <f t="shared" si="17"/>
        <v>4.0302631190666478</v>
      </c>
      <c r="AG12" s="343">
        <f t="shared" si="18"/>
        <v>16.128997280575486</v>
      </c>
      <c r="AH12" s="343">
        <f t="shared" si="19"/>
        <v>10.826414364876301</v>
      </c>
      <c r="AI12" s="343">
        <f t="shared" si="6"/>
        <v>1.1419278859952908</v>
      </c>
      <c r="AJ12" s="343">
        <f t="shared" si="7"/>
        <v>1.2030869002458793</v>
      </c>
      <c r="AK12" s="338">
        <f t="shared" si="8"/>
        <v>14.799939580379576</v>
      </c>
      <c r="AL12" s="338">
        <f t="shared" si="9"/>
        <v>16.546835482309223</v>
      </c>
      <c r="AM12" s="480">
        <v>1</v>
      </c>
      <c r="AN12" s="480">
        <v>2</v>
      </c>
      <c r="AO12" s="630">
        <f t="shared" si="20"/>
        <v>4.9399999999999999E-2</v>
      </c>
      <c r="AP12" s="289">
        <v>211860</v>
      </c>
      <c r="AQ12">
        <f t="shared" si="21"/>
        <v>211860</v>
      </c>
      <c r="AR12" s="422">
        <f t="shared" si="22"/>
        <v>6600</v>
      </c>
    </row>
    <row r="13" spans="1:44" s="272" customFormat="1" x14ac:dyDescent="0.25">
      <c r="A13" s="416" t="s">
        <v>450</v>
      </c>
      <c r="B13" s="416" t="s">
        <v>66</v>
      </c>
      <c r="C13" s="417">
        <f t="shared" ca="1" si="10"/>
        <v>3.9196428571428572</v>
      </c>
      <c r="D13" s="712" t="s">
        <v>338</v>
      </c>
      <c r="E13" s="419">
        <v>30</v>
      </c>
      <c r="F13" s="427">
        <f ca="1">75-41471+$D$1-24-112-10-112-40-8-112-112-112-112-112-112-112-112-112-112-112-112</f>
        <v>9</v>
      </c>
      <c r="G13" s="420" t="s">
        <v>308</v>
      </c>
      <c r="H13" s="401">
        <v>2</v>
      </c>
      <c r="I13" s="335">
        <v>10.199999999999999</v>
      </c>
      <c r="J13" s="522">
        <f t="shared" si="11"/>
        <v>1.3989573635602419</v>
      </c>
      <c r="K13" s="330">
        <f t="shared" si="12"/>
        <v>40.799999999999997</v>
      </c>
      <c r="L13" s="330">
        <f t="shared" si="13"/>
        <v>91.8</v>
      </c>
      <c r="M13" s="421">
        <v>7.6</v>
      </c>
      <c r="N13" s="480">
        <f t="shared" si="14"/>
        <v>95</v>
      </c>
      <c r="O13" s="480">
        <v>6</v>
      </c>
      <c r="P13" s="536">
        <f t="shared" si="15"/>
        <v>0.92582009977255142</v>
      </c>
      <c r="Q13" s="536">
        <f t="shared" si="16"/>
        <v>0.99928545900129484</v>
      </c>
      <c r="R13" s="351">
        <v>105260</v>
      </c>
      <c r="S13" s="672">
        <f t="shared" si="2"/>
        <v>-17510</v>
      </c>
      <c r="T13" s="351">
        <v>10060</v>
      </c>
      <c r="U13" s="343">
        <f t="shared" si="3"/>
        <v>10.463220675944333</v>
      </c>
      <c r="V13" s="521">
        <v>0</v>
      </c>
      <c r="W13" s="522">
        <f>7+0.11</f>
        <v>7.11</v>
      </c>
      <c r="X13" s="521">
        <f>10+0.1*0.5+0.1*0.5+0.1*0.5+0.1*0.5+0.1*0.5</f>
        <v>10.250000000000004</v>
      </c>
      <c r="Y13" s="522">
        <f>12+0.165+0.15+0.15+0.15+0.13+0.13+0.12+0.11+0.1+0.1</f>
        <v>13.305</v>
      </c>
      <c r="Z13" s="521">
        <f>6.1+0.33+0.3+0.3+0.25+0.25+0.25+0.25+0.25+0.2+0.2+0.2+0.2+0.15+0.13+0.13+0.13+0.12+0.12+0.11+0.1+0.08+0.07+0.07</f>
        <v>10.289999999999997</v>
      </c>
      <c r="AA13" s="522">
        <f>2.7+0.06+0.33+0.33+0.33+0.33+0.33+0.33+0.33+0.25+0.17*0.5</f>
        <v>5.4050000000000002</v>
      </c>
      <c r="AB13" s="521">
        <f>11.48+0.6+0.6*1.25+0.5+0.5+0.39+0.39+0.39+0.3+0.3+0.3+0.25+0.25+0.25+0.25+0.2+0.2</f>
        <v>17.300000000000004</v>
      </c>
      <c r="AC13" s="351">
        <v>1615</v>
      </c>
      <c r="AD13" s="643">
        <f t="shared" si="4"/>
        <v>11.710658968350096</v>
      </c>
      <c r="AE13" s="643">
        <f t="shared" si="5"/>
        <v>12.648957363560246</v>
      </c>
      <c r="AF13" s="343">
        <f t="shared" si="17"/>
        <v>4.2109621936756367</v>
      </c>
      <c r="AG13" s="343">
        <f t="shared" si="18"/>
        <v>16.011128892458355</v>
      </c>
      <c r="AH13" s="343">
        <f t="shared" si="19"/>
        <v>12.712898700026791</v>
      </c>
      <c r="AI13" s="343">
        <f t="shared" si="6"/>
        <v>1.0211665890848196</v>
      </c>
      <c r="AJ13" s="343">
        <f t="shared" si="7"/>
        <v>1.0063270154492172</v>
      </c>
      <c r="AK13" s="338">
        <f t="shared" si="8"/>
        <v>18.187550908039334</v>
      </c>
      <c r="AL13" s="338">
        <f t="shared" si="9"/>
        <v>19.644800229015893</v>
      </c>
      <c r="AM13" s="480">
        <v>4</v>
      </c>
      <c r="AN13" s="480">
        <v>4</v>
      </c>
      <c r="AO13" s="630">
        <f t="shared" si="20"/>
        <v>0.157</v>
      </c>
      <c r="AP13" s="272">
        <v>122770</v>
      </c>
      <c r="AQ13">
        <f t="shared" si="21"/>
        <v>122770</v>
      </c>
      <c r="AR13" s="422">
        <f t="shared" si="22"/>
        <v>17510</v>
      </c>
    </row>
    <row r="14" spans="1:44" s="288" customFormat="1" x14ac:dyDescent="0.25">
      <c r="A14" s="416" t="s">
        <v>449</v>
      </c>
      <c r="B14" s="416" t="s">
        <v>66</v>
      </c>
      <c r="C14" s="417">
        <f t="shared" ca="1" si="10"/>
        <v>6.7857142857142856</v>
      </c>
      <c r="D14" s="712" t="s">
        <v>600</v>
      </c>
      <c r="E14" s="419">
        <v>27</v>
      </c>
      <c r="F14" s="229">
        <f ca="1">7-41471+$D$1-112-111-112+4-112-116-112-112-112-112-112-112-112-112-112</f>
        <v>24</v>
      </c>
      <c r="G14" s="420" t="s">
        <v>595</v>
      </c>
      <c r="H14" s="401">
        <v>2</v>
      </c>
      <c r="I14" s="335">
        <v>8.6</v>
      </c>
      <c r="J14" s="522">
        <f t="shared" si="11"/>
        <v>1.3096949773860913</v>
      </c>
      <c r="K14" s="330">
        <f t="shared" si="12"/>
        <v>34.4</v>
      </c>
      <c r="L14" s="330">
        <f t="shared" si="13"/>
        <v>77.399999999999991</v>
      </c>
      <c r="M14" s="421">
        <v>7.9</v>
      </c>
      <c r="N14" s="480">
        <f t="shared" si="14"/>
        <v>98</v>
      </c>
      <c r="O14" s="480">
        <v>3</v>
      </c>
      <c r="P14" s="536">
        <f t="shared" si="15"/>
        <v>0.65465367070797709</v>
      </c>
      <c r="Q14" s="536">
        <f t="shared" si="16"/>
        <v>0.75498344352707503</v>
      </c>
      <c r="R14" s="351">
        <v>158560</v>
      </c>
      <c r="S14" s="672">
        <f t="shared" si="2"/>
        <v>-3100</v>
      </c>
      <c r="T14" s="351">
        <v>12550</v>
      </c>
      <c r="U14" s="343">
        <f t="shared" si="3"/>
        <v>12.634262948207171</v>
      </c>
      <c r="V14" s="521">
        <v>0</v>
      </c>
      <c r="W14" s="522">
        <f>8+0.12</f>
        <v>8.1199999999999992</v>
      </c>
      <c r="X14" s="521">
        <f>8.4+0.22+0.22+(0.22*75/90)+(0.05*15/90)+0.17+0.17+0.17+0.17+0.17+1/7+0.16+0.16+0.16+0.125+0.16+0.16+0.14+0.14+0.05*61/90+0.11+0.11*0.5+0.11+0.11+0.11+0.1+0.1</f>
        <v>11.958412698412697</v>
      </c>
      <c r="Y14" s="522">
        <f>10.6+0.21+0.2+0.18+0.17+0.17+0.03+0.15+0.15+0.14+0.13</f>
        <v>12.13</v>
      </c>
      <c r="Z14" s="521">
        <f>6+0.33+0.33+0.33+0.3+0.25+0.25+0.24+0.24+0.23+0.2+0.2+0.18+0.15+0.15+0.15+0.15+0.13+0.13+0.12+0.1+0.08</f>
        <v>10.24</v>
      </c>
      <c r="AA14" s="522">
        <f>4.7+0.33+0.33+(0.33*85/90)+0.33+0.32+0.3+0.3+0.27+0.21+0.15*0.5</f>
        <v>7.4766666666666666</v>
      </c>
      <c r="AB14" s="521">
        <f>9+0.67+0.67+0.67+0.55+0.55+0.45+0.45*70/90+0.4+0.35+0.35+0.3+0.25+0.25+0.25+0.21</f>
        <v>15.270000000000001</v>
      </c>
      <c r="AC14" s="351">
        <v>1694</v>
      </c>
      <c r="AD14" s="643">
        <f t="shared" si="4"/>
        <v>9.340669064018341</v>
      </c>
      <c r="AE14" s="643">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80">
        <v>3</v>
      </c>
      <c r="AN14" s="480">
        <v>2</v>
      </c>
      <c r="AO14" s="630">
        <f t="shared" si="20"/>
        <v>0.1158</v>
      </c>
      <c r="AP14" s="288">
        <v>161660</v>
      </c>
      <c r="AQ14">
        <f t="shared" si="21"/>
        <v>161660</v>
      </c>
      <c r="AR14" s="422">
        <f t="shared" si="22"/>
        <v>3100</v>
      </c>
    </row>
    <row r="15" spans="1:44" s="289" customFormat="1" x14ac:dyDescent="0.25">
      <c r="A15" s="416" t="s">
        <v>446</v>
      </c>
      <c r="B15" s="285" t="s">
        <v>65</v>
      </c>
      <c r="C15" s="417">
        <f t="shared" ca="1" si="10"/>
        <v>4.8125</v>
      </c>
      <c r="D15" s="713" t="s">
        <v>754</v>
      </c>
      <c r="E15" s="228">
        <v>29</v>
      </c>
      <c r="F15" s="229">
        <f ca="1">7-41471+$D$1-112-111-3-112-112-112-112-112-112-112-112-112-112-112-112</f>
        <v>21</v>
      </c>
      <c r="G15" s="420" t="s">
        <v>308</v>
      </c>
      <c r="H15" s="401">
        <v>3</v>
      </c>
      <c r="I15" s="232">
        <v>10.4</v>
      </c>
      <c r="J15" s="522">
        <f t="shared" si="11"/>
        <v>1.4092064684486303</v>
      </c>
      <c r="K15" s="330">
        <f t="shared" si="12"/>
        <v>93.600000000000009</v>
      </c>
      <c r="L15" s="330">
        <f t="shared" si="13"/>
        <v>166.4</v>
      </c>
      <c r="M15" s="323">
        <v>7.9</v>
      </c>
      <c r="N15" s="480">
        <f t="shared" si="14"/>
        <v>98</v>
      </c>
      <c r="O15" s="481">
        <v>6</v>
      </c>
      <c r="P15" s="536">
        <f t="shared" si="15"/>
        <v>0.92582009977255142</v>
      </c>
      <c r="Q15" s="536">
        <f t="shared" si="16"/>
        <v>0.99928545900129484</v>
      </c>
      <c r="R15" s="351">
        <v>210740</v>
      </c>
      <c r="S15" s="672">
        <f t="shared" si="2"/>
        <v>1890</v>
      </c>
      <c r="T15" s="673">
        <v>21080</v>
      </c>
      <c r="U15" s="343">
        <f t="shared" si="3"/>
        <v>9.9971537001897541</v>
      </c>
      <c r="V15" s="521">
        <v>0</v>
      </c>
      <c r="W15" s="522">
        <f>5.6+0.26+0.26+0.26+(0.26*23/90)+(0.05*(90-23)/90)+0.26+0.26+0.23+0.23+0.22+0.15+0.15+0.14+0.13+0.13+0.13+0.12+0.12+0.12+0.02+0.1+0.1</f>
        <v>9.0936666666666657</v>
      </c>
      <c r="X15" s="521">
        <f>13+0.1+0.1+0.1+0.1+0.1</f>
        <v>13.499999999999998</v>
      </c>
      <c r="Y15" s="522">
        <f>11.58+0.17+(0.17/2)+0.17+0.15+0.03+0.15+0.14+0.13+0.12</f>
        <v>12.725000000000001</v>
      </c>
      <c r="Z15" s="521">
        <f>5.21+0.4+0.4+0.33+0.33+0.33+0.33+0.3+0.3+0.23+0.23+0.22*30/90+0.15+0.15+0.15+0.13+0.12+0.11+0.11+0.08+0.07+0.07</f>
        <v>9.6033333333333353</v>
      </c>
      <c r="AA15" s="522">
        <f>2.9+0.33+(0.33*46/90)+0.03+0.07+0.07+(0.33*33/90)+0.33+0.33+0.33+0.25+0.2*0.5</f>
        <v>5.0296666666666656</v>
      </c>
      <c r="AB15" s="521">
        <f>15+0.2</f>
        <v>15.2</v>
      </c>
      <c r="AC15" s="351">
        <v>1791</v>
      </c>
      <c r="AD15" s="643">
        <f t="shared" si="4"/>
        <v>14.72906311992123</v>
      </c>
      <c r="AE15" s="643">
        <f t="shared" si="5"/>
        <v>15.909206468448629</v>
      </c>
      <c r="AF15" s="343">
        <f t="shared" si="17"/>
        <v>4.2851528623621649</v>
      </c>
      <c r="AG15" s="343">
        <f t="shared" si="18"/>
        <v>14.385941686346632</v>
      </c>
      <c r="AH15" s="343">
        <f t="shared" si="19"/>
        <v>11.247695810126748</v>
      </c>
      <c r="AI15" s="343">
        <f t="shared" si="6"/>
        <v>0.94021985080922366</v>
      </c>
      <c r="AJ15" s="343">
        <f t="shared" si="7"/>
        <v>1.0233911194580707</v>
      </c>
      <c r="AK15" s="338">
        <f t="shared" si="8"/>
        <v>16.25373882653081</v>
      </c>
      <c r="AL15" s="338">
        <f t="shared" si="9"/>
        <v>17.556044452398375</v>
      </c>
      <c r="AM15" s="481">
        <v>3</v>
      </c>
      <c r="AN15" s="481">
        <v>3</v>
      </c>
      <c r="AO15" s="630">
        <f t="shared" si="20"/>
        <v>0.1158</v>
      </c>
      <c r="AP15" s="289">
        <v>208850</v>
      </c>
      <c r="AQ15">
        <f t="shared" si="21"/>
        <v>208850</v>
      </c>
      <c r="AR15" s="422">
        <f t="shared" si="22"/>
        <v>-1890</v>
      </c>
    </row>
    <row r="16" spans="1:44" x14ac:dyDescent="0.25">
      <c r="A16" s="332" t="s">
        <v>447</v>
      </c>
      <c r="B16" s="416" t="s">
        <v>65</v>
      </c>
      <c r="C16" s="417">
        <f t="shared" ca="1" si="10"/>
        <v>2.5089285714285716</v>
      </c>
      <c r="D16" s="712" t="s">
        <v>325</v>
      </c>
      <c r="E16" s="419">
        <v>31</v>
      </c>
      <c r="F16" s="427">
        <f ca="1">33-41471+$D$1-112+6-112-112-112-112-112-112-112-112-112-112-112-112-112</f>
        <v>55</v>
      </c>
      <c r="G16" s="420" t="s">
        <v>308</v>
      </c>
      <c r="H16" s="426">
        <v>4</v>
      </c>
      <c r="I16" s="335">
        <v>10.9</v>
      </c>
      <c r="J16" s="522">
        <f t="shared" si="11"/>
        <v>1.4340626151900411</v>
      </c>
      <c r="K16" s="330">
        <f t="shared" si="12"/>
        <v>174.4</v>
      </c>
      <c r="L16" s="330">
        <f t="shared" si="13"/>
        <v>272.5</v>
      </c>
      <c r="M16" s="421">
        <v>7.1</v>
      </c>
      <c r="N16" s="480">
        <f t="shared" si="14"/>
        <v>90</v>
      </c>
      <c r="O16" s="480">
        <v>6</v>
      </c>
      <c r="P16" s="536">
        <f t="shared" si="15"/>
        <v>0.92582009977255142</v>
      </c>
      <c r="Q16" s="536">
        <f t="shared" si="16"/>
        <v>0.99928545900129484</v>
      </c>
      <c r="R16" s="351">
        <v>106900</v>
      </c>
      <c r="S16" s="672">
        <f t="shared" si="2"/>
        <v>1030</v>
      </c>
      <c r="T16" s="351">
        <v>16970</v>
      </c>
      <c r="U16" s="343">
        <f t="shared" si="3"/>
        <v>6.2993517972893338</v>
      </c>
      <c r="V16" s="521">
        <v>0</v>
      </c>
      <c r="W16" s="522">
        <f>5.25+0.25+0.25+0.25+0.24+0.24+0.24+0.24+0.23+0.22+0.17+(0.17*25/90)+0.16+0.16+0.03+0.15+0.14+0.14+0.13+0.02+0.11*33/90+0.01</f>
        <v>8.6075555555555585</v>
      </c>
      <c r="X16" s="521">
        <f>11.65+0.13+0.13+0.13+0.11+0.11+0.11+0.1+0.1+0.1+0.1+0.1+0.1+0.1+0.1+0.1+0.1+0.091*83/90+0.091+0.091+0.091+0.091+0.091+0.091+1/21+1/21</f>
        <v>14.09516031746031</v>
      </c>
      <c r="Y16" s="522">
        <f>9.5+0.11+0.04+0.11+0.11+0.02+0.11+0.02+0.01+0.01+0.01</f>
        <v>10.049999999999995</v>
      </c>
      <c r="Z16" s="521">
        <f>6.01+0.25+0.25+0.25+0.25+0.25+0.25+0.25+0.25+0.24+0.21+0.2+0.2+0.15+0.13+0.13+0.12+0.11+0.11+0.11+0.1+0.08+0.07+0.06</f>
        <v>10.029999999999999</v>
      </c>
      <c r="AA16" s="522">
        <f>3.79+0.04+0.04+0.03+0.03+0.21+0.03+0.03+0.2*45/90+0.2*0.5</f>
        <v>4.3999999999999995</v>
      </c>
      <c r="AB16" s="521">
        <f>10.7+0.5+0.5*80/90+0.5+0.45+0.45+0.45+0.45+0.35+0.3+0.3+0.25+0.25+0.25+0.25+0.25+0.2+0.2</f>
        <v>16.544444444444441</v>
      </c>
      <c r="AC16" s="351">
        <v>1778</v>
      </c>
      <c r="AD16" s="643">
        <f t="shared" si="4"/>
        <v>15.303086824669094</v>
      </c>
      <c r="AE16" s="643">
        <f t="shared" si="5"/>
        <v>16.529222932650352</v>
      </c>
      <c r="AF16" s="343">
        <f t="shared" si="17"/>
        <v>4.33628019676026</v>
      </c>
      <c r="AG16" s="343">
        <f t="shared" si="18"/>
        <v>14.153681070224152</v>
      </c>
      <c r="AH16" s="343">
        <f t="shared" si="19"/>
        <v>11.944107976065657</v>
      </c>
      <c r="AI16" s="343">
        <f t="shared" si="6"/>
        <v>0.9510583425485365</v>
      </c>
      <c r="AJ16" s="343">
        <f t="shared" si="7"/>
        <v>1.0460199386188584</v>
      </c>
      <c r="AK16" s="338">
        <f t="shared" si="8"/>
        <v>17.523626377782975</v>
      </c>
      <c r="AL16" s="338">
        <f t="shared" si="9"/>
        <v>18.92767977503194</v>
      </c>
      <c r="AM16" s="480">
        <v>2</v>
      </c>
      <c r="AN16" s="480">
        <v>2</v>
      </c>
      <c r="AO16" s="630">
        <f t="shared" si="20"/>
        <v>6.1499999999999999E-2</v>
      </c>
      <c r="AP16">
        <v>105870</v>
      </c>
      <c r="AQ16">
        <f t="shared" si="21"/>
        <v>105870</v>
      </c>
      <c r="AR16" s="422">
        <f t="shared" si="22"/>
        <v>-1030</v>
      </c>
    </row>
    <row r="17" spans="1:44" s="4" customFormat="1" x14ac:dyDescent="0.25">
      <c r="A17" s="416" t="s">
        <v>444</v>
      </c>
      <c r="B17" s="416" t="s">
        <v>65</v>
      </c>
      <c r="C17" s="417">
        <f t="shared" ca="1" si="10"/>
        <v>3.5625</v>
      </c>
      <c r="D17" s="712" t="s">
        <v>312</v>
      </c>
      <c r="E17" s="419">
        <v>30</v>
      </c>
      <c r="F17" s="427">
        <f ca="1">33-41471+$D$1-112-112-112-112-112-112-112-112-112-112-112-112-112-112</f>
        <v>49</v>
      </c>
      <c r="G17" s="420"/>
      <c r="H17" s="401">
        <v>3</v>
      </c>
      <c r="I17" s="335">
        <v>9</v>
      </c>
      <c r="J17" s="522">
        <f t="shared" si="11"/>
        <v>1.3333333333333333</v>
      </c>
      <c r="K17" s="330">
        <f t="shared" si="12"/>
        <v>81</v>
      </c>
      <c r="L17" s="330">
        <f t="shared" si="13"/>
        <v>144</v>
      </c>
      <c r="M17" s="421">
        <v>7.3</v>
      </c>
      <c r="N17" s="480">
        <f t="shared" si="14"/>
        <v>92</v>
      </c>
      <c r="O17" s="480">
        <v>5</v>
      </c>
      <c r="P17" s="536">
        <f t="shared" si="15"/>
        <v>0.84515425472851657</v>
      </c>
      <c r="Q17" s="536">
        <f t="shared" si="16"/>
        <v>0.92504826128926143</v>
      </c>
      <c r="R17" s="351">
        <v>76980</v>
      </c>
      <c r="S17" s="672">
        <f t="shared" si="2"/>
        <v>4530</v>
      </c>
      <c r="T17" s="351">
        <v>11270</v>
      </c>
      <c r="U17" s="343">
        <f t="shared" si="3"/>
        <v>6.8305235137533273</v>
      </c>
      <c r="V17" s="521">
        <v>0</v>
      </c>
      <c r="W17" s="522">
        <f>7.5+0.2+0.2+0.2+0.2+0.2+0.16+0.16+0.14+0.14+0.13+0.13+0.12+0.12+0.12+0.12+0.11+0.1+0.1</f>
        <v>10.149999999999997</v>
      </c>
      <c r="X17" s="521">
        <f>10.8+0.08+(0.16*77/90)+0.08+0.07+((0.07*37/90)+0.14*53/90)+(0.07*23/90)+0.06+0.06+0.06+0.06+0.06+0.12+0.1+0.1+0.1*0.5*32/90+0.1*0.5+0.1+0.1+0.1+0.1*0.16+0.1*0.5+0.1+0.1+0.1+0.1</f>
        <v>12.749777777777778</v>
      </c>
      <c r="Y17" s="522">
        <f>4.85+0.05+0.05+0.05+0.03+0.03+0.02+0.02+0.02</f>
        <v>5.1199999999999983</v>
      </c>
      <c r="Z17" s="521">
        <f>8.95+0.08+0.07+0.07</f>
        <v>9.17</v>
      </c>
      <c r="AA17" s="522">
        <v>2.98</v>
      </c>
      <c r="AB17" s="521">
        <f>11+0.5+0.5+0.5+0.45+0.45+0.45+0.4+0.35+0.33+0.33+0.3+0.3+0.3+0.2+0.2+0.2+0.2</f>
        <v>16.959999999999997</v>
      </c>
      <c r="AC17" s="351">
        <v>1451</v>
      </c>
      <c r="AD17" s="643">
        <f t="shared" si="4"/>
        <v>12.74755553009852</v>
      </c>
      <c r="AE17" s="643">
        <f t="shared" si="5"/>
        <v>13.964247433769369</v>
      </c>
      <c r="AF17" s="343">
        <f t="shared" si="17"/>
        <v>3.9077819853009781</v>
      </c>
      <c r="AG17" s="343">
        <f t="shared" si="18"/>
        <v>10.93330984448696</v>
      </c>
      <c r="AH17" s="343">
        <f t="shared" si="19"/>
        <v>10.789239215864241</v>
      </c>
      <c r="AI17" s="343">
        <f t="shared" si="6"/>
        <v>0.88446666666666651</v>
      </c>
      <c r="AJ17" s="343">
        <f t="shared" si="7"/>
        <v>1.1131333333333331</v>
      </c>
      <c r="AK17" s="338">
        <f t="shared" si="8"/>
        <v>16.254279904118107</v>
      </c>
      <c r="AL17" s="338">
        <f t="shared" si="9"/>
        <v>17.805671518976791</v>
      </c>
      <c r="AM17" s="480">
        <v>4</v>
      </c>
      <c r="AN17" s="480">
        <v>1</v>
      </c>
      <c r="AO17" s="630">
        <f t="shared" si="20"/>
        <v>0.157</v>
      </c>
      <c r="AP17" s="4">
        <v>72450</v>
      </c>
      <c r="AQ17">
        <f t="shared" si="21"/>
        <v>72450</v>
      </c>
      <c r="AR17" s="422">
        <f t="shared" si="22"/>
        <v>-4530</v>
      </c>
    </row>
    <row r="18" spans="1:44" s="288" customFormat="1" x14ac:dyDescent="0.25">
      <c r="A18" s="332" t="s">
        <v>451</v>
      </c>
      <c r="B18" s="285" t="s">
        <v>65</v>
      </c>
      <c r="C18" s="417">
        <f t="shared" ca="1" si="10"/>
        <v>3.7857142857142856</v>
      </c>
      <c r="D18" s="713" t="s">
        <v>440</v>
      </c>
      <c r="E18" s="228">
        <v>30</v>
      </c>
      <c r="F18" s="229">
        <f ca="1">7-41471+$D$1-112-111-112-112-112-112-112-112-112-112-112-112-112-112</f>
        <v>24</v>
      </c>
      <c r="G18" s="287"/>
      <c r="H18" s="401">
        <v>0</v>
      </c>
      <c r="I18" s="232">
        <v>8</v>
      </c>
      <c r="J18" s="522">
        <f t="shared" si="11"/>
        <v>1.2723233459190999</v>
      </c>
      <c r="K18" s="330">
        <f t="shared" si="12"/>
        <v>0</v>
      </c>
      <c r="L18" s="330">
        <f t="shared" si="13"/>
        <v>8</v>
      </c>
      <c r="M18" s="323">
        <v>7.5</v>
      </c>
      <c r="N18" s="480">
        <f t="shared" si="14"/>
        <v>94</v>
      </c>
      <c r="O18" s="481">
        <v>6</v>
      </c>
      <c r="P18" s="536">
        <f t="shared" si="15"/>
        <v>0.92582009977255142</v>
      </c>
      <c r="Q18" s="536">
        <f t="shared" si="16"/>
        <v>0.99928545900129484</v>
      </c>
      <c r="R18" s="351">
        <v>86730</v>
      </c>
      <c r="S18" s="672">
        <f t="shared" si="2"/>
        <v>1730</v>
      </c>
      <c r="T18" s="673">
        <v>20790</v>
      </c>
      <c r="U18" s="343">
        <f t="shared" si="3"/>
        <v>4.1717171717171722</v>
      </c>
      <c r="V18" s="521">
        <v>0</v>
      </c>
      <c r="W18" s="522">
        <f>3.4+0.06+0.06+0.06+0.06+0.06+0.06+0.06+0.06+(0.06*40/90)+(0.25*35/90)+0.06+(0.25*35/90)+0.05+0.25+0.05+0.05+0.22+0.2+0.15+0.15</f>
        <v>5.2811111111111115</v>
      </c>
      <c r="X18" s="521">
        <f>11.7+0.13+0.13+0.13+0.12+0.12+0.12+0.1+0.1+0.1+0.1+0.1+0.1+0.091+0.091*33/90+0.1+0.091+0.091+0.091+0.091+0.091+0.091+0.091+0.092+1/21+1/21+1/21+1/21</f>
        <v>14.193842857142847</v>
      </c>
      <c r="Y18" s="522">
        <f>3.0625+0.06+0.06+0.06+0.05+0.05+0.05+0.04+0.03+0.03</f>
        <v>3.4924999999999993</v>
      </c>
      <c r="Z18" s="521">
        <f>4.21+0.4+0.4+0.4+0.33+0.33+0.33+0.15+0.33+0.3+0.25+0.2+0.22+0.15+0.15+0.15+0.02+0.15+0.14+0.13+0.11+0.08+0.07+0.07</f>
        <v>9.0700000000000038</v>
      </c>
      <c r="AA18" s="522">
        <f>5.75+0.28+(0.28*44/90)+0.28+0.28+0.28+0.04+0.04+0.25+0.02+0.15*0.5</f>
        <v>7.4318888888888894</v>
      </c>
      <c r="AB18" s="521">
        <f>11+0.67+0.5+0.5+0.5+0.45+0.35+0.3+0.3+0.3+0.3+0.25+0.25+0.2+0.2</f>
        <v>16.07</v>
      </c>
      <c r="AC18" s="351">
        <v>1497</v>
      </c>
      <c r="AD18" s="643">
        <f t="shared" si="4"/>
        <v>15.244707636990228</v>
      </c>
      <c r="AE18" s="643">
        <f t="shared" si="5"/>
        <v>16.466166203061949</v>
      </c>
      <c r="AF18" s="343">
        <f t="shared" si="17"/>
        <v>3.6729691819793366</v>
      </c>
      <c r="AG18" s="343">
        <f t="shared" si="18"/>
        <v>18.240757716052801</v>
      </c>
      <c r="AH18" s="343">
        <f t="shared" si="19"/>
        <v>12.478727936124319</v>
      </c>
      <c r="AI18" s="343">
        <f t="shared" si="6"/>
        <v>1.0754803121179726</v>
      </c>
      <c r="AJ18" s="343">
        <f t="shared" si="7"/>
        <v>0.88740707865878155</v>
      </c>
      <c r="AK18" s="338">
        <f t="shared" si="8"/>
        <v>16.918547585598084</v>
      </c>
      <c r="AL18" s="338">
        <f t="shared" si="9"/>
        <v>18.274119982655925</v>
      </c>
      <c r="AM18" s="481">
        <v>2</v>
      </c>
      <c r="AN18" s="481">
        <v>1</v>
      </c>
      <c r="AO18" s="630">
        <f t="shared" si="20"/>
        <v>6.1499999999999999E-2</v>
      </c>
      <c r="AP18" s="288">
        <v>85000</v>
      </c>
      <c r="AQ18">
        <f t="shared" si="21"/>
        <v>85000</v>
      </c>
      <c r="AR18" s="422">
        <f t="shared" si="22"/>
        <v>-1730</v>
      </c>
    </row>
    <row r="19" spans="1:44" s="289" customFormat="1" ht="14.25" customHeight="1" x14ac:dyDescent="0.25">
      <c r="A19" s="332" t="s">
        <v>598</v>
      </c>
      <c r="B19" s="285" t="s">
        <v>65</v>
      </c>
      <c r="C19" s="417">
        <f t="shared" ca="1" si="10"/>
        <v>5.2321428571428568</v>
      </c>
      <c r="D19" s="713" t="s">
        <v>454</v>
      </c>
      <c r="E19" s="228">
        <v>28</v>
      </c>
      <c r="F19" s="229">
        <f ca="1">59-41471+$D$1-325-112-112-112-112-112-112-112-112-112-112-112</f>
        <v>86</v>
      </c>
      <c r="G19" s="287"/>
      <c r="H19" s="401">
        <v>2</v>
      </c>
      <c r="I19" s="232">
        <v>4</v>
      </c>
      <c r="J19" s="522">
        <f t="shared" si="11"/>
        <v>0.93196000578135851</v>
      </c>
      <c r="K19" s="330">
        <f t="shared" si="12"/>
        <v>16</v>
      </c>
      <c r="L19" s="330">
        <f t="shared" si="13"/>
        <v>36</v>
      </c>
      <c r="M19" s="323">
        <v>7.1</v>
      </c>
      <c r="N19" s="480">
        <f t="shared" si="14"/>
        <v>90</v>
      </c>
      <c r="O19" s="481">
        <v>4</v>
      </c>
      <c r="P19" s="536">
        <f t="shared" si="15"/>
        <v>0.7559289460184544</v>
      </c>
      <c r="Q19" s="536">
        <f t="shared" si="16"/>
        <v>0.84430867747355465</v>
      </c>
      <c r="R19" s="351">
        <v>27030</v>
      </c>
      <c r="S19" s="672">
        <f t="shared" si="2"/>
        <v>-5970</v>
      </c>
      <c r="T19" s="673">
        <v>3310</v>
      </c>
      <c r="U19" s="343">
        <f t="shared" si="3"/>
        <v>8.1661631419939571</v>
      </c>
      <c r="V19" s="521">
        <v>0</v>
      </c>
      <c r="W19" s="522">
        <f>4.45+0.06+0.2+0.06+0.06+(0.06*68/90)+0.06+0.06+0.06+0.04+(0.22*35/90)+0.04+0.04+0.04+0.04+0.04+0.04*0.5+0.2*66/90+0.02+0.12*33/90+0.02</f>
        <v>5.6315555555555523</v>
      </c>
      <c r="X19" s="521">
        <f>8.7+0.13+0.13+0.13+0.08+(0.08*53/90)+0.02+0.01+0.02+(0.13*30/90)+(0.13*60/90*0.16)+0.02+0.02+0.143*0.5+0.143*57/90+0.143*61/90*0.5+0.02+0.143*0.5+0.14+0.01+0.01</f>
        <v>9.8263388888888876</v>
      </c>
      <c r="Y19" s="522">
        <f>6.8+0.04+0.04+0.04+0.03+0.03+0.03*17/90+0.18*33/90+0.03*3/90</f>
        <v>7.0526666666666671</v>
      </c>
      <c r="Z19" s="521">
        <f>5.2+0.38+0.38+0.33+0.3+0.3+0.3+0.3+0.28+0.25+0.2+0.2+0.15+0.15*40/90+0.14+0.13+0.12+0.12+0.11+0.01</f>
        <v>9.2666666666666639</v>
      </c>
      <c r="AA19" s="522">
        <f>3.07+0.07+0.07+0.07+0.07+0.07+(0.07*28/90)+0.07+0.03</f>
        <v>3.5417777777777766</v>
      </c>
      <c r="AB19" s="521">
        <f>10+0.65+0.65+0.5+0.4+0.25</f>
        <v>12.450000000000001</v>
      </c>
      <c r="AC19" s="351">
        <v>962</v>
      </c>
      <c r="AD19" s="643">
        <f t="shared" si="4"/>
        <v>8.8884384904180358</v>
      </c>
      <c r="AE19" s="643">
        <f t="shared" si="5"/>
        <v>9.9375763392001719</v>
      </c>
      <c r="AF19" s="343">
        <f t="shared" si="17"/>
        <v>2.972763235027355</v>
      </c>
      <c r="AG19" s="343">
        <f t="shared" si="18"/>
        <v>7.9383747670995977</v>
      </c>
      <c r="AH19" s="343">
        <f t="shared" si="19"/>
        <v>7.3911204673269708</v>
      </c>
      <c r="AI19" s="343">
        <f t="shared" si="6"/>
        <v>0.74514568935139747</v>
      </c>
      <c r="AJ19" s="343">
        <f t="shared" si="7"/>
        <v>0.76899942262691712</v>
      </c>
      <c r="AK19" s="338">
        <f t="shared" si="8"/>
        <v>10.774063756860782</v>
      </c>
      <c r="AL19" s="338">
        <f t="shared" si="9"/>
        <v>12.045769477128738</v>
      </c>
      <c r="AM19" s="481">
        <v>1</v>
      </c>
      <c r="AN19" s="481">
        <v>2</v>
      </c>
      <c r="AO19" s="630">
        <f t="shared" si="20"/>
        <v>4.9399999999999999E-2</v>
      </c>
      <c r="AP19" s="289">
        <v>33000</v>
      </c>
      <c r="AQ19">
        <f t="shared" si="21"/>
        <v>33000</v>
      </c>
      <c r="AR19" s="422">
        <f t="shared" si="22"/>
        <v>5970</v>
      </c>
    </row>
    <row r="20" spans="1:44" s="288" customFormat="1" x14ac:dyDescent="0.25">
      <c r="A20" s="331" t="s">
        <v>719</v>
      </c>
      <c r="B20" s="285" t="s">
        <v>65</v>
      </c>
      <c r="C20" s="417">
        <f t="shared" ca="1" si="10"/>
        <v>5.1696428571428568</v>
      </c>
      <c r="D20" s="713" t="s">
        <v>441</v>
      </c>
      <c r="E20" s="228">
        <v>28</v>
      </c>
      <c r="F20" s="229">
        <f ca="1">7-41471+$D$1-112-111-43-112-112-112-112-112-112-112-112-112-112-112</f>
        <v>93</v>
      </c>
      <c r="G20" s="287" t="s">
        <v>311</v>
      </c>
      <c r="H20" s="426">
        <v>4</v>
      </c>
      <c r="I20" s="232">
        <v>1.2</v>
      </c>
      <c r="J20" s="522">
        <f t="shared" si="11"/>
        <v>0.45656357442960838</v>
      </c>
      <c r="K20" s="330">
        <f t="shared" si="12"/>
        <v>19.2</v>
      </c>
      <c r="L20" s="330">
        <f t="shared" si="13"/>
        <v>30</v>
      </c>
      <c r="M20" s="323">
        <v>6.9</v>
      </c>
      <c r="N20" s="480">
        <f t="shared" si="14"/>
        <v>88</v>
      </c>
      <c r="O20" s="481">
        <v>5</v>
      </c>
      <c r="P20" s="536">
        <f t="shared" si="15"/>
        <v>0.84515425472851657</v>
      </c>
      <c r="Q20" s="536">
        <f t="shared" si="16"/>
        <v>0.92504826128926143</v>
      </c>
      <c r="R20" s="673">
        <v>5380</v>
      </c>
      <c r="S20" s="672">
        <f t="shared" si="2"/>
        <v>60</v>
      </c>
      <c r="T20" s="673">
        <v>690</v>
      </c>
      <c r="U20" s="343">
        <f t="shared" si="3"/>
        <v>7.7971014492753623</v>
      </c>
      <c r="V20" s="521">
        <v>0</v>
      </c>
      <c r="W20" s="522">
        <f>2+0.05+0.05+0.05+0.05+0.05+(0.25*31/90)+0.05+0.04+0.03+0.02</f>
        <v>2.47611111111111</v>
      </c>
      <c r="X20" s="521">
        <f>7.1+0.01+0.02+0.04+0.04+0.04+0.02+0.02</f>
        <v>7.2899999999999983</v>
      </c>
      <c r="Y20" s="522">
        <v>4.1588235294117641</v>
      </c>
      <c r="Z20" s="521">
        <f>6+(0.35/3)+(0.35/3)+0.32+(0.3*60/90)+0.3*61/90+0.04+0.04+0.06+0.15*29/90+0.12</f>
        <v>7.2649999999999988</v>
      </c>
      <c r="AA20" s="522">
        <f>4+0.06+0.06+0.06+0.06+0.06+0.03</f>
        <v>4.3299999999999983</v>
      </c>
      <c r="AB20" s="521">
        <f>9+0.5</f>
        <v>9.5</v>
      </c>
      <c r="AC20" s="351">
        <v>634</v>
      </c>
      <c r="AD20" s="643">
        <f t="shared" si="4"/>
        <v>7.3921954191826451</v>
      </c>
      <c r="AE20" s="643">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81">
        <v>0</v>
      </c>
      <c r="AN20" s="481">
        <v>2</v>
      </c>
      <c r="AO20" s="630">
        <f t="shared" si="20"/>
        <v>2.63E-2</v>
      </c>
      <c r="AP20" s="288">
        <v>5320</v>
      </c>
      <c r="AQ20">
        <f t="shared" si="21"/>
        <v>5320</v>
      </c>
      <c r="AR20" s="422">
        <f t="shared" si="22"/>
        <v>-60</v>
      </c>
    </row>
    <row r="21" spans="1:44" s="272" customFormat="1" x14ac:dyDescent="0.25">
      <c r="A21" s="416" t="s">
        <v>599</v>
      </c>
      <c r="B21" s="416" t="s">
        <v>67</v>
      </c>
      <c r="C21" s="417">
        <f t="shared" ca="1" si="10"/>
        <v>4.4553571428571432</v>
      </c>
      <c r="D21" s="712" t="s">
        <v>327</v>
      </c>
      <c r="E21" s="419">
        <v>29</v>
      </c>
      <c r="F21" s="427">
        <f ca="1">74-41471+$D$1-112-112-29-112-112-112-112-112-112-112-112-112-112-112-112</f>
        <v>61</v>
      </c>
      <c r="G21" s="420" t="s">
        <v>336</v>
      </c>
      <c r="H21" s="401">
        <v>3</v>
      </c>
      <c r="I21" s="335">
        <v>9.9</v>
      </c>
      <c r="J21" s="522">
        <f t="shared" si="11"/>
        <v>1.383235330587498</v>
      </c>
      <c r="K21" s="330">
        <f t="shared" si="12"/>
        <v>89.100000000000009</v>
      </c>
      <c r="L21" s="330">
        <f t="shared" si="13"/>
        <v>158.4</v>
      </c>
      <c r="M21" s="421">
        <v>7.5</v>
      </c>
      <c r="N21" s="480">
        <f t="shared" si="14"/>
        <v>94</v>
      </c>
      <c r="O21" s="480">
        <v>7</v>
      </c>
      <c r="P21" s="536">
        <f t="shared" si="15"/>
        <v>1</v>
      </c>
      <c r="Q21" s="536">
        <f t="shared" si="16"/>
        <v>1</v>
      </c>
      <c r="R21" s="351">
        <v>50800</v>
      </c>
      <c r="S21" s="672">
        <f t="shared" si="2"/>
        <v>220</v>
      </c>
      <c r="T21" s="351">
        <v>2360</v>
      </c>
      <c r="U21" s="343">
        <f t="shared" si="3"/>
        <v>21.525423728813561</v>
      </c>
      <c r="V21" s="521">
        <v>0</v>
      </c>
      <c r="W21" s="522">
        <f>5+(5/7)+0.07+0.21+0.07+0.07+0.07+0.07+0.07+0.07+0.06+0.03+0.03+0.03+0.03+0.03+0.2*33/90+0.03+0.03+0.02+0.02+0.01+0.01</f>
        <v>6.8176190476190497</v>
      </c>
      <c r="X21" s="521">
        <f>8+1/8*0.5+1/8*0.5+1/8+1/8*0.5</f>
        <v>8.3125</v>
      </c>
      <c r="Y21" s="522">
        <f>7.9+0.165+0.165+0.21+0.13+0.03+0.03+0.03+0.02+0.02+0.02</f>
        <v>8.7199999999999971</v>
      </c>
      <c r="Z21" s="521">
        <f>5.1+0.33+0.33+0.33+0.3+0.29+0.04+0.28+0.28+0.27+0.27+0.27+0.22+0.22+0.15+0.15+0.15+0.14+0.13+0.12+0.11+0.1+0.08+0.01+0.01</f>
        <v>9.6800000000000015</v>
      </c>
      <c r="AA21" s="522">
        <f>6.48+0.25+0.25+0.23+0.21+0.21+0.2+0.19+0.17+0.16+0.15+1/16</f>
        <v>8.5625000000000018</v>
      </c>
      <c r="AB21" s="521">
        <f>17.99+0.2+0.15+0.15+0.15</f>
        <v>18.639999999999993</v>
      </c>
      <c r="AC21" s="351">
        <v>1314</v>
      </c>
      <c r="AD21" s="643">
        <f t="shared" si="4"/>
        <v>10.695735330587498</v>
      </c>
      <c r="AE21" s="643">
        <f t="shared" si="5"/>
        <v>10.695735330587498</v>
      </c>
      <c r="AF21" s="343">
        <f t="shared" si="17"/>
        <v>4.3534156299226936</v>
      </c>
      <c r="AG21" s="343">
        <f t="shared" si="18"/>
        <v>23.237700080598373</v>
      </c>
      <c r="AH21" s="343">
        <f t="shared" si="19"/>
        <v>15.616749999999996</v>
      </c>
      <c r="AI21" s="343">
        <f t="shared" si="6"/>
        <v>1.2179838264469995</v>
      </c>
      <c r="AJ21" s="343">
        <f t="shared" si="7"/>
        <v>1.0337312350458867</v>
      </c>
      <c r="AK21" s="338">
        <f t="shared" si="8"/>
        <v>20.967513592796728</v>
      </c>
      <c r="AL21" s="338">
        <f t="shared" si="9"/>
        <v>20.967513592796728</v>
      </c>
      <c r="AM21" s="480">
        <v>4</v>
      </c>
      <c r="AN21" s="480">
        <v>2</v>
      </c>
      <c r="AO21" s="630">
        <f t="shared" si="20"/>
        <v>0.157</v>
      </c>
      <c r="AP21" s="272">
        <v>50580</v>
      </c>
      <c r="AQ21">
        <f t="shared" si="21"/>
        <v>50580</v>
      </c>
      <c r="AR21" s="422">
        <f t="shared" si="22"/>
        <v>-220</v>
      </c>
    </row>
    <row r="22" spans="1:44" s="284" customFormat="1" x14ac:dyDescent="0.25">
      <c r="A22" s="416" t="s">
        <v>929</v>
      </c>
      <c r="B22" s="416" t="s">
        <v>67</v>
      </c>
      <c r="C22" s="417">
        <f t="shared" ca="1" si="10"/>
        <v>3.8392857142857144</v>
      </c>
      <c r="D22" s="712" t="s">
        <v>1032</v>
      </c>
      <c r="E22" s="419">
        <v>30</v>
      </c>
      <c r="F22" s="229">
        <f ca="1">-41471+$D$1-748-112-112-12-112-112-112-22-112-112</f>
        <v>18</v>
      </c>
      <c r="G22" s="420" t="s">
        <v>308</v>
      </c>
      <c r="H22" s="401">
        <v>3</v>
      </c>
      <c r="I22" s="335">
        <v>10.1</v>
      </c>
      <c r="J22" s="522">
        <f t="shared" si="11"/>
        <v>1.3937639717155432</v>
      </c>
      <c r="K22" s="330">
        <f t="shared" si="12"/>
        <v>90.899999999999991</v>
      </c>
      <c r="L22" s="330">
        <f t="shared" si="13"/>
        <v>161.6</v>
      </c>
      <c r="M22" s="421">
        <v>7.5</v>
      </c>
      <c r="N22" s="480">
        <f t="shared" si="14"/>
        <v>94</v>
      </c>
      <c r="O22" s="480">
        <v>6</v>
      </c>
      <c r="P22" s="536">
        <f t="shared" si="15"/>
        <v>0.92582009977255142</v>
      </c>
      <c r="Q22" s="536">
        <f t="shared" si="16"/>
        <v>0.99928545900129484</v>
      </c>
      <c r="R22" s="351">
        <v>274400</v>
      </c>
      <c r="S22" s="672">
        <f t="shared" si="2"/>
        <v>12840</v>
      </c>
      <c r="T22" s="351">
        <v>34128</v>
      </c>
      <c r="U22" s="343">
        <f t="shared" si="3"/>
        <v>8.0403187998124714</v>
      </c>
      <c r="V22" s="521">
        <v>0</v>
      </c>
      <c r="W22" s="522">
        <v>2</v>
      </c>
      <c r="X22" s="521">
        <f>14+0.09*0.16+0.09*0.5+0.09*0.16+0.01+0.01</f>
        <v>14.0938</v>
      </c>
      <c r="Y22" s="522">
        <v>3</v>
      </c>
      <c r="Z22" s="521">
        <f>15+0.01</f>
        <v>15.01</v>
      </c>
      <c r="AA22" s="522">
        <v>10</v>
      </c>
      <c r="AB22" s="521">
        <f>9+0.3</f>
        <v>9.3000000000000007</v>
      </c>
      <c r="AC22" s="351">
        <v>1915</v>
      </c>
      <c r="AD22" s="643">
        <f t="shared" si="4"/>
        <v>15.264518121300007</v>
      </c>
      <c r="AE22" s="643">
        <f t="shared" si="5"/>
        <v>16.487563971715542</v>
      </c>
      <c r="AF22" s="343">
        <f t="shared" si="17"/>
        <v>4.7102592677190991</v>
      </c>
      <c r="AG22" s="343">
        <f t="shared" si="18"/>
        <v>18.988772424605859</v>
      </c>
      <c r="AH22" s="343">
        <f t="shared" si="19"/>
        <v>8.8045491488369638</v>
      </c>
      <c r="AI22" s="343">
        <f t="shared" si="6"/>
        <v>1.0105011177372434</v>
      </c>
      <c r="AJ22" s="343">
        <f t="shared" si="7"/>
        <v>0.56156347802008799</v>
      </c>
      <c r="AK22" s="338">
        <f t="shared" si="8"/>
        <v>10.775708246962816</v>
      </c>
      <c r="AL22" s="338">
        <f t="shared" si="9"/>
        <v>11.639095165043525</v>
      </c>
      <c r="AM22" s="480">
        <v>1</v>
      </c>
      <c r="AN22" s="480">
        <v>3</v>
      </c>
      <c r="AO22" s="630">
        <f t="shared" si="20"/>
        <v>4.9399999999999999E-2</v>
      </c>
      <c r="AP22" s="284">
        <v>261560</v>
      </c>
      <c r="AQ22">
        <f t="shared" si="21"/>
        <v>261560</v>
      </c>
      <c r="AR22" s="422">
        <f t="shared" si="22"/>
        <v>-12840</v>
      </c>
    </row>
    <row r="23" spans="1:44" s="289" customFormat="1" x14ac:dyDescent="0.25">
      <c r="A23" s="416" t="s">
        <v>633</v>
      </c>
      <c r="B23" s="416" t="s">
        <v>67</v>
      </c>
      <c r="C23" s="417">
        <f t="shared" ca="1" si="10"/>
        <v>7.1785714285714288</v>
      </c>
      <c r="D23" s="713" t="s">
        <v>634</v>
      </c>
      <c r="E23" s="228">
        <v>26</v>
      </c>
      <c r="F23" s="229">
        <f ca="1">7-41471+$D$1-112-111-43-112-112-1-112-112-112-112-112-112-112-112-112</f>
        <v>92</v>
      </c>
      <c r="G23" s="287"/>
      <c r="H23" s="428">
        <v>5</v>
      </c>
      <c r="I23" s="232">
        <v>5.3</v>
      </c>
      <c r="J23" s="522">
        <f t="shared" si="11"/>
        <v>1.0657873992714422</v>
      </c>
      <c r="K23" s="330">
        <f t="shared" si="12"/>
        <v>132.5</v>
      </c>
      <c r="L23" s="330">
        <f t="shared" si="13"/>
        <v>190.79999999999998</v>
      </c>
      <c r="M23" s="323">
        <v>7.6</v>
      </c>
      <c r="N23" s="480">
        <f t="shared" si="14"/>
        <v>95</v>
      </c>
      <c r="O23" s="481">
        <v>7</v>
      </c>
      <c r="P23" s="536">
        <f t="shared" si="15"/>
        <v>1</v>
      </c>
      <c r="Q23" s="536">
        <f t="shared" si="16"/>
        <v>1</v>
      </c>
      <c r="R23" s="673">
        <v>37560</v>
      </c>
      <c r="S23" s="672">
        <f t="shared" si="2"/>
        <v>-470</v>
      </c>
      <c r="T23" s="673">
        <v>3070</v>
      </c>
      <c r="U23" s="343">
        <f t="shared" si="3"/>
        <v>12.234527687296417</v>
      </c>
      <c r="V23" s="521">
        <v>0</v>
      </c>
      <c r="W23" s="522">
        <v>4</v>
      </c>
      <c r="X23" s="521">
        <f>4.6+0.05+0.05+0.05+0.04+0.04+0.16+(0.16*30/90)+(0.16*60/90*0.16)+0.04+0.04+0.04+0.25/8+0.04+0.04+0.04+0.04+0.04+0.04+0.02+0.02*10/90+0.02+0.02</f>
        <v>5.5138722222222212</v>
      </c>
      <c r="Y23" s="522">
        <f>4.9+0.25+0.05+0.05+0.05+0.04+0.03+0.03+0.03+0.02+0.02</f>
        <v>5.47</v>
      </c>
      <c r="Z23" s="521">
        <f>7.1+0.31+0.31+0.31+0.25+0.25+0.25+0.23+0.2+0.2+0.2+0.17+0.15+0.15+0.13+0.13+0.13+0.11+0.1+0.1+0.01+0.01</f>
        <v>10.799999999999999</v>
      </c>
      <c r="AA23" s="522">
        <f>6.5+0.25+0.25+0.25+0.24+0.24+0.22+0.21+0.18*1/90+0.16+1/16</f>
        <v>8.384500000000001</v>
      </c>
      <c r="AB23" s="521">
        <f>9+1*5/90+0.65+0.65*61/90+0.65*52/90+0.55+0.55*27/90+0.55+0.5+0.5+0.3+0.25*0.6+0.25+(0.2*36/90)</f>
        <v>13.566666666666668</v>
      </c>
      <c r="AC23" s="351">
        <v>962</v>
      </c>
      <c r="AD23" s="643">
        <f t="shared" si="4"/>
        <v>7.5796596214936631</v>
      </c>
      <c r="AE23" s="643">
        <f t="shared" si="5"/>
        <v>7.5796596214936631</v>
      </c>
      <c r="AF23" s="343">
        <f t="shared" si="17"/>
        <v>4.1621702747267904</v>
      </c>
      <c r="AG23" s="343">
        <f t="shared" si="18"/>
        <v>19.450326819056556</v>
      </c>
      <c r="AH23" s="343">
        <f t="shared" si="19"/>
        <v>12.012016666666668</v>
      </c>
      <c r="AI23" s="343">
        <f t="shared" si="6"/>
        <v>1.0314879919417155</v>
      </c>
      <c r="AJ23" s="343">
        <f t="shared" si="7"/>
        <v>0.74660511794900086</v>
      </c>
      <c r="AK23" s="338">
        <f t="shared" si="8"/>
        <v>15.532367826134386</v>
      </c>
      <c r="AL23" s="338">
        <f t="shared" si="9"/>
        <v>15.532367826134386</v>
      </c>
      <c r="AM23" s="481">
        <v>2</v>
      </c>
      <c r="AN23" s="481">
        <v>1</v>
      </c>
      <c r="AO23" s="630">
        <f t="shared" si="20"/>
        <v>6.1499999999999999E-2</v>
      </c>
      <c r="AP23" s="289">
        <v>38030</v>
      </c>
      <c r="AQ23">
        <f t="shared" si="21"/>
        <v>38030</v>
      </c>
      <c r="AR23" s="422">
        <f>AQ23-R23</f>
        <v>470</v>
      </c>
    </row>
    <row r="24" spans="1:44" x14ac:dyDescent="0.25">
      <c r="G24" s="4"/>
      <c r="H24"/>
      <c r="I24" s="309"/>
      <c r="J24" s="523"/>
      <c r="K24"/>
      <c r="R24" s="262">
        <f>SUM(R5:R23)+R3</f>
        <v>1975260</v>
      </c>
      <c r="S24" s="262">
        <f>SUM(S5:S23)</f>
        <v>-900</v>
      </c>
      <c r="T24" s="262">
        <f>SUM(T5:T23)+T3</f>
        <v>259080</v>
      </c>
      <c r="U24" s="342">
        <f t="shared" si="3"/>
        <v>7.6241315423807317</v>
      </c>
      <c r="V24"/>
      <c r="AB24" s="339"/>
      <c r="AC24" s="262">
        <f>AVERAGE(AC5:AC23)</f>
        <v>1444.8421052631579</v>
      </c>
      <c r="AF24" s="262"/>
      <c r="AG24" s="262"/>
      <c r="AH24" s="262"/>
      <c r="AI24" s="262"/>
      <c r="AJ24" s="262"/>
      <c r="AK24" s="262"/>
      <c r="AL24" s="262"/>
    </row>
    <row r="25" spans="1:44" x14ac:dyDescent="0.25">
      <c r="G25" s="491"/>
      <c r="K25" s="491"/>
      <c r="M25" s="491"/>
      <c r="N25" s="491"/>
      <c r="O25" s="491"/>
      <c r="R25" s="340"/>
      <c r="S25" s="340"/>
      <c r="T25" s="340">
        <f>T24-T3</f>
        <v>258756</v>
      </c>
      <c r="U25" s="320"/>
      <c r="AC25" s="320"/>
      <c r="AF25" s="320"/>
      <c r="AG25" s="320"/>
      <c r="AH25" s="320"/>
      <c r="AI25" s="320"/>
      <c r="AJ25" s="320"/>
      <c r="AK25" s="320"/>
      <c r="AL25" s="320"/>
    </row>
    <row r="26" spans="1:44" x14ac:dyDescent="0.25">
      <c r="I26" s="290"/>
      <c r="W26" s="159"/>
    </row>
    <row r="27" spans="1:44" x14ac:dyDescent="0.25">
      <c r="D27" s="646"/>
      <c r="I27" s="290"/>
      <c r="W27" s="159"/>
      <c r="AC27" s="715"/>
    </row>
    <row r="28" spans="1:44" x14ac:dyDescent="0.25">
      <c r="D28" s="646"/>
      <c r="I28" s="290"/>
      <c r="W28" s="159"/>
    </row>
    <row r="29" spans="1:44" x14ac:dyDescent="0.25">
      <c r="D29" s="647"/>
      <c r="I29" s="290"/>
      <c r="W29" s="159"/>
    </row>
    <row r="30" spans="1:44" x14ac:dyDescent="0.25">
      <c r="I30" s="290"/>
      <c r="W30" s="159"/>
    </row>
    <row r="31" spans="1:44" x14ac:dyDescent="0.25">
      <c r="I31" s="290"/>
      <c r="W31" s="159"/>
    </row>
    <row r="32" spans="1:44" x14ac:dyDescent="0.25">
      <c r="I32" s="290"/>
      <c r="W32" s="159"/>
    </row>
    <row r="33" spans="3:38" x14ac:dyDescent="0.25">
      <c r="I33" s="290"/>
      <c r="W33" s="159"/>
    </row>
    <row r="34" spans="3:38" x14ac:dyDescent="0.25">
      <c r="C34"/>
      <c r="D34"/>
      <c r="G34"/>
      <c r="H34"/>
      <c r="I34" s="290"/>
      <c r="K34"/>
      <c r="M34"/>
      <c r="N34"/>
      <c r="O34"/>
      <c r="P34"/>
      <c r="Q34"/>
      <c r="T34"/>
      <c r="U34"/>
      <c r="V34"/>
      <c r="AC34"/>
      <c r="AF34"/>
      <c r="AG34"/>
      <c r="AI34"/>
      <c r="AJ34"/>
      <c r="AK34"/>
      <c r="AL34"/>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sheetData>
  <sortState ref="A6:AR28">
    <sortCondition descending="1" ref="B6:B28"/>
  </sortState>
  <mergeCells count="1">
    <mergeCell ref="E1:G1"/>
  </mergeCells>
  <conditionalFormatting sqref="N6:N23">
    <cfRule type="cellIs" dxfId="398" priority="450" operator="greaterThan">
      <formula>82</formula>
    </cfRule>
    <cfRule type="cellIs" dxfId="397" priority="451" operator="lessThan">
      <formula>79</formula>
    </cfRule>
  </conditionalFormatting>
  <conditionalFormatting sqref="O6:O23">
    <cfRule type="cellIs" dxfId="396" priority="424" operator="greaterThan">
      <formula>6</formula>
    </cfRule>
    <cfRule type="cellIs" dxfId="395" priority="425" operator="lessThan">
      <formula>5</formula>
    </cfRule>
  </conditionalFormatting>
  <conditionalFormatting sqref="P6:Q23">
    <cfRule type="cellIs" dxfId="394" priority="418" operator="greaterThan">
      <formula>0.95</formula>
    </cfRule>
    <cfRule type="cellIs" dxfId="393" priority="419" operator="lessThan">
      <formula>0.85</formula>
    </cfRule>
  </conditionalFormatting>
  <conditionalFormatting sqref="N5">
    <cfRule type="cellIs" dxfId="392" priority="299" operator="greaterThan">
      <formula>82</formula>
    </cfRule>
    <cfRule type="cellIs" dxfId="391" priority="300" operator="lessThan">
      <formula>79</formula>
    </cfRule>
  </conditionalFormatting>
  <conditionalFormatting sqref="O5">
    <cfRule type="cellIs" dxfId="390" priority="297" operator="greaterThan">
      <formula>6</formula>
    </cfRule>
    <cfRule type="cellIs" dxfId="389" priority="298" operator="lessThan">
      <formula>5</formula>
    </cfRule>
  </conditionalFormatting>
  <conditionalFormatting sqref="P5:Q5">
    <cfRule type="cellIs" dxfId="388" priority="295" operator="greaterThan">
      <formula>0.95</formula>
    </cfRule>
    <cfRule type="cellIs" dxfId="387" priority="296" operator="lessThan">
      <formula>0.85</formula>
    </cfRule>
  </conditionalFormatting>
  <conditionalFormatting sqref="AF5:AF23">
    <cfRule type="cellIs" dxfId="386" priority="29" operator="lessThan">
      <formula>3.6</formula>
    </cfRule>
    <cfRule type="cellIs" dxfId="385" priority="30" operator="greaterThan">
      <formula>3.6</formula>
    </cfRule>
  </conditionalFormatting>
  <conditionalFormatting sqref="AG5:AG23">
    <cfRule type="cellIs" dxfId="384" priority="26" operator="lessThan">
      <formula>12</formula>
    </cfRule>
    <cfRule type="cellIs" dxfId="383" priority="27" operator="between">
      <formula>12</formula>
      <formula>14</formula>
    </cfRule>
    <cfRule type="cellIs" dxfId="382" priority="28" operator="greaterThan">
      <formula>14</formula>
    </cfRule>
  </conditionalFormatting>
  <conditionalFormatting sqref="AH5:AH23">
    <cfRule type="cellIs" dxfId="381" priority="24" operator="lessThan">
      <formula>7.5</formula>
    </cfRule>
    <cfRule type="cellIs" dxfId="380" priority="25" operator="greaterThan">
      <formula>10</formula>
    </cfRule>
  </conditionalFormatting>
  <conditionalFormatting sqref="AI5:AJ23">
    <cfRule type="cellIs" dxfId="379" priority="22" operator="lessThan">
      <formula>0.7</formula>
    </cfRule>
    <cfRule type="cellIs" dxfId="378" priority="23" operator="greaterThan">
      <formula>0.8</formula>
    </cfRule>
  </conditionalFormatting>
  <conditionalFormatting sqref="AK5:AL23">
    <cfRule type="cellIs" dxfId="377" priority="20" operator="lessThan">
      <formula>10</formula>
    </cfRule>
    <cfRule type="cellIs" dxfId="376" priority="21" operator="greaterThan">
      <formula>14</formula>
    </cfRule>
  </conditionalFormatting>
  <conditionalFormatting sqref="AM5:AM23">
    <cfRule type="cellIs" dxfId="375" priority="17" operator="lessThan">
      <formula>3</formula>
    </cfRule>
    <cfRule type="cellIs" dxfId="374" priority="18" operator="equal">
      <formula>3</formula>
    </cfRule>
    <cfRule type="cellIs" dxfId="373" priority="19" operator="equal">
      <formula>4</formula>
    </cfRule>
  </conditionalFormatting>
  <conditionalFormatting sqref="AN5:AN23">
    <cfRule type="cellIs" dxfId="372" priority="15" operator="greaterThan">
      <formula>0</formula>
    </cfRule>
    <cfRule type="cellIs" dxfId="371" priority="16" operator="equal">
      <formula>0</formula>
    </cfRule>
  </conditionalFormatting>
  <conditionalFormatting sqref="AO5:AO23">
    <cfRule type="cellIs" dxfId="370" priority="13" operator="lessThan">
      <formula>0.07</formula>
    </cfRule>
    <cfRule type="cellIs" dxfId="369" priority="14" operator="greaterThan">
      <formula>0.1</formula>
    </cfRule>
  </conditionalFormatting>
  <conditionalFormatting sqref="AD5:AE23">
    <cfRule type="cellIs" dxfId="368" priority="12" operator="greaterThan">
      <formula>12</formula>
    </cfRule>
  </conditionalFormatting>
  <conditionalFormatting sqref="I5:I23">
    <cfRule type="cellIs" dxfId="367" priority="7" operator="lessThan">
      <formula>3</formula>
    </cfRule>
    <cfRule type="cellIs" dxfId="366" priority="8" operator="greaterThan">
      <formula>7</formula>
    </cfRule>
  </conditionalFormatting>
  <conditionalFormatting sqref="T5:T23">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3">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3">
    <cfRule type="cellIs" dxfId="365" priority="1671" operator="greaterThan">
      <formula>10.99</formula>
    </cfRule>
    <cfRule type="colorScale" priority="1672">
      <colorScale>
        <cfvo type="min"/>
        <cfvo type="max"/>
        <color rgb="FFFFEF9C"/>
        <color rgb="FF63BE7B"/>
      </colorScale>
    </cfRule>
  </conditionalFormatting>
  <conditionalFormatting sqref="R5:R23">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3">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3">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I36"/>
  <sheetViews>
    <sheetView zoomScaleNormal="100" workbookViewId="0">
      <pane xSplit="14" ySplit="12" topLeftCell="O13" activePane="bottomRight" state="frozen"/>
      <selection pane="topRight" activeCell="T1" sqref="T1"/>
      <selection pane="bottomLeft" activeCell="A4" sqref="A4"/>
      <selection pane="bottomRight" activeCell="D13" sqref="D13"/>
    </sheetView>
  </sheetViews>
  <sheetFormatPr baseColWidth="10" defaultColWidth="11.42578125" defaultRowHeight="15" x14ac:dyDescent="0.25"/>
  <cols>
    <col min="1" max="1" width="4.7109375" bestFit="1" customWidth="1"/>
    <col min="2" max="2" width="5" bestFit="1" customWidth="1"/>
    <col min="3" max="3" width="5.140625" style="236" bestFit="1" customWidth="1"/>
    <col min="4" max="4" width="13.42578125" style="180" bestFit="1" customWidth="1"/>
    <col min="5" max="5" width="5.7109375" bestFit="1" customWidth="1"/>
    <col min="6" max="6" width="5.28515625" bestFit="1" customWidth="1"/>
    <col min="7" max="7" width="4.5703125" bestFit="1" customWidth="1"/>
    <col min="8" max="8" width="6.140625" style="156" bestFit="1" customWidth="1"/>
    <col min="9" max="14" width="6.140625" bestFit="1" customWidth="1"/>
    <col min="15" max="21" width="6.7109375" style="441" customWidth="1"/>
    <col min="22" max="22" width="5.5703125" style="441" bestFit="1" customWidth="1"/>
    <col min="23" max="23" width="5" style="441" bestFit="1" customWidth="1"/>
    <col min="24" max="30" width="5.85546875" style="441" customWidth="1"/>
    <col min="31" max="31" width="6.5703125" bestFit="1" customWidth="1"/>
    <col min="32" max="33" width="7.5703125" bestFit="1" customWidth="1"/>
    <col min="34" max="35" width="6.5703125" bestFit="1" customWidth="1"/>
  </cols>
  <sheetData>
    <row r="1" spans="1:35" x14ac:dyDescent="0.25">
      <c r="O1" s="371"/>
      <c r="P1" s="371"/>
      <c r="Q1" s="371"/>
      <c r="R1" s="371"/>
      <c r="S1" s="371"/>
      <c r="T1" s="371"/>
      <c r="U1" s="371"/>
    </row>
    <row r="2" spans="1:35" x14ac:dyDescent="0.25">
      <c r="C2" s="461" t="s">
        <v>121</v>
      </c>
      <c r="D2" s="461" t="s">
        <v>877</v>
      </c>
      <c r="E2" s="461" t="s">
        <v>882</v>
      </c>
      <c r="F2" s="461">
        <v>541</v>
      </c>
      <c r="G2" s="461">
        <v>532</v>
      </c>
      <c r="H2" s="461">
        <v>451</v>
      </c>
      <c r="I2" s="461">
        <v>442</v>
      </c>
      <c r="J2" s="461">
        <v>352</v>
      </c>
      <c r="K2" s="461">
        <v>343</v>
      </c>
      <c r="L2" s="461">
        <v>253</v>
      </c>
    </row>
    <row r="3" spans="1:35" x14ac:dyDescent="0.25">
      <c r="C3" s="275" t="s">
        <v>2</v>
      </c>
      <c r="D3" s="275">
        <v>1</v>
      </c>
      <c r="E3" s="275">
        <v>2</v>
      </c>
      <c r="F3" s="275">
        <v>1</v>
      </c>
      <c r="G3" s="275">
        <v>1</v>
      </c>
      <c r="H3" s="275">
        <v>0</v>
      </c>
      <c r="I3" s="275">
        <v>0</v>
      </c>
      <c r="J3" s="275">
        <v>0</v>
      </c>
      <c r="K3" s="275">
        <v>0</v>
      </c>
      <c r="L3" s="275">
        <v>0</v>
      </c>
    </row>
    <row r="4" spans="1:35" x14ac:dyDescent="0.25">
      <c r="C4" s="275" t="s">
        <v>878</v>
      </c>
      <c r="D4" s="275">
        <v>2</v>
      </c>
      <c r="E4" s="275">
        <v>22</v>
      </c>
      <c r="F4" s="275">
        <v>0</v>
      </c>
      <c r="G4" s="275">
        <v>0</v>
      </c>
      <c r="H4" s="275">
        <v>1</v>
      </c>
      <c r="I4" s="275">
        <v>0</v>
      </c>
      <c r="J4" s="275">
        <v>1</v>
      </c>
      <c r="K4" s="275">
        <v>0</v>
      </c>
      <c r="L4" s="275">
        <v>1</v>
      </c>
    </row>
    <row r="5" spans="1:35" x14ac:dyDescent="0.25">
      <c r="C5" s="275" t="s">
        <v>704</v>
      </c>
      <c r="D5" s="275">
        <v>3</v>
      </c>
      <c r="E5" s="275">
        <v>6</v>
      </c>
      <c r="F5" s="275">
        <v>1</v>
      </c>
      <c r="G5" s="275">
        <v>1</v>
      </c>
      <c r="H5" s="275">
        <v>1</v>
      </c>
      <c r="I5" s="275">
        <v>1</v>
      </c>
      <c r="J5" s="275">
        <v>1</v>
      </c>
      <c r="K5" s="275">
        <v>1</v>
      </c>
      <c r="L5" s="275">
        <v>1</v>
      </c>
      <c r="O5" s="688"/>
      <c r="P5" s="688"/>
      <c r="Q5" s="688"/>
      <c r="R5" s="688"/>
      <c r="S5" s="688"/>
      <c r="T5" s="688"/>
      <c r="U5" s="688"/>
      <c r="V5" s="688"/>
      <c r="W5" s="688"/>
      <c r="X5" s="688"/>
      <c r="Y5" s="688"/>
      <c r="Z5" s="688"/>
      <c r="AA5" s="688"/>
      <c r="AB5" s="688"/>
      <c r="AC5" s="688"/>
      <c r="AD5" s="688"/>
    </row>
    <row r="6" spans="1:35" x14ac:dyDescent="0.25">
      <c r="C6" s="275" t="s">
        <v>881</v>
      </c>
      <c r="D6" s="275">
        <v>3</v>
      </c>
      <c r="E6" s="275">
        <v>0</v>
      </c>
      <c r="F6" s="275">
        <v>0</v>
      </c>
      <c r="G6" s="275">
        <v>1</v>
      </c>
      <c r="H6" s="275">
        <v>1</v>
      </c>
      <c r="I6" s="275">
        <v>1</v>
      </c>
      <c r="J6" s="275">
        <v>1</v>
      </c>
      <c r="K6" s="275">
        <v>1</v>
      </c>
      <c r="L6" s="275">
        <v>1</v>
      </c>
      <c r="O6" s="619"/>
      <c r="P6" s="619"/>
      <c r="Q6" s="619"/>
      <c r="R6" s="619"/>
      <c r="S6" s="619"/>
      <c r="T6" s="619"/>
      <c r="U6" s="619"/>
      <c r="V6" s="619"/>
      <c r="W6" s="619"/>
      <c r="X6" s="619"/>
      <c r="Y6" s="619"/>
      <c r="Z6" s="619"/>
      <c r="AA6" s="619"/>
      <c r="AB6" s="619"/>
      <c r="AC6" s="619"/>
      <c r="AD6" s="619"/>
    </row>
    <row r="7" spans="1:35" x14ac:dyDescent="0.25">
      <c r="C7" s="275" t="s">
        <v>0</v>
      </c>
      <c r="D7" s="275">
        <v>1</v>
      </c>
      <c r="E7" s="275">
        <v>5</v>
      </c>
      <c r="F7" s="275">
        <v>1</v>
      </c>
      <c r="G7" s="275">
        <v>1</v>
      </c>
      <c r="H7" s="275">
        <v>1</v>
      </c>
      <c r="I7" s="275">
        <v>1</v>
      </c>
      <c r="J7" s="275">
        <v>1</v>
      </c>
      <c r="K7" s="275">
        <v>1</v>
      </c>
      <c r="L7" s="275">
        <v>1</v>
      </c>
      <c r="O7" s="619"/>
      <c r="P7" s="619"/>
      <c r="Q7" s="619"/>
      <c r="R7" s="619"/>
      <c r="S7" s="619"/>
      <c r="T7" s="619"/>
      <c r="U7" s="619"/>
      <c r="V7" s="619"/>
      <c r="W7" s="619"/>
      <c r="X7" s="619"/>
      <c r="Y7" s="619"/>
      <c r="Z7" s="619"/>
      <c r="AA7" s="619"/>
      <c r="AB7" s="619"/>
      <c r="AC7" s="619"/>
      <c r="AD7" s="619"/>
    </row>
    <row r="8" spans="1:35" x14ac:dyDescent="0.25">
      <c r="C8" s="275" t="s">
        <v>840</v>
      </c>
      <c r="D8" s="275">
        <v>0.5</v>
      </c>
      <c r="E8" s="275">
        <v>4</v>
      </c>
      <c r="F8" s="275">
        <v>0</v>
      </c>
      <c r="G8" s="275">
        <v>0</v>
      </c>
      <c r="H8" s="275">
        <v>0</v>
      </c>
      <c r="I8" s="275">
        <v>0</v>
      </c>
      <c r="J8" s="275">
        <v>0</v>
      </c>
      <c r="K8" s="275">
        <v>1</v>
      </c>
      <c r="L8" s="275">
        <v>1</v>
      </c>
    </row>
    <row r="9" spans="1:35" x14ac:dyDescent="0.25">
      <c r="C9" s="563"/>
      <c r="D9" s="563">
        <f>SUM(D3:D8)</f>
        <v>10.5</v>
      </c>
    </row>
    <row r="10" spans="1:35" x14ac:dyDescent="0.25">
      <c r="O10" s="179"/>
      <c r="P10" s="179"/>
      <c r="Q10" s="179"/>
      <c r="R10" s="179"/>
      <c r="S10" s="735" t="s">
        <v>623</v>
      </c>
      <c r="T10" s="735"/>
      <c r="U10" s="448">
        <f>O11+P11+Q11+R11+S11+T11+U11</f>
        <v>29</v>
      </c>
      <c r="V10" s="736">
        <f ca="1">D11+(U10*7)</f>
        <v>43258</v>
      </c>
      <c r="W10" s="736"/>
    </row>
    <row r="11" spans="1:35" s="267" customFormat="1" x14ac:dyDescent="0.25">
      <c r="C11" s="268"/>
      <c r="D11" s="440">
        <f ca="1">TODAY()</f>
        <v>43055</v>
      </c>
      <c r="E11" s="725">
        <v>41471</v>
      </c>
      <c r="F11" s="725"/>
      <c r="G11" s="586"/>
      <c r="H11" s="337"/>
      <c r="I11" s="269"/>
      <c r="J11" s="269"/>
      <c r="K11" s="269"/>
      <c r="L11" s="269"/>
      <c r="M11" s="269"/>
      <c r="N11" s="269"/>
      <c r="O11" s="449">
        <v>0</v>
      </c>
      <c r="P11" s="489">
        <v>4</v>
      </c>
      <c r="Q11" s="489">
        <v>4</v>
      </c>
      <c r="R11" s="449">
        <v>8</v>
      </c>
      <c r="S11" s="447">
        <v>10</v>
      </c>
      <c r="T11" s="447">
        <v>1</v>
      </c>
      <c r="U11" s="447">
        <v>2</v>
      </c>
      <c r="V11" s="442"/>
      <c r="W11" s="310"/>
      <c r="X11" s="594">
        <f>(X15+X14)/2</f>
        <v>0</v>
      </c>
      <c r="Y11" s="594" t="e">
        <f>AVERAGE(Y14:Y26)</f>
        <v>#DIV/0!</v>
      </c>
      <c r="Z11" s="594" t="e">
        <f>AVERAGE(Z14:Z31)</f>
        <v>#DIV/0!</v>
      </c>
      <c r="AA11" s="594" t="e">
        <f>AVERAGE(AA14:AA31)</f>
        <v>#DIV/0!</v>
      </c>
      <c r="AB11" s="594" t="e">
        <f>AVERAGE(AB14:AB31)</f>
        <v>#DIV/0!</v>
      </c>
      <c r="AC11" s="594" t="e">
        <f>AVERAGE(AC14:AC31)</f>
        <v>#DIV/0!</v>
      </c>
      <c r="AD11" s="594" t="e">
        <f>AVERAGE(AD14:AD31)</f>
        <v>#DIV/0!</v>
      </c>
    </row>
    <row r="12" spans="1:35" x14ac:dyDescent="0.25">
      <c r="A12" s="326" t="s">
        <v>453</v>
      </c>
      <c r="B12" s="326" t="s">
        <v>316</v>
      </c>
      <c r="C12" s="327" t="s">
        <v>529</v>
      </c>
      <c r="D12" s="328" t="s">
        <v>182</v>
      </c>
      <c r="E12" s="326" t="s">
        <v>183</v>
      </c>
      <c r="F12" s="326" t="s">
        <v>63</v>
      </c>
      <c r="G12" s="326" t="str">
        <f>PLANTILLA!J4</f>
        <v>HXP</v>
      </c>
      <c r="H12" s="326" t="s">
        <v>337</v>
      </c>
      <c r="I12" s="326" t="s">
        <v>188</v>
      </c>
      <c r="J12" s="326" t="s">
        <v>189</v>
      </c>
      <c r="K12" s="326" t="s">
        <v>190</v>
      </c>
      <c r="L12" s="326" t="s">
        <v>191</v>
      </c>
      <c r="M12" s="326" t="s">
        <v>192</v>
      </c>
      <c r="N12" s="326" t="s">
        <v>185</v>
      </c>
      <c r="O12" s="443" t="s">
        <v>337</v>
      </c>
      <c r="P12" s="443" t="s">
        <v>188</v>
      </c>
      <c r="Q12" s="443" t="s">
        <v>189</v>
      </c>
      <c r="R12" s="443" t="s">
        <v>190</v>
      </c>
      <c r="S12" s="443" t="s">
        <v>191</v>
      </c>
      <c r="T12" s="443" t="s">
        <v>192</v>
      </c>
      <c r="U12" s="443" t="s">
        <v>185</v>
      </c>
      <c r="V12" s="444" t="s">
        <v>183</v>
      </c>
      <c r="W12" s="444" t="s">
        <v>63</v>
      </c>
      <c r="X12" s="443" t="s">
        <v>337</v>
      </c>
      <c r="Y12" s="443" t="s">
        <v>188</v>
      </c>
      <c r="Z12" s="443" t="s">
        <v>189</v>
      </c>
      <c r="AA12" s="443" t="s">
        <v>190</v>
      </c>
      <c r="AB12" s="443" t="s">
        <v>191</v>
      </c>
      <c r="AC12" s="443" t="s">
        <v>192</v>
      </c>
      <c r="AD12" s="443" t="s">
        <v>185</v>
      </c>
      <c r="AE12" s="374" t="s">
        <v>700</v>
      </c>
      <c r="AF12" s="374" t="s">
        <v>857</v>
      </c>
      <c r="AG12" s="374" t="s">
        <v>602</v>
      </c>
      <c r="AH12" s="374" t="s">
        <v>603</v>
      </c>
      <c r="AI12" s="374" t="s">
        <v>604</v>
      </c>
    </row>
    <row r="13" spans="1:35" s="272" customFormat="1" x14ac:dyDescent="0.25">
      <c r="A13" s="416" t="s">
        <v>443</v>
      </c>
      <c r="B13" s="416" t="s">
        <v>1</v>
      </c>
      <c r="C13" s="417">
        <f t="shared" ref="C13" ca="1" si="0">((33*112)-(E13*112)-(F13))/112</f>
        <v>3.2053571428571428</v>
      </c>
      <c r="D13" s="418" t="str">
        <f>PLANTILLA!D5</f>
        <v>D. Gehmacher</v>
      </c>
      <c r="E13" s="686">
        <f>PLANTILLA!E5</f>
        <v>29</v>
      </c>
      <c r="F13" s="686">
        <f ca="1">PLANTILLA!F5</f>
        <v>89</v>
      </c>
      <c r="G13" s="521">
        <f>PLANTILLA!J5</f>
        <v>1.7050048012704384</v>
      </c>
      <c r="H13" s="521">
        <f>PLANTILLA!V5</f>
        <v>16.666666666666668</v>
      </c>
      <c r="I13" s="522">
        <f>PLANTILLA!W5</f>
        <v>11.650909090909092</v>
      </c>
      <c r="J13" s="521">
        <f>PLANTILLA!X5</f>
        <v>2.0199999999999996</v>
      </c>
      <c r="K13" s="522">
        <f>PLANTILLA!Y5</f>
        <v>2.1199999999999992</v>
      </c>
      <c r="L13" s="521">
        <f>PLANTILLA!Z5</f>
        <v>1.0300000000000002</v>
      </c>
      <c r="M13" s="522">
        <f>PLANTILLA!AA5</f>
        <v>0.14055555555555557</v>
      </c>
      <c r="N13" s="521">
        <f>PLANTILLA!AB5</f>
        <v>17.849999999999998</v>
      </c>
      <c r="O13" s="193">
        <v>1</v>
      </c>
      <c r="P13" s="193">
        <v>1</v>
      </c>
      <c r="Q13" s="193">
        <v>0.13</v>
      </c>
      <c r="R13" s="193">
        <v>0.13</v>
      </c>
      <c r="S13" s="193">
        <f t="shared" ref="S13:T19" si="1">0.17</f>
        <v>0.17</v>
      </c>
      <c r="T13" s="193">
        <f t="shared" si="1"/>
        <v>0.17</v>
      </c>
      <c r="U13" s="193">
        <v>1.25</v>
      </c>
      <c r="V13" s="445">
        <f t="shared" ref="V13" ca="1" si="2">INT((((E13*16*7)+F13)+($U$10*7))/112)</f>
        <v>31</v>
      </c>
      <c r="W13" s="446">
        <f t="shared" ref="W13" ca="1" si="3">((((E13*16*7)+F13)+($U$10*7)))-(INT((((E13*16*7)+F13)+($U$10*7))/112)*112)</f>
        <v>68</v>
      </c>
      <c r="X13" s="541"/>
      <c r="Y13" s="541"/>
      <c r="Z13" s="541"/>
      <c r="AA13" s="541"/>
      <c r="AB13" s="541"/>
      <c r="AC13" s="541"/>
      <c r="AD13" s="541"/>
      <c r="AE13" s="343">
        <f t="shared" ref="AE13" si="4">((Y13+1.5+G13)+(AB13+1.5+G13)*2)/8</f>
        <v>1.2018768004764144</v>
      </c>
      <c r="AF13" s="343">
        <f t="shared" ref="AF13" si="5">1.66*(AC13+G13+1.5)+0.55*(AD13+G13+1.5)-7.6</f>
        <v>-0.51693938919233151</v>
      </c>
      <c r="AG13" s="343">
        <f t="shared" ref="AG13" si="6">AD13*0.7+AC13*0.3</f>
        <v>0</v>
      </c>
      <c r="AH13" s="343">
        <f t="shared" ref="AH13" si="7">(0.5*AC13+ 0.3*AD13)/10</f>
        <v>0</v>
      </c>
      <c r="AI13" s="343">
        <f t="shared" ref="AI13" si="8">(0.4*Y13+0.3*AD13)/10</f>
        <v>0</v>
      </c>
    </row>
    <row r="14" spans="1:35" s="272" customFormat="1" x14ac:dyDescent="0.25">
      <c r="A14" s="416" t="s">
        <v>577</v>
      </c>
      <c r="B14" s="416" t="s">
        <v>1</v>
      </c>
      <c r="C14" s="417">
        <f t="shared" ref="C14:C31" ca="1" si="9">((33*112)-(E14*112)-(F14))/112</f>
        <v>-0.875</v>
      </c>
      <c r="D14" s="418" t="s">
        <v>307</v>
      </c>
      <c r="E14" s="686">
        <f>PLANTILLA!E6</f>
        <v>33</v>
      </c>
      <c r="F14" s="686">
        <f ca="1">PLANTILLA!F6</f>
        <v>98</v>
      </c>
      <c r="G14" s="521">
        <f>PLANTILLA!J6</f>
        <v>1.2593102295335583</v>
      </c>
      <c r="H14" s="521">
        <f>PLANTILLA!V6</f>
        <v>10.3</v>
      </c>
      <c r="I14" s="522">
        <f>PLANTILLA!W6</f>
        <v>10.794999999999998</v>
      </c>
      <c r="J14" s="521">
        <f>PLANTILLA!X6</f>
        <v>4.6100000000000012</v>
      </c>
      <c r="K14" s="522">
        <f>PLANTILLA!Y6</f>
        <v>4.99</v>
      </c>
      <c r="L14" s="521">
        <f>PLANTILLA!Z6</f>
        <v>6.5444444444444434</v>
      </c>
      <c r="M14" s="522">
        <f>PLANTILLA!AA6</f>
        <v>3.99</v>
      </c>
      <c r="N14" s="521">
        <f>PLANTILLA!AB6</f>
        <v>15.778888888888888</v>
      </c>
      <c r="O14" s="193">
        <v>1</v>
      </c>
      <c r="P14" s="193">
        <f>0.17</f>
        <v>0.17</v>
      </c>
      <c r="Q14" s="193">
        <v>0.13</v>
      </c>
      <c r="R14" s="193">
        <v>0.13</v>
      </c>
      <c r="S14" s="193">
        <f t="shared" si="1"/>
        <v>0.17</v>
      </c>
      <c r="T14" s="193">
        <f t="shared" si="1"/>
        <v>0.17</v>
      </c>
      <c r="U14" s="193">
        <v>1</v>
      </c>
      <c r="V14" s="445">
        <f t="shared" ref="V14:V31" ca="1" si="10">INT((((E14*16*7)+F14)+($U$10*7))/112)</f>
        <v>35</v>
      </c>
      <c r="W14" s="446">
        <f t="shared" ref="W14:W31" ca="1" si="11">((((E14*16*7)+F14)+($U$10*7)))-(INT((((E14*16*7)+F14)+($U$10*7))/112)*112)</f>
        <v>77</v>
      </c>
      <c r="X14" s="541"/>
      <c r="Y14" s="541"/>
      <c r="Z14" s="541"/>
      <c r="AA14" s="541"/>
      <c r="AB14" s="541"/>
      <c r="AC14" s="541"/>
      <c r="AD14" s="541"/>
      <c r="AE14" s="343">
        <f t="shared" ref="AE14:AE31" si="12">((Y14+1.5+G14)+(AB14+1.5+G14)*2)/8</f>
        <v>1.0347413360750846</v>
      </c>
      <c r="AF14" s="343">
        <f t="shared" ref="AF14:AF31" si="13">1.66*(AC14+G14+1.5)+0.55*(AD14+G14+1.5)-7.6</f>
        <v>-1.5019243927308352</v>
      </c>
      <c r="AG14" s="343">
        <f t="shared" ref="AG14:AG31" si="14">AD14*0.7+AC14*0.3</f>
        <v>0</v>
      </c>
      <c r="AH14" s="343">
        <f t="shared" ref="AH14:AH31" si="15">(0.5*AC14+ 0.3*AD14)/10</f>
        <v>0</v>
      </c>
      <c r="AI14" s="343">
        <f t="shared" ref="AI14:AI31" si="16">(0.4*Y14+0.3*AD14)/10</f>
        <v>0</v>
      </c>
    </row>
    <row r="15" spans="1:35" s="284" customFormat="1" x14ac:dyDescent="0.25">
      <c r="A15" s="416" t="s">
        <v>717</v>
      </c>
      <c r="B15" s="416" t="s">
        <v>2</v>
      </c>
      <c r="C15" s="417">
        <f ca="1">((33*112)-(E15*112)-(F15))/112</f>
        <v>3.0982142857142856</v>
      </c>
      <c r="D15" s="418" t="s">
        <v>1027</v>
      </c>
      <c r="E15" s="686">
        <f>PLANTILLA!E7</f>
        <v>29</v>
      </c>
      <c r="F15" s="686">
        <f ca="1">PLANTILLA!F7</f>
        <v>101</v>
      </c>
      <c r="G15" s="521">
        <f>PLANTILLA!J7</f>
        <v>1.5681216787409085</v>
      </c>
      <c r="H15" s="521">
        <f>PLANTILLA!V7</f>
        <v>0</v>
      </c>
      <c r="I15" s="522">
        <f>PLANTILLA!W7</f>
        <v>14.200000000000003</v>
      </c>
      <c r="J15" s="521">
        <f>PLANTILLA!X7</f>
        <v>9.283333333333335</v>
      </c>
      <c r="K15" s="522">
        <f>PLANTILLA!Y7</f>
        <v>14.249999999999996</v>
      </c>
      <c r="L15" s="521">
        <f>PLANTILLA!Z7</f>
        <v>9.3499999999999979</v>
      </c>
      <c r="M15" s="522">
        <f>PLANTILLA!AA7</f>
        <v>1.1428571428571428</v>
      </c>
      <c r="N15" s="521">
        <f>PLANTILLA!AB7</f>
        <v>9.4</v>
      </c>
      <c r="O15" s="193">
        <v>0</v>
      </c>
      <c r="P15" s="193">
        <v>1</v>
      </c>
      <c r="Q15" s="193">
        <v>0.13</v>
      </c>
      <c r="R15" s="193">
        <v>0.13</v>
      </c>
      <c r="S15" s="193">
        <v>1</v>
      </c>
      <c r="T15" s="193">
        <f t="shared" si="1"/>
        <v>0.17</v>
      </c>
      <c r="U15" s="193">
        <v>1</v>
      </c>
      <c r="V15" s="445">
        <f ca="1">INT((((E15*16*7)+F15)+($U$10*7))/112)</f>
        <v>31</v>
      </c>
      <c r="W15" s="446">
        <f ca="1">((((E15*16*7)+F15)+($U$10*7)))-(INT((((E15*16*7)+F15)+($U$10*7))/112)*112)</f>
        <v>80</v>
      </c>
      <c r="X15" s="541"/>
      <c r="Y15" s="541"/>
      <c r="Z15" s="541"/>
      <c r="AA15" s="541"/>
      <c r="AB15" s="541"/>
      <c r="AC15" s="541"/>
      <c r="AD15" s="541"/>
      <c r="AE15" s="343">
        <f>((Y15+1.5+G15)+(AB15+1.5+G15)*2)/8</f>
        <v>1.1505456295278407</v>
      </c>
      <c r="AF15" s="343">
        <f>1.66*(AC15+G15+1.5)+0.55*(AD15+G15+1.5)-7.6</f>
        <v>-0.81945108998259197</v>
      </c>
      <c r="AG15" s="343">
        <f t="shared" ref="AG15" si="17">AD15*0.7+AC15*0.3</f>
        <v>0</v>
      </c>
      <c r="AH15" s="343">
        <f t="shared" ref="AH15" si="18">(0.5*AC15+ 0.3*AD15)/10</f>
        <v>0</v>
      </c>
      <c r="AI15" s="343">
        <f t="shared" ref="AI15" si="19">(0.4*Y15+0.3*AD15)/10</f>
        <v>0</v>
      </c>
    </row>
    <row r="16" spans="1:35" s="289" customFormat="1" x14ac:dyDescent="0.25">
      <c r="A16" s="332" t="s">
        <v>717</v>
      </c>
      <c r="B16" s="285" t="s">
        <v>2</v>
      </c>
      <c r="C16" s="286">
        <f t="shared" ca="1" si="9"/>
        <v>1.6964285714285714</v>
      </c>
      <c r="D16" s="321" t="s">
        <v>315</v>
      </c>
      <c r="E16" s="686">
        <f>PLANTILLA!E8</f>
        <v>31</v>
      </c>
      <c r="F16" s="686">
        <f ca="1">PLANTILLA!F8</f>
        <v>34</v>
      </c>
      <c r="G16" s="521">
        <f>PLANTILLA!J8</f>
        <v>1.2392252342857237</v>
      </c>
      <c r="H16" s="521">
        <f>PLANTILLA!V8</f>
        <v>0</v>
      </c>
      <c r="I16" s="522">
        <f>PLANTILLA!W8</f>
        <v>11</v>
      </c>
      <c r="J16" s="521">
        <f>PLANTILLA!X8</f>
        <v>6.1594444444444418</v>
      </c>
      <c r="K16" s="522">
        <f>PLANTILLA!Y8</f>
        <v>5.98</v>
      </c>
      <c r="L16" s="521">
        <f>PLANTILLA!Z8</f>
        <v>7.7227777777777789</v>
      </c>
      <c r="M16" s="522">
        <f>PLANTILLA!AA8</f>
        <v>4.383333333333332</v>
      </c>
      <c r="N16" s="521">
        <f>PLANTILLA!AB8</f>
        <v>15.349999999999998</v>
      </c>
      <c r="O16" s="193">
        <v>0</v>
      </c>
      <c r="P16" s="193">
        <v>1</v>
      </c>
      <c r="Q16" s="193">
        <v>0.5</v>
      </c>
      <c r="R16" s="193">
        <v>1</v>
      </c>
      <c r="S16" s="193">
        <v>1</v>
      </c>
      <c r="T16" s="193">
        <f t="shared" si="1"/>
        <v>0.17</v>
      </c>
      <c r="U16" s="193">
        <v>1</v>
      </c>
      <c r="V16" s="445">
        <f t="shared" ca="1" si="10"/>
        <v>33</v>
      </c>
      <c r="W16" s="446">
        <f t="shared" ca="1" si="11"/>
        <v>13</v>
      </c>
      <c r="X16" s="541"/>
      <c r="Y16" s="541"/>
      <c r="Z16" s="541"/>
      <c r="AA16" s="541"/>
      <c r="AB16" s="541"/>
      <c r="AC16" s="541"/>
      <c r="AD16" s="541"/>
      <c r="AE16" s="343">
        <f t="shared" si="12"/>
        <v>1.0272094628571464</v>
      </c>
      <c r="AF16" s="343">
        <f t="shared" si="13"/>
        <v>-1.5463122322285505</v>
      </c>
      <c r="AG16" s="343">
        <f t="shared" si="14"/>
        <v>0</v>
      </c>
      <c r="AH16" s="343">
        <f t="shared" si="15"/>
        <v>0</v>
      </c>
      <c r="AI16" s="343">
        <f t="shared" si="16"/>
        <v>0</v>
      </c>
    </row>
    <row r="17" spans="1:35" s="288" customFormat="1" x14ac:dyDescent="0.25">
      <c r="A17" s="416" t="s">
        <v>447</v>
      </c>
      <c r="B17" s="416" t="s">
        <v>2</v>
      </c>
      <c r="C17" s="417">
        <f t="shared" ca="1" si="9"/>
        <v>2.1071428571428572</v>
      </c>
      <c r="D17" s="418" t="s">
        <v>309</v>
      </c>
      <c r="E17" s="686">
        <f>PLANTILLA!E9</f>
        <v>30</v>
      </c>
      <c r="F17" s="686">
        <f ca="1">PLANTILLA!F9</f>
        <v>100</v>
      </c>
      <c r="G17" s="521">
        <f>PLANTILLA!J9</f>
        <v>1.4896950608743522</v>
      </c>
      <c r="H17" s="521">
        <f>PLANTILLA!V9</f>
        <v>0</v>
      </c>
      <c r="I17" s="522">
        <f>PLANTILLA!W9</f>
        <v>12.060000000000004</v>
      </c>
      <c r="J17" s="521">
        <f>PLANTILLA!X9</f>
        <v>13.020999999999999</v>
      </c>
      <c r="K17" s="522">
        <f>PLANTILLA!Y9</f>
        <v>9.7100000000000062</v>
      </c>
      <c r="L17" s="521">
        <f>PLANTILLA!Z9</f>
        <v>9.5299999999999994</v>
      </c>
      <c r="M17" s="522">
        <f>PLANTILLA!AA9</f>
        <v>3.6816666666666658</v>
      </c>
      <c r="N17" s="521">
        <f>PLANTILLA!AB9</f>
        <v>16.627777777777773</v>
      </c>
      <c r="O17" s="193">
        <v>0</v>
      </c>
      <c r="P17" s="193">
        <v>1</v>
      </c>
      <c r="Q17" s="193">
        <v>0.13</v>
      </c>
      <c r="R17" s="193">
        <v>0.5</v>
      </c>
      <c r="S17" s="193">
        <v>1</v>
      </c>
      <c r="T17" s="193">
        <f t="shared" si="1"/>
        <v>0.17</v>
      </c>
      <c r="U17" s="193">
        <v>1</v>
      </c>
      <c r="V17" s="445">
        <f t="shared" ca="1" si="10"/>
        <v>32</v>
      </c>
      <c r="W17" s="446">
        <f t="shared" ca="1" si="11"/>
        <v>79</v>
      </c>
      <c r="X17" s="541"/>
      <c r="Y17" s="541"/>
      <c r="Z17" s="541"/>
      <c r="AA17" s="541"/>
      <c r="AB17" s="541"/>
      <c r="AC17" s="541"/>
      <c r="AD17" s="541"/>
      <c r="AE17" s="343">
        <f t="shared" si="12"/>
        <v>1.121135647827882</v>
      </c>
      <c r="AF17" s="343">
        <f t="shared" si="13"/>
        <v>-0.99277391546768179</v>
      </c>
      <c r="AG17" s="343">
        <f t="shared" si="14"/>
        <v>0</v>
      </c>
      <c r="AH17" s="343">
        <f t="shared" si="15"/>
        <v>0</v>
      </c>
      <c r="AI17" s="343">
        <f t="shared" si="16"/>
        <v>0</v>
      </c>
    </row>
    <row r="18" spans="1:35" s="4" customFormat="1" x14ac:dyDescent="0.25">
      <c r="A18" s="416" t="s">
        <v>451</v>
      </c>
      <c r="B18" s="285" t="s">
        <v>2</v>
      </c>
      <c r="C18" s="286">
        <f t="shared" ca="1" si="9"/>
        <v>2.2410714285714284</v>
      </c>
      <c r="D18" s="321" t="s">
        <v>313</v>
      </c>
      <c r="E18" s="686">
        <f>PLANTILLA!E10</f>
        <v>30</v>
      </c>
      <c r="F18" s="686">
        <f ca="1">PLANTILLA!F10</f>
        <v>85</v>
      </c>
      <c r="G18" s="521">
        <f>PLANTILLA!J10</f>
        <v>1.34480022901589</v>
      </c>
      <c r="H18" s="521">
        <f>PLANTILLA!V10</f>
        <v>0</v>
      </c>
      <c r="I18" s="522">
        <f>PLANTILLA!W10</f>
        <v>11.649999999999997</v>
      </c>
      <c r="J18" s="521">
        <f>PLANTILLA!X10</f>
        <v>6.6275000000000022</v>
      </c>
      <c r="K18" s="522">
        <f>PLANTILLA!Y10</f>
        <v>7.2200000000000015</v>
      </c>
      <c r="L18" s="521">
        <f>PLANTILLA!Z10</f>
        <v>9.0199999999999978</v>
      </c>
      <c r="M18" s="522">
        <f>PLANTILLA!AA10</f>
        <v>4.6199999999999966</v>
      </c>
      <c r="N18" s="521">
        <f>PLANTILLA!AB10</f>
        <v>15.6</v>
      </c>
      <c r="O18" s="193">
        <v>0</v>
      </c>
      <c r="P18" s="193">
        <v>1</v>
      </c>
      <c r="Q18" s="193">
        <v>0.5</v>
      </c>
      <c r="R18" s="193">
        <v>1</v>
      </c>
      <c r="S18" s="193">
        <v>1</v>
      </c>
      <c r="T18" s="193">
        <f t="shared" si="1"/>
        <v>0.17</v>
      </c>
      <c r="U18" s="193">
        <v>1</v>
      </c>
      <c r="V18" s="445">
        <f t="shared" ca="1" si="10"/>
        <v>32</v>
      </c>
      <c r="W18" s="446">
        <f t="shared" ca="1" si="11"/>
        <v>64</v>
      </c>
      <c r="X18" s="541"/>
      <c r="Y18" s="541"/>
      <c r="Z18" s="541"/>
      <c r="AA18" s="541"/>
      <c r="AB18" s="541"/>
      <c r="AC18" s="541"/>
      <c r="AD18" s="541"/>
      <c r="AE18" s="343">
        <f t="shared" si="12"/>
        <v>1.0668000858809588</v>
      </c>
      <c r="AF18" s="343">
        <f t="shared" si="13"/>
        <v>-1.3129914938748826</v>
      </c>
      <c r="AG18" s="343">
        <f t="shared" si="14"/>
        <v>0</v>
      </c>
      <c r="AH18" s="343">
        <f t="shared" si="15"/>
        <v>0</v>
      </c>
      <c r="AI18" s="343">
        <f t="shared" si="16"/>
        <v>0</v>
      </c>
    </row>
    <row r="19" spans="1:35" s="288" customFormat="1" x14ac:dyDescent="0.25">
      <c r="A19" s="331" t="s">
        <v>703</v>
      </c>
      <c r="B19" s="285" t="s">
        <v>2</v>
      </c>
      <c r="C19" s="286">
        <f t="shared" ca="1" si="9"/>
        <v>6.0357142857142856</v>
      </c>
      <c r="D19" s="321" t="s">
        <v>702</v>
      </c>
      <c r="E19" s="686">
        <f>PLANTILLA!E11</f>
        <v>26</v>
      </c>
      <c r="F19" s="686">
        <f ca="1">PLANTILLA!F11</f>
        <v>108</v>
      </c>
      <c r="G19" s="521">
        <f>PLANTILLA!J11</f>
        <v>1.0278026821895256</v>
      </c>
      <c r="H19" s="521">
        <f>PLANTILLA!V11</f>
        <v>0</v>
      </c>
      <c r="I19" s="522">
        <f>PLANTILLA!W11</f>
        <v>9.5796666666666663</v>
      </c>
      <c r="J19" s="521">
        <f>PLANTILLA!X11</f>
        <v>7.7107222222222234</v>
      </c>
      <c r="K19" s="522">
        <f>PLANTILLA!Y11</f>
        <v>6.129999999999999</v>
      </c>
      <c r="L19" s="521">
        <f>PLANTILLA!Z11</f>
        <v>8.8633333333333315</v>
      </c>
      <c r="M19" s="522">
        <f>PLANTILLA!AA11</f>
        <v>3.2566666666666673</v>
      </c>
      <c r="N19" s="521">
        <f>PLANTILLA!AB11</f>
        <v>13.238888888888889</v>
      </c>
      <c r="O19" s="193">
        <v>0</v>
      </c>
      <c r="P19" s="193">
        <f>0.17</f>
        <v>0.17</v>
      </c>
      <c r="Q19" s="193">
        <v>0.13</v>
      </c>
      <c r="R19" s="193">
        <v>0.13</v>
      </c>
      <c r="S19" s="193">
        <v>1</v>
      </c>
      <c r="T19" s="193">
        <f t="shared" si="1"/>
        <v>0.17</v>
      </c>
      <c r="U19" s="193">
        <v>1</v>
      </c>
      <c r="V19" s="445">
        <f t="shared" ca="1" si="10"/>
        <v>28</v>
      </c>
      <c r="W19" s="446">
        <f t="shared" ca="1" si="11"/>
        <v>87</v>
      </c>
      <c r="X19" s="541"/>
      <c r="Y19" s="541"/>
      <c r="Z19" s="541"/>
      <c r="AA19" s="541"/>
      <c r="AB19" s="541"/>
      <c r="AC19" s="541"/>
      <c r="AD19" s="541"/>
      <c r="AE19" s="343">
        <f t="shared" si="12"/>
        <v>0.94792600582107212</v>
      </c>
      <c r="AF19" s="343">
        <f t="shared" si="13"/>
        <v>-2.0135560723611485</v>
      </c>
      <c r="AG19" s="343">
        <f t="shared" si="14"/>
        <v>0</v>
      </c>
      <c r="AH19" s="343">
        <f t="shared" si="15"/>
        <v>0</v>
      </c>
      <c r="AI19" s="343">
        <f t="shared" si="16"/>
        <v>0</v>
      </c>
    </row>
    <row r="20" spans="1:35" s="288" customFormat="1" x14ac:dyDescent="0.25">
      <c r="A20" s="416" t="s">
        <v>445</v>
      </c>
      <c r="B20" s="416" t="s">
        <v>66</v>
      </c>
      <c r="C20" s="417">
        <f t="shared" ca="1" si="9"/>
        <v>2.4464285714285716</v>
      </c>
      <c r="D20" s="418" t="s">
        <v>310</v>
      </c>
      <c r="E20" s="686">
        <f>PLANTILLA!E12</f>
        <v>30</v>
      </c>
      <c r="F20" s="686">
        <f ca="1">PLANTILLA!F12</f>
        <v>62</v>
      </c>
      <c r="G20" s="521">
        <f>PLANTILLA!J12</f>
        <v>1.4940985749411331</v>
      </c>
      <c r="H20" s="521">
        <f>PLANTILLA!V12</f>
        <v>0</v>
      </c>
      <c r="I20" s="522">
        <f>PLANTILLA!W12</f>
        <v>11.99</v>
      </c>
      <c r="J20" s="521">
        <f>PLANTILLA!X12</f>
        <v>12.399111111111115</v>
      </c>
      <c r="K20" s="522">
        <f>PLANTILLA!Y12</f>
        <v>13.05</v>
      </c>
      <c r="L20" s="521">
        <f>PLANTILLA!Z12</f>
        <v>10.84</v>
      </c>
      <c r="M20" s="522">
        <f>PLANTILLA!AA12</f>
        <v>7.7700000000000005</v>
      </c>
      <c r="N20" s="521">
        <f>PLANTILLA!AB12</f>
        <v>17.13</v>
      </c>
      <c r="O20" s="193">
        <v>0</v>
      </c>
      <c r="P20" s="193">
        <v>1</v>
      </c>
      <c r="Q20" s="193">
        <v>0.5</v>
      </c>
      <c r="R20" s="193">
        <v>0.5</v>
      </c>
      <c r="S20" s="193">
        <v>1</v>
      </c>
      <c r="T20" s="193">
        <v>1</v>
      </c>
      <c r="U20" s="193">
        <v>1.25</v>
      </c>
      <c r="V20" s="445">
        <f t="shared" ca="1" si="10"/>
        <v>32</v>
      </c>
      <c r="W20" s="446">
        <f t="shared" ca="1" si="11"/>
        <v>41</v>
      </c>
      <c r="X20" s="541"/>
      <c r="Y20" s="541"/>
      <c r="Z20" s="541"/>
      <c r="AA20" s="541"/>
      <c r="AB20" s="541"/>
      <c r="AC20" s="541"/>
      <c r="AD20" s="541"/>
      <c r="AE20" s="343">
        <f t="shared" si="12"/>
        <v>1.1227869656029248</v>
      </c>
      <c r="AF20" s="343">
        <f t="shared" si="13"/>
        <v>-0.98304214938009515</v>
      </c>
      <c r="AG20" s="343">
        <f t="shared" si="14"/>
        <v>0</v>
      </c>
      <c r="AH20" s="343">
        <f t="shared" si="15"/>
        <v>0</v>
      </c>
      <c r="AI20" s="343">
        <f t="shared" si="16"/>
        <v>0</v>
      </c>
    </row>
    <row r="21" spans="1:35" s="272" customFormat="1" x14ac:dyDescent="0.25">
      <c r="A21" s="416" t="s">
        <v>452</v>
      </c>
      <c r="B21" s="416" t="s">
        <v>66</v>
      </c>
      <c r="C21" s="417">
        <f t="shared" ca="1" si="9"/>
        <v>2.9196428571428572</v>
      </c>
      <c r="D21" s="418" t="s">
        <v>338</v>
      </c>
      <c r="E21" s="686">
        <f>PLANTILLA!E13</f>
        <v>30</v>
      </c>
      <c r="F21" s="686">
        <f ca="1">PLANTILLA!F13</f>
        <v>9</v>
      </c>
      <c r="G21" s="521">
        <f>PLANTILLA!J13</f>
        <v>1.3989573635602419</v>
      </c>
      <c r="H21" s="521">
        <f>PLANTILLA!V13</f>
        <v>0</v>
      </c>
      <c r="I21" s="522">
        <f>PLANTILLA!W13</f>
        <v>7.11</v>
      </c>
      <c r="J21" s="521">
        <f>PLANTILLA!X13</f>
        <v>10.250000000000004</v>
      </c>
      <c r="K21" s="522">
        <f>PLANTILLA!Y13</f>
        <v>13.305</v>
      </c>
      <c r="L21" s="521">
        <f>PLANTILLA!Z13</f>
        <v>10.289999999999997</v>
      </c>
      <c r="M21" s="522">
        <f>PLANTILLA!AA13</f>
        <v>5.4050000000000002</v>
      </c>
      <c r="N21" s="521">
        <f>PLANTILLA!AB13</f>
        <v>17.300000000000004</v>
      </c>
      <c r="O21" s="193">
        <v>0</v>
      </c>
      <c r="P21" s="193">
        <v>1</v>
      </c>
      <c r="Q21" s="193">
        <v>1</v>
      </c>
      <c r="R21" s="193">
        <v>1</v>
      </c>
      <c r="S21" s="193">
        <v>1</v>
      </c>
      <c r="T21" s="193">
        <v>1</v>
      </c>
      <c r="U21" s="193">
        <v>1</v>
      </c>
      <c r="V21" s="445">
        <f t="shared" ca="1" si="10"/>
        <v>31</v>
      </c>
      <c r="W21" s="446">
        <f t="shared" ca="1" si="11"/>
        <v>100</v>
      </c>
      <c r="X21" s="541"/>
      <c r="Y21" s="541"/>
      <c r="Z21" s="541"/>
      <c r="AA21" s="541"/>
      <c r="AB21" s="541"/>
      <c r="AC21" s="541"/>
      <c r="AD21" s="541"/>
      <c r="AE21" s="343">
        <f t="shared" si="12"/>
        <v>1.0871090113350905</v>
      </c>
      <c r="AF21" s="343">
        <f t="shared" si="13"/>
        <v>-1.1933042265318647</v>
      </c>
      <c r="AG21" s="343">
        <f t="shared" si="14"/>
        <v>0</v>
      </c>
      <c r="AH21" s="343">
        <f t="shared" si="15"/>
        <v>0</v>
      </c>
      <c r="AI21" s="343">
        <f t="shared" si="16"/>
        <v>0</v>
      </c>
    </row>
    <row r="22" spans="1:35" s="289" customFormat="1" x14ac:dyDescent="0.25">
      <c r="A22" s="416" t="s">
        <v>599</v>
      </c>
      <c r="B22" s="416" t="s">
        <v>66</v>
      </c>
      <c r="C22" s="417">
        <f t="shared" ca="1" si="9"/>
        <v>5.7857142857142856</v>
      </c>
      <c r="D22" s="418" t="s">
        <v>600</v>
      </c>
      <c r="E22" s="686">
        <f>PLANTILLA!E14</f>
        <v>27</v>
      </c>
      <c r="F22" s="686">
        <f ca="1">PLANTILLA!F14</f>
        <v>24</v>
      </c>
      <c r="G22" s="521">
        <f>PLANTILLA!J14</f>
        <v>1.3096949773860913</v>
      </c>
      <c r="H22" s="521">
        <f>PLANTILLA!V14</f>
        <v>0</v>
      </c>
      <c r="I22" s="522">
        <f>PLANTILLA!W14</f>
        <v>8.1199999999999992</v>
      </c>
      <c r="J22" s="521">
        <f>PLANTILLA!X14</f>
        <v>11.958412698412697</v>
      </c>
      <c r="K22" s="522">
        <f>PLANTILLA!Y14</f>
        <v>12.13</v>
      </c>
      <c r="L22" s="521">
        <f>PLANTILLA!Z14</f>
        <v>10.24</v>
      </c>
      <c r="M22" s="522">
        <f>PLANTILLA!AA14</f>
        <v>7.4766666666666666</v>
      </c>
      <c r="N22" s="521">
        <f>PLANTILLA!AB14</f>
        <v>15.270000000000001</v>
      </c>
      <c r="O22" s="193">
        <v>0</v>
      </c>
      <c r="P22" s="193">
        <v>1</v>
      </c>
      <c r="Q22" s="193">
        <v>1</v>
      </c>
      <c r="R22" s="193">
        <v>1</v>
      </c>
      <c r="S22" s="193">
        <v>1</v>
      </c>
      <c r="T22" s="193">
        <v>1</v>
      </c>
      <c r="U22" s="193">
        <v>1.25</v>
      </c>
      <c r="V22" s="445">
        <f t="shared" ca="1" si="10"/>
        <v>29</v>
      </c>
      <c r="W22" s="446">
        <f t="shared" ca="1" si="11"/>
        <v>3</v>
      </c>
      <c r="X22" s="541"/>
      <c r="Y22" s="541"/>
      <c r="Z22" s="541"/>
      <c r="AA22" s="541"/>
      <c r="AB22" s="541"/>
      <c r="AC22" s="541"/>
      <c r="AD22" s="541"/>
      <c r="AE22" s="343">
        <f t="shared" si="12"/>
        <v>1.0536356165197844</v>
      </c>
      <c r="AF22" s="343">
        <f t="shared" si="13"/>
        <v>-1.390574099976738</v>
      </c>
      <c r="AG22" s="343">
        <f t="shared" si="14"/>
        <v>0</v>
      </c>
      <c r="AH22" s="343">
        <f t="shared" si="15"/>
        <v>0</v>
      </c>
      <c r="AI22" s="343">
        <f t="shared" si="16"/>
        <v>0</v>
      </c>
    </row>
    <row r="23" spans="1:35" s="272" customFormat="1" x14ac:dyDescent="0.25">
      <c r="A23" s="416" t="s">
        <v>448</v>
      </c>
      <c r="B23" s="285" t="s">
        <v>65</v>
      </c>
      <c r="C23" s="286">
        <f t="shared" ca="1" si="9"/>
        <v>3.8125</v>
      </c>
      <c r="D23" s="321" t="s">
        <v>455</v>
      </c>
      <c r="E23" s="686">
        <f>PLANTILLA!E15</f>
        <v>29</v>
      </c>
      <c r="F23" s="686">
        <f ca="1">PLANTILLA!F15</f>
        <v>21</v>
      </c>
      <c r="G23" s="521">
        <f>PLANTILLA!J15</f>
        <v>1.4092064684486303</v>
      </c>
      <c r="H23" s="521">
        <f>PLANTILLA!V15</f>
        <v>0</v>
      </c>
      <c r="I23" s="522">
        <f>PLANTILLA!W15</f>
        <v>9.0936666666666657</v>
      </c>
      <c r="J23" s="521">
        <f>PLANTILLA!X15</f>
        <v>13.499999999999998</v>
      </c>
      <c r="K23" s="522">
        <f>PLANTILLA!Y15</f>
        <v>12.725000000000001</v>
      </c>
      <c r="L23" s="521">
        <f>PLANTILLA!Z15</f>
        <v>9.6033333333333353</v>
      </c>
      <c r="M23" s="522">
        <f>PLANTILLA!AA15</f>
        <v>5.0296666666666656</v>
      </c>
      <c r="N23" s="521">
        <f>PLANTILLA!AB15</f>
        <v>15.2</v>
      </c>
      <c r="O23" s="193">
        <v>0</v>
      </c>
      <c r="P23" s="193">
        <f t="shared" ref="P23" si="20">0.17</f>
        <v>0.17</v>
      </c>
      <c r="Q23" s="193">
        <v>1</v>
      </c>
      <c r="R23" s="193">
        <v>0.5</v>
      </c>
      <c r="S23" s="193">
        <v>1</v>
      </c>
      <c r="T23" s="193">
        <v>1</v>
      </c>
      <c r="U23" s="193">
        <v>1</v>
      </c>
      <c r="V23" s="445">
        <f t="shared" ca="1" si="10"/>
        <v>31</v>
      </c>
      <c r="W23" s="446">
        <f t="shared" ca="1" si="11"/>
        <v>0</v>
      </c>
      <c r="X23" s="541"/>
      <c r="Y23" s="541"/>
      <c r="Z23" s="541"/>
      <c r="AA23" s="541"/>
      <c r="AB23" s="541"/>
      <c r="AC23" s="541"/>
      <c r="AD23" s="541"/>
      <c r="AE23" s="343">
        <f t="shared" si="12"/>
        <v>1.0909524256682364</v>
      </c>
      <c r="AF23" s="343">
        <f t="shared" si="13"/>
        <v>-1.1706537047285268</v>
      </c>
      <c r="AG23" s="343">
        <f t="shared" si="14"/>
        <v>0</v>
      </c>
      <c r="AH23" s="343">
        <f t="shared" si="15"/>
        <v>0</v>
      </c>
      <c r="AI23" s="343">
        <f t="shared" si="16"/>
        <v>0</v>
      </c>
    </row>
    <row r="24" spans="1:35" s="265" customFormat="1" x14ac:dyDescent="0.25">
      <c r="A24" s="332" t="s">
        <v>449</v>
      </c>
      <c r="B24" s="416" t="s">
        <v>65</v>
      </c>
      <c r="C24" s="417">
        <f t="shared" ca="1" si="9"/>
        <v>1.5089285714285714</v>
      </c>
      <c r="D24" s="418" t="s">
        <v>325</v>
      </c>
      <c r="E24" s="686">
        <f>PLANTILLA!E16</f>
        <v>31</v>
      </c>
      <c r="F24" s="686">
        <f ca="1">PLANTILLA!F16</f>
        <v>55</v>
      </c>
      <c r="G24" s="521">
        <f>PLANTILLA!J16</f>
        <v>1.4340626151900411</v>
      </c>
      <c r="H24" s="521">
        <f>PLANTILLA!V16</f>
        <v>0</v>
      </c>
      <c r="I24" s="522">
        <f>PLANTILLA!W16</f>
        <v>8.6075555555555585</v>
      </c>
      <c r="J24" s="522">
        <f>PLANTILLA!X16</f>
        <v>14.09516031746031</v>
      </c>
      <c r="K24" s="522">
        <f>PLANTILLA!Y16</f>
        <v>10.049999999999995</v>
      </c>
      <c r="L24" s="521">
        <f>PLANTILLA!Z16</f>
        <v>10.029999999999999</v>
      </c>
      <c r="M24" s="522">
        <f>PLANTILLA!AA16</f>
        <v>4.3999999999999995</v>
      </c>
      <c r="N24" s="521">
        <f>PLANTILLA!AB16</f>
        <v>16.544444444444441</v>
      </c>
      <c r="O24" s="193">
        <v>0</v>
      </c>
      <c r="P24" s="193">
        <f t="shared" ref="P24:P31" si="21">0.17</f>
        <v>0.17</v>
      </c>
      <c r="Q24" s="193">
        <v>1</v>
      </c>
      <c r="R24" s="193">
        <v>0.5</v>
      </c>
      <c r="S24" s="193">
        <v>1</v>
      </c>
      <c r="T24" s="193">
        <f t="shared" ref="T24:T28" si="22">0.17</f>
        <v>0.17</v>
      </c>
      <c r="U24" s="193">
        <v>1</v>
      </c>
      <c r="V24" s="445">
        <f t="shared" ca="1" si="10"/>
        <v>33</v>
      </c>
      <c r="W24" s="446">
        <f t="shared" ca="1" si="11"/>
        <v>34</v>
      </c>
      <c r="X24" s="541"/>
      <c r="Y24" s="541"/>
      <c r="Z24" s="541"/>
      <c r="AA24" s="541"/>
      <c r="AB24" s="541"/>
      <c r="AC24" s="541"/>
      <c r="AD24" s="541"/>
      <c r="AE24" s="343">
        <f t="shared" si="12"/>
        <v>1.1002734806962655</v>
      </c>
      <c r="AF24" s="343">
        <f t="shared" si="13"/>
        <v>-1.1157216204300093</v>
      </c>
      <c r="AG24" s="343">
        <f t="shared" si="14"/>
        <v>0</v>
      </c>
      <c r="AH24" s="343">
        <f t="shared" si="15"/>
        <v>0</v>
      </c>
      <c r="AI24" s="343">
        <f t="shared" si="16"/>
        <v>0</v>
      </c>
    </row>
    <row r="25" spans="1:35" s="265" customFormat="1" x14ac:dyDescent="0.25">
      <c r="A25" s="416" t="s">
        <v>446</v>
      </c>
      <c r="B25" s="416" t="s">
        <v>65</v>
      </c>
      <c r="C25" s="417">
        <f t="shared" ca="1" si="9"/>
        <v>2.5625</v>
      </c>
      <c r="D25" s="418" t="s">
        <v>312</v>
      </c>
      <c r="E25" s="686">
        <f>PLANTILLA!E17</f>
        <v>30</v>
      </c>
      <c r="F25" s="686">
        <f ca="1">PLANTILLA!F17</f>
        <v>49</v>
      </c>
      <c r="G25" s="521">
        <f>PLANTILLA!J17</f>
        <v>1.3333333333333333</v>
      </c>
      <c r="H25" s="521">
        <f>PLANTILLA!V17</f>
        <v>0</v>
      </c>
      <c r="I25" s="522">
        <f>PLANTILLA!W17</f>
        <v>10.149999999999997</v>
      </c>
      <c r="J25" s="521">
        <f>PLANTILLA!X17</f>
        <v>12.749777777777778</v>
      </c>
      <c r="K25" s="522">
        <f>PLANTILLA!Y17</f>
        <v>5.1199999999999983</v>
      </c>
      <c r="L25" s="521">
        <f>PLANTILLA!Z17</f>
        <v>9.17</v>
      </c>
      <c r="M25" s="522">
        <f>PLANTILLA!AA17</f>
        <v>2.98</v>
      </c>
      <c r="N25" s="521">
        <f>PLANTILLA!AB17</f>
        <v>16.959999999999997</v>
      </c>
      <c r="O25" s="193">
        <v>0</v>
      </c>
      <c r="P25" s="193">
        <v>1</v>
      </c>
      <c r="Q25" s="193">
        <v>0.5</v>
      </c>
      <c r="R25" s="193">
        <v>0.13</v>
      </c>
      <c r="S25" s="193">
        <v>1</v>
      </c>
      <c r="T25" s="193">
        <f t="shared" si="22"/>
        <v>0.17</v>
      </c>
      <c r="U25" s="193">
        <v>1</v>
      </c>
      <c r="V25" s="445">
        <f t="shared" ca="1" si="10"/>
        <v>32</v>
      </c>
      <c r="W25" s="446">
        <f t="shared" ca="1" si="11"/>
        <v>28</v>
      </c>
      <c r="X25" s="541"/>
      <c r="Y25" s="541"/>
      <c r="Z25" s="541"/>
      <c r="AA25" s="541"/>
      <c r="AB25" s="541"/>
      <c r="AC25" s="541"/>
      <c r="AD25" s="541"/>
      <c r="AE25" s="343">
        <f t="shared" si="12"/>
        <v>1.0625</v>
      </c>
      <c r="AF25" s="343">
        <f t="shared" si="13"/>
        <v>-1.3383333333333338</v>
      </c>
      <c r="AG25" s="343">
        <f t="shared" si="14"/>
        <v>0</v>
      </c>
      <c r="AH25" s="343">
        <f t="shared" si="15"/>
        <v>0</v>
      </c>
      <c r="AI25" s="343">
        <f t="shared" si="16"/>
        <v>0</v>
      </c>
    </row>
    <row r="26" spans="1:35" s="264" customFormat="1" x14ac:dyDescent="0.25">
      <c r="A26" s="332" t="s">
        <v>450</v>
      </c>
      <c r="B26" s="285" t="s">
        <v>65</v>
      </c>
      <c r="C26" s="286">
        <f t="shared" ca="1" si="9"/>
        <v>2.7857142857142856</v>
      </c>
      <c r="D26" s="321" t="s">
        <v>440</v>
      </c>
      <c r="E26" s="686">
        <f>PLANTILLA!E18</f>
        <v>30</v>
      </c>
      <c r="F26" s="686">
        <f ca="1">PLANTILLA!F18</f>
        <v>24</v>
      </c>
      <c r="G26" s="521">
        <f>PLANTILLA!J18</f>
        <v>1.2723233459190999</v>
      </c>
      <c r="H26" s="521">
        <f>PLANTILLA!V18</f>
        <v>0</v>
      </c>
      <c r="I26" s="522">
        <f>PLANTILLA!W18</f>
        <v>5.2811111111111115</v>
      </c>
      <c r="J26" s="521">
        <f>PLANTILLA!X18</f>
        <v>14.193842857142847</v>
      </c>
      <c r="K26" s="522">
        <f>PLANTILLA!Y18</f>
        <v>3.4924999999999993</v>
      </c>
      <c r="L26" s="521">
        <f>PLANTILLA!Z18</f>
        <v>9.0700000000000038</v>
      </c>
      <c r="M26" s="522">
        <f>PLANTILLA!AA18</f>
        <v>7.4318888888888894</v>
      </c>
      <c r="N26" s="521">
        <f>PLANTILLA!AB18</f>
        <v>16.07</v>
      </c>
      <c r="O26" s="193">
        <v>0</v>
      </c>
      <c r="P26" s="193">
        <v>1</v>
      </c>
      <c r="Q26" s="193">
        <v>1</v>
      </c>
      <c r="R26" s="193">
        <v>0.13</v>
      </c>
      <c r="S26" s="193">
        <v>1</v>
      </c>
      <c r="T26" s="193">
        <f t="shared" si="22"/>
        <v>0.17</v>
      </c>
      <c r="U26" s="193">
        <v>1</v>
      </c>
      <c r="V26" s="445">
        <f t="shared" ca="1" si="10"/>
        <v>32</v>
      </c>
      <c r="W26" s="446">
        <f t="shared" ca="1" si="11"/>
        <v>3</v>
      </c>
      <c r="X26" s="541"/>
      <c r="Y26" s="541"/>
      <c r="Z26" s="541"/>
      <c r="AA26" s="541"/>
      <c r="AB26" s="541"/>
      <c r="AC26" s="541"/>
      <c r="AD26" s="541"/>
      <c r="AE26" s="343">
        <f t="shared" si="12"/>
        <v>1.0396212547196624</v>
      </c>
      <c r="AF26" s="343">
        <f t="shared" si="13"/>
        <v>-1.4731654055187899</v>
      </c>
      <c r="AG26" s="343">
        <f t="shared" si="14"/>
        <v>0</v>
      </c>
      <c r="AH26" s="343">
        <f t="shared" si="15"/>
        <v>0</v>
      </c>
      <c r="AI26" s="343">
        <f t="shared" si="16"/>
        <v>0</v>
      </c>
    </row>
    <row r="27" spans="1:35" s="284" customFormat="1" x14ac:dyDescent="0.25">
      <c r="A27" s="332" t="s">
        <v>598</v>
      </c>
      <c r="B27" s="285" t="s">
        <v>65</v>
      </c>
      <c r="C27" s="286">
        <f t="shared" ca="1" si="9"/>
        <v>4.2321428571428568</v>
      </c>
      <c r="D27" s="321" t="s">
        <v>454</v>
      </c>
      <c r="E27" s="686">
        <f>PLANTILLA!E19</f>
        <v>28</v>
      </c>
      <c r="F27" s="686">
        <f ca="1">PLANTILLA!F19</f>
        <v>86</v>
      </c>
      <c r="G27" s="521">
        <f>PLANTILLA!J19</f>
        <v>0.93196000578135851</v>
      </c>
      <c r="H27" s="521">
        <f>PLANTILLA!V19</f>
        <v>0</v>
      </c>
      <c r="I27" s="522">
        <f>PLANTILLA!W19</f>
        <v>5.6315555555555523</v>
      </c>
      <c r="J27" s="521">
        <f>PLANTILLA!X19</f>
        <v>9.8263388888888876</v>
      </c>
      <c r="K27" s="522">
        <f>PLANTILLA!Y19</f>
        <v>7.0526666666666671</v>
      </c>
      <c r="L27" s="521">
        <f>PLANTILLA!Z19</f>
        <v>9.2666666666666639</v>
      </c>
      <c r="M27" s="522">
        <f>PLANTILLA!AA19</f>
        <v>3.5417777777777766</v>
      </c>
      <c r="N27" s="521">
        <f>PLANTILLA!AB19</f>
        <v>12.450000000000001</v>
      </c>
      <c r="O27" s="193">
        <v>0</v>
      </c>
      <c r="P27" s="193">
        <f>0.17</f>
        <v>0.17</v>
      </c>
      <c r="Q27" s="193">
        <v>0.13</v>
      </c>
      <c r="R27" s="193">
        <v>0.13</v>
      </c>
      <c r="S27" s="193">
        <v>1</v>
      </c>
      <c r="T27" s="193">
        <f t="shared" si="22"/>
        <v>0.17</v>
      </c>
      <c r="U27" s="193">
        <v>1</v>
      </c>
      <c r="V27" s="445">
        <f t="shared" ca="1" si="10"/>
        <v>30</v>
      </c>
      <c r="W27" s="446">
        <f t="shared" ca="1" si="11"/>
        <v>65</v>
      </c>
      <c r="X27" s="541"/>
      <c r="Y27" s="541"/>
      <c r="Z27" s="541"/>
      <c r="AA27" s="541"/>
      <c r="AB27" s="541"/>
      <c r="AC27" s="541"/>
      <c r="AD27" s="541"/>
      <c r="AE27" s="343">
        <f t="shared" si="12"/>
        <v>0.91198500216800948</v>
      </c>
      <c r="AF27" s="343"/>
      <c r="AG27" s="343"/>
      <c r="AH27" s="343"/>
      <c r="AI27" s="343"/>
    </row>
    <row r="28" spans="1:35" s="272" customFormat="1" x14ac:dyDescent="0.25">
      <c r="A28" s="331" t="s">
        <v>719</v>
      </c>
      <c r="B28" s="285" t="s">
        <v>65</v>
      </c>
      <c r="C28" s="286">
        <f t="shared" ca="1" si="9"/>
        <v>4.1696428571428568</v>
      </c>
      <c r="D28" s="321" t="s">
        <v>441</v>
      </c>
      <c r="E28" s="686">
        <f>PLANTILLA!E20</f>
        <v>28</v>
      </c>
      <c r="F28" s="686">
        <f ca="1">PLANTILLA!F20</f>
        <v>93</v>
      </c>
      <c r="G28" s="521">
        <f>PLANTILLA!J20</f>
        <v>0.45656357442960838</v>
      </c>
      <c r="H28" s="521">
        <f>PLANTILLA!V20</f>
        <v>0</v>
      </c>
      <c r="I28" s="522">
        <f>PLANTILLA!W20</f>
        <v>2.47611111111111</v>
      </c>
      <c r="J28" s="521">
        <f>PLANTILLA!X20</f>
        <v>7.2899999999999983</v>
      </c>
      <c r="K28" s="522">
        <f>PLANTILLA!Y20</f>
        <v>4.1588235294117641</v>
      </c>
      <c r="L28" s="521">
        <f>PLANTILLA!Z20</f>
        <v>7.2649999999999988</v>
      </c>
      <c r="M28" s="522">
        <f>PLANTILLA!AA20</f>
        <v>4.3299999999999983</v>
      </c>
      <c r="N28" s="521">
        <f>PLANTILLA!AB20</f>
        <v>9.5</v>
      </c>
      <c r="O28" s="193">
        <v>0</v>
      </c>
      <c r="P28" s="193">
        <f t="shared" si="21"/>
        <v>0.17</v>
      </c>
      <c r="Q28" s="193">
        <v>0.13</v>
      </c>
      <c r="R28" s="193">
        <v>0.13</v>
      </c>
      <c r="S28" s="193">
        <f>0.17</f>
        <v>0.17</v>
      </c>
      <c r="T28" s="193">
        <f t="shared" si="22"/>
        <v>0.17</v>
      </c>
      <c r="U28" s="193">
        <v>1</v>
      </c>
      <c r="V28" s="445">
        <f t="shared" ca="1" si="10"/>
        <v>30</v>
      </c>
      <c r="W28" s="446">
        <f t="shared" ca="1" si="11"/>
        <v>72</v>
      </c>
      <c r="X28" s="541"/>
      <c r="Y28" s="541"/>
      <c r="Z28" s="541"/>
      <c r="AA28" s="541"/>
      <c r="AB28" s="541"/>
      <c r="AC28" s="541"/>
      <c r="AD28" s="541"/>
      <c r="AE28" s="343"/>
      <c r="AF28" s="343"/>
      <c r="AG28" s="343"/>
      <c r="AH28" s="343"/>
      <c r="AI28" s="343"/>
    </row>
    <row r="29" spans="1:35" s="266" customFormat="1" x14ac:dyDescent="0.25">
      <c r="A29" s="416" t="s">
        <v>577</v>
      </c>
      <c r="B29" s="416" t="s">
        <v>67</v>
      </c>
      <c r="C29" s="417">
        <f t="shared" ca="1" si="9"/>
        <v>3.4553571428571428</v>
      </c>
      <c r="D29" s="418" t="s">
        <v>327</v>
      </c>
      <c r="E29" s="686">
        <f>PLANTILLA!E21</f>
        <v>29</v>
      </c>
      <c r="F29" s="686">
        <f ca="1">PLANTILLA!F21</f>
        <v>61</v>
      </c>
      <c r="G29" s="521">
        <f>PLANTILLA!J21</f>
        <v>1.383235330587498</v>
      </c>
      <c r="H29" s="521">
        <f>PLANTILLA!V21</f>
        <v>0</v>
      </c>
      <c r="I29" s="522">
        <f>PLANTILLA!W21</f>
        <v>6.8176190476190497</v>
      </c>
      <c r="J29" s="521">
        <f>PLANTILLA!X21</f>
        <v>8.3125</v>
      </c>
      <c r="K29" s="522">
        <f>PLANTILLA!Y21</f>
        <v>8.7199999999999971</v>
      </c>
      <c r="L29" s="521">
        <f>PLANTILLA!Z21</f>
        <v>9.6800000000000015</v>
      </c>
      <c r="M29" s="522">
        <f>PLANTILLA!AA21</f>
        <v>8.5625000000000018</v>
      </c>
      <c r="N29" s="521">
        <f>PLANTILLA!AB21</f>
        <v>18.639999999999993</v>
      </c>
      <c r="O29" s="193">
        <v>0</v>
      </c>
      <c r="P29" s="193">
        <f t="shared" si="21"/>
        <v>0.17</v>
      </c>
      <c r="Q29" s="193">
        <v>1</v>
      </c>
      <c r="R29" s="193">
        <v>0.13</v>
      </c>
      <c r="S29" s="193">
        <v>1</v>
      </c>
      <c r="T29" s="193">
        <v>1</v>
      </c>
      <c r="U29" s="193">
        <v>1.25</v>
      </c>
      <c r="V29" s="445">
        <f t="shared" ca="1" si="10"/>
        <v>31</v>
      </c>
      <c r="W29" s="446">
        <f t="shared" ca="1" si="11"/>
        <v>40</v>
      </c>
      <c r="X29" s="541"/>
      <c r="Y29" s="541"/>
      <c r="Z29" s="541"/>
      <c r="AA29" s="541"/>
      <c r="AB29" s="541"/>
      <c r="AC29" s="541"/>
      <c r="AD29" s="541"/>
      <c r="AE29" s="343">
        <f t="shared" si="12"/>
        <v>1.0812132489703117</v>
      </c>
      <c r="AF29" s="343">
        <f t="shared" si="13"/>
        <v>-1.228049919401629</v>
      </c>
      <c r="AG29" s="343">
        <f t="shared" si="14"/>
        <v>0</v>
      </c>
      <c r="AH29" s="343">
        <f t="shared" si="15"/>
        <v>0</v>
      </c>
      <c r="AI29" s="343">
        <f t="shared" si="16"/>
        <v>0</v>
      </c>
    </row>
    <row r="30" spans="1:35" s="264" customFormat="1" x14ac:dyDescent="0.25">
      <c r="A30" s="416" t="s">
        <v>588</v>
      </c>
      <c r="B30" s="416" t="s">
        <v>67</v>
      </c>
      <c r="C30" s="417">
        <f t="shared" ca="1" si="9"/>
        <v>2.8392857142857144</v>
      </c>
      <c r="D30" s="418" t="str">
        <f>PLANTILLA!D22</f>
        <v>L. Calosso</v>
      </c>
      <c r="E30" s="686">
        <f>PLANTILLA!E22</f>
        <v>30</v>
      </c>
      <c r="F30" s="686">
        <f ca="1">PLANTILLA!F22</f>
        <v>18</v>
      </c>
      <c r="G30" s="521">
        <f>PLANTILLA!J22</f>
        <v>1.3937639717155432</v>
      </c>
      <c r="H30" s="521">
        <f>PLANTILLA!V22</f>
        <v>0</v>
      </c>
      <c r="I30" s="522">
        <f>PLANTILLA!W22</f>
        <v>2</v>
      </c>
      <c r="J30" s="521">
        <f>PLANTILLA!X22</f>
        <v>14.0938</v>
      </c>
      <c r="K30" s="522">
        <f>PLANTILLA!Y22</f>
        <v>3</v>
      </c>
      <c r="L30" s="521">
        <f>PLANTILLA!Z22</f>
        <v>15.01</v>
      </c>
      <c r="M30" s="522">
        <f>PLANTILLA!AA22</f>
        <v>10</v>
      </c>
      <c r="N30" s="521">
        <f>PLANTILLA!AB22</f>
        <v>9.3000000000000007</v>
      </c>
      <c r="O30" s="193">
        <v>0</v>
      </c>
      <c r="P30" s="193">
        <f t="shared" si="21"/>
        <v>0.17</v>
      </c>
      <c r="Q30" s="193">
        <v>0.13</v>
      </c>
      <c r="R30" s="193">
        <v>0.13</v>
      </c>
      <c r="S30" s="193">
        <f>0.17</f>
        <v>0.17</v>
      </c>
      <c r="T30" s="193">
        <f>0.17</f>
        <v>0.17</v>
      </c>
      <c r="U30" s="193">
        <v>1</v>
      </c>
      <c r="V30" s="445">
        <f t="shared" ca="1" si="10"/>
        <v>31</v>
      </c>
      <c r="W30" s="446">
        <f t="shared" ca="1" si="11"/>
        <v>109</v>
      </c>
      <c r="X30" s="541"/>
      <c r="Y30" s="541"/>
      <c r="Z30" s="541"/>
      <c r="AA30" s="541"/>
      <c r="AB30" s="541"/>
      <c r="AC30" s="541"/>
      <c r="AD30" s="541"/>
      <c r="AE30" s="343"/>
      <c r="AF30" s="343"/>
      <c r="AG30" s="343"/>
      <c r="AH30" s="343"/>
      <c r="AI30" s="343"/>
    </row>
    <row r="31" spans="1:35" s="289" customFormat="1" ht="14.25" customHeight="1" x14ac:dyDescent="0.25">
      <c r="A31" s="416" t="s">
        <v>633</v>
      </c>
      <c r="B31" s="416" t="s">
        <v>67</v>
      </c>
      <c r="C31" s="286">
        <f t="shared" ca="1" si="9"/>
        <v>6.1785714285714288</v>
      </c>
      <c r="D31" s="321" t="s">
        <v>634</v>
      </c>
      <c r="E31" s="686">
        <f>PLANTILLA!E23</f>
        <v>26</v>
      </c>
      <c r="F31" s="686">
        <f ca="1">PLANTILLA!F23</f>
        <v>92</v>
      </c>
      <c r="G31" s="521">
        <f>PLANTILLA!J23</f>
        <v>1.0657873992714422</v>
      </c>
      <c r="H31" s="521">
        <f>PLANTILLA!V23</f>
        <v>0</v>
      </c>
      <c r="I31" s="522">
        <f>PLANTILLA!W23</f>
        <v>4</v>
      </c>
      <c r="J31" s="521">
        <f>PLANTILLA!X23</f>
        <v>5.5138722222222212</v>
      </c>
      <c r="K31" s="522">
        <f>PLANTILLA!Y23</f>
        <v>5.47</v>
      </c>
      <c r="L31" s="521">
        <f>PLANTILLA!Z23</f>
        <v>10.799999999999999</v>
      </c>
      <c r="M31" s="522">
        <f>PLANTILLA!AA23</f>
        <v>8.384500000000001</v>
      </c>
      <c r="N31" s="521">
        <f>PLANTILLA!AB23</f>
        <v>13.566666666666668</v>
      </c>
      <c r="O31" s="193">
        <v>0</v>
      </c>
      <c r="P31" s="193">
        <f t="shared" si="21"/>
        <v>0.17</v>
      </c>
      <c r="Q31" s="193">
        <v>0.13</v>
      </c>
      <c r="R31" s="193">
        <v>0.13</v>
      </c>
      <c r="S31" s="193">
        <v>1</v>
      </c>
      <c r="T31" s="193">
        <v>1</v>
      </c>
      <c r="U31" s="193">
        <v>1</v>
      </c>
      <c r="V31" s="445">
        <f t="shared" ca="1" si="10"/>
        <v>28</v>
      </c>
      <c r="W31" s="446">
        <f t="shared" ca="1" si="11"/>
        <v>71</v>
      </c>
      <c r="X31" s="541"/>
      <c r="Y31" s="541"/>
      <c r="Z31" s="541"/>
      <c r="AA31" s="541"/>
      <c r="AB31" s="541"/>
      <c r="AC31" s="541"/>
      <c r="AD31" s="541"/>
      <c r="AE31" s="343">
        <f t="shared" si="12"/>
        <v>0.96217027472679073</v>
      </c>
      <c r="AF31" s="343">
        <f t="shared" si="13"/>
        <v>-1.9296098476101129</v>
      </c>
      <c r="AG31" s="343">
        <f t="shared" si="14"/>
        <v>0</v>
      </c>
      <c r="AH31" s="343">
        <f t="shared" si="15"/>
        <v>0</v>
      </c>
      <c r="AI31" s="343">
        <f t="shared" si="16"/>
        <v>0</v>
      </c>
    </row>
    <row r="33" spans="4:4" x14ac:dyDescent="0.25">
      <c r="D33" s="178">
        <f ca="1">TODAY()+(7*D9)</f>
        <v>43128.5</v>
      </c>
    </row>
    <row r="35" spans="4:4" x14ac:dyDescent="0.25">
      <c r="D35" s="178">
        <v>42688</v>
      </c>
    </row>
    <row r="36" spans="4:4" x14ac:dyDescent="0.25">
      <c r="D36" s="661">
        <f ca="1">D35-TODAY()</f>
        <v>-367</v>
      </c>
    </row>
  </sheetData>
  <autoFilter ref="O12:U31"/>
  <sortState ref="C28:D42">
    <sortCondition ref="D28:D42"/>
  </sortState>
  <mergeCells count="3">
    <mergeCell ref="E11:F11"/>
    <mergeCell ref="S10:T10"/>
    <mergeCell ref="V10:W10"/>
  </mergeCells>
  <conditionalFormatting sqref="P14:U14 O22 Q22 O29:U31 O15:U15 O16:Q21 O23:Q28 R16:U28">
    <cfRule type="cellIs" dxfId="364" priority="31" operator="lessThan">
      <formula>0.2</formula>
    </cfRule>
    <cfRule type="cellIs" dxfId="363" priority="32" operator="greaterThan">
      <formula>0.9</formula>
    </cfRule>
  </conditionalFormatting>
  <conditionalFormatting sqref="AG14:AG31">
    <cfRule type="cellIs" dxfId="362" priority="27" operator="lessThan">
      <formula>5</formula>
    </cfRule>
    <cfRule type="cellIs" dxfId="361" priority="28" operator="greaterThan">
      <formula>7</formula>
    </cfRule>
  </conditionalFormatting>
  <conditionalFormatting sqref="AH14:AI31">
    <cfRule type="cellIs" dxfId="360" priority="25" operator="lessThan">
      <formula>0.35</formula>
    </cfRule>
    <cfRule type="cellIs" dxfId="359" priority="26" operator="greaterThan">
      <formula>0.5</formula>
    </cfRule>
  </conditionalFormatting>
  <conditionalFormatting sqref="AE14:AE31">
    <cfRule type="cellIs" dxfId="358" priority="23" operator="lessThan">
      <formula>2.39</formula>
    </cfRule>
    <cfRule type="cellIs" dxfId="357" priority="24" operator="greaterThan">
      <formula>2.39</formula>
    </cfRule>
  </conditionalFormatting>
  <conditionalFormatting sqref="AF14:AF31">
    <cfRule type="cellIs" dxfId="356" priority="22" operator="greaterThan">
      <formula>14</formula>
    </cfRule>
  </conditionalFormatting>
  <conditionalFormatting sqref="O13:U13">
    <cfRule type="cellIs" dxfId="355" priority="17" operator="lessThan">
      <formula>0.2</formula>
    </cfRule>
    <cfRule type="cellIs" dxfId="354" priority="18" operator="greaterThan">
      <formula>0.9</formula>
    </cfRule>
  </conditionalFormatting>
  <conditionalFormatting sqref="C13">
    <cfRule type="colorScale" priority="19">
      <colorScale>
        <cfvo type="min"/>
        <cfvo type="max"/>
        <color rgb="FFFFEF9C"/>
        <color rgb="FF63BE7B"/>
      </colorScale>
    </cfRule>
  </conditionalFormatting>
  <conditionalFormatting sqref="H13:N13">
    <cfRule type="colorScale" priority="20">
      <colorScale>
        <cfvo type="min"/>
        <cfvo type="max"/>
        <color rgb="FFFFEF9C"/>
        <color rgb="FF63BE7B"/>
      </colorScale>
    </cfRule>
    <cfRule type="cellIs" dxfId="353" priority="21" operator="greaterThan">
      <formula>7.99</formula>
    </cfRule>
  </conditionalFormatting>
  <conditionalFormatting sqref="AG13">
    <cfRule type="cellIs" dxfId="352" priority="14" operator="lessThan">
      <formula>5</formula>
    </cfRule>
    <cfRule type="cellIs" dxfId="351" priority="15" operator="greaterThan">
      <formula>7</formula>
    </cfRule>
  </conditionalFormatting>
  <conditionalFormatting sqref="AH13:AI13">
    <cfRule type="cellIs" dxfId="350" priority="12" operator="lessThan">
      <formula>0.35</formula>
    </cfRule>
    <cfRule type="cellIs" dxfId="349" priority="13" operator="greaterThan">
      <formula>0.5</formula>
    </cfRule>
  </conditionalFormatting>
  <conditionalFormatting sqref="AE13">
    <cfRule type="cellIs" dxfId="348" priority="10" operator="lessThan">
      <formula>2.39</formula>
    </cfRule>
    <cfRule type="cellIs" dxfId="347" priority="11" operator="greaterThan">
      <formula>2.39</formula>
    </cfRule>
  </conditionalFormatting>
  <conditionalFormatting sqref="AF13">
    <cfRule type="cellIs" dxfId="346" priority="9" operator="greaterThan">
      <formula>14</formula>
    </cfRule>
  </conditionalFormatting>
  <conditionalFormatting sqref="C14:C31">
    <cfRule type="colorScale" priority="671">
      <colorScale>
        <cfvo type="min"/>
        <cfvo type="max"/>
        <color rgb="FFFFEF9C"/>
        <color rgb="FF63BE7B"/>
      </colorScale>
    </cfRule>
  </conditionalFormatting>
  <conditionalFormatting sqref="F3:L8">
    <cfRule type="cellIs" dxfId="345" priority="5" operator="greaterThan">
      <formula>0.5</formula>
    </cfRule>
  </conditionalFormatting>
  <conditionalFormatting sqref="O14">
    <cfRule type="cellIs" dxfId="344" priority="3" operator="lessThan">
      <formula>0.2</formula>
    </cfRule>
    <cfRule type="cellIs" dxfId="343" priority="4" operator="greaterThan">
      <formula>0.9</formula>
    </cfRule>
  </conditionalFormatting>
  <conditionalFormatting sqref="P22">
    <cfRule type="cellIs" dxfId="342" priority="1" operator="lessThan">
      <formula>0.2</formula>
    </cfRule>
    <cfRule type="cellIs" dxfId="341" priority="2" operator="greaterThan">
      <formula>0.9</formula>
    </cfRule>
  </conditionalFormatting>
  <conditionalFormatting sqref="H14:N31">
    <cfRule type="colorScale" priority="1810">
      <colorScale>
        <cfvo type="min"/>
        <cfvo type="max"/>
        <color rgb="FFFFEF9C"/>
        <color rgb="FF63BE7B"/>
      </colorScale>
    </cfRule>
    <cfRule type="cellIs" dxfId="340" priority="1811" operator="greaterThan">
      <formula>7.99</formula>
    </cfRule>
  </conditionalFormatting>
  <conditionalFormatting sqref="X13:AD31">
    <cfRule type="cellIs" dxfId="339" priority="1814" operator="greaterThan">
      <formula>7.99</formula>
    </cfRule>
    <cfRule type="colorScale" priority="1815">
      <colorScale>
        <cfvo type="min"/>
        <cfvo type="max"/>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53</vt:i4>
      </vt:variant>
    </vt:vector>
  </HeadingPairs>
  <TitlesOfParts>
    <vt:vector size="53" baseType="lpstr">
      <vt:lpstr>RecienPromocionados</vt:lpstr>
      <vt:lpstr>Resistencia</vt:lpstr>
      <vt:lpstr>CA_Calculator</vt:lpstr>
      <vt:lpstr>TL_Tactica</vt:lpstr>
      <vt:lpstr>CAPITAN</vt:lpstr>
      <vt:lpstr>ENTRENADOR</vt:lpstr>
      <vt:lpstr>TablasEntreno</vt:lpstr>
      <vt:lpstr>PLANTILLA</vt:lpstr>
      <vt:lpstr>Plan_Entreno</vt:lpstr>
      <vt:lpstr>VisionFutura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2017-11-16T12:12:09Z</dcterms:modified>
</cp:coreProperties>
</file>